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2.xml" ContentType="application/vnd.ms-excel.controlproperties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3.xml" ContentType="application/vnd.ms-excel.controlproperties+xml"/>
  <Override PartName="/xl/comments8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un\Desktop\Jaun_Minnaar_50915088\"/>
    </mc:Choice>
  </mc:AlternateContent>
  <xr:revisionPtr revIDLastSave="0" documentId="13_ncr:1_{4AE2FDFC-3E90-461B-9EE5-9C55B2E55395}" xr6:coauthVersionLast="47" xr6:coauthVersionMax="47" xr10:uidLastSave="{00000000-0000-0000-0000-000000000000}"/>
  <bookViews>
    <workbookView xWindow="-108" yWindow="-108" windowWidth="23256" windowHeight="12456" tabRatio="687" activeTab="4" xr2:uid="{2CB34653-C5DB-4140-9641-2574B1D737C5}"/>
  </bookViews>
  <sheets>
    <sheet name="Home" sheetId="19" r:id="rId1"/>
    <sheet name="Annuity-BE" sheetId="7" state="hidden" r:id="rId2"/>
    <sheet name="Dropdown" sheetId="2" state="hidden" r:id="rId3"/>
    <sheet name="Convert-BE" sheetId="1" state="hidden" r:id="rId4"/>
    <sheet name="Single Investment" sheetId="4" r:id="rId5"/>
    <sheet name="Graphs for single investments" sheetId="18" r:id="rId6"/>
    <sheet name="Single-BE" sheetId="5" state="hidden" r:id="rId7"/>
    <sheet name="Sources" sheetId="6" state="hidden" r:id="rId8"/>
    <sheet name="Convert changing interests" sheetId="17" r:id="rId9"/>
    <sheet name="Annuity-In arrears" sheetId="8" r:id="rId10"/>
    <sheet name="Annuity-In advance" sheetId="9" r:id="rId11"/>
    <sheet name="Increasing Annuity" sheetId="23" r:id="rId12"/>
    <sheet name="Annuity - Retirement" sheetId="22" r:id="rId13"/>
    <sheet name="Retirement" sheetId="16" state="hidden" r:id="rId14"/>
    <sheet name="Increasing payments-BE" sheetId="15" state="hidden" r:id="rId15"/>
    <sheet name="Converter" sheetId="11" state="hidden" r:id="rId16"/>
    <sheet name="Loans - In arrears" sheetId="20" r:id="rId17"/>
    <sheet name="Loans - In advance" sheetId="21" r:id="rId18"/>
    <sheet name="Loans-BE" sheetId="10" state="hidden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3" i="11" l="1"/>
  <c r="B3" i="1"/>
  <c r="E4" i="1"/>
  <c r="W23" i="17"/>
  <c r="O14" i="20"/>
  <c r="AA11" i="18"/>
  <c r="AA12" i="18"/>
  <c r="AA13" i="18"/>
  <c r="AA14" i="18"/>
  <c r="AA15" i="18"/>
  <c r="AA16" i="18"/>
  <c r="AA17" i="18"/>
  <c r="AA18" i="18"/>
  <c r="AA19" i="18"/>
  <c r="AA20" i="18"/>
  <c r="AA21" i="18"/>
  <c r="AA22" i="18"/>
  <c r="AA23" i="18"/>
  <c r="AA24" i="18"/>
  <c r="AA25" i="18"/>
  <c r="AA26" i="18"/>
  <c r="AA27" i="18"/>
  <c r="AA28" i="18"/>
  <c r="AA29" i="18"/>
  <c r="AA30" i="18"/>
  <c r="AA31" i="18"/>
  <c r="AA32" i="18"/>
  <c r="AA33" i="18"/>
  <c r="AA34" i="18"/>
  <c r="AA35" i="18"/>
  <c r="AA36" i="18"/>
  <c r="AA37" i="18"/>
  <c r="AA38" i="18"/>
  <c r="AA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10" i="18"/>
  <c r="O15" i="21"/>
  <c r="T5" i="10"/>
  <c r="S5" i="10"/>
  <c r="R5" i="10"/>
  <c r="Z8" i="21"/>
  <c r="R10" i="21"/>
  <c r="Q5" i="10" s="1"/>
  <c r="R9" i="20"/>
  <c r="D5" i="10" s="1"/>
  <c r="M17" i="22"/>
  <c r="L4" i="16" s="1"/>
  <c r="U32" i="23"/>
  <c r="L20" i="15" s="1"/>
  <c r="U15" i="23"/>
  <c r="L4" i="15" s="1"/>
  <c r="K7" i="22"/>
  <c r="Q35" i="23"/>
  <c r="L27" i="15" s="1"/>
  <c r="L26" i="15"/>
  <c r="L25" i="15"/>
  <c r="L24" i="15"/>
  <c r="L23" i="15"/>
  <c r="L22" i="15"/>
  <c r="L21" i="15"/>
  <c r="L19" i="15"/>
  <c r="L9" i="15"/>
  <c r="L8" i="15"/>
  <c r="Q18" i="23"/>
  <c r="L6" i="15"/>
  <c r="L5" i="15"/>
  <c r="L7" i="15"/>
  <c r="L3" i="15"/>
  <c r="L22" i="16"/>
  <c r="L27" i="16" s="1"/>
  <c r="L21" i="16"/>
  <c r="L26" i="16" s="1"/>
  <c r="L6" i="16"/>
  <c r="L11" i="16" s="1"/>
  <c r="L5" i="16"/>
  <c r="L10" i="16" s="1"/>
  <c r="X17" i="22"/>
  <c r="T17" i="22"/>
  <c r="L12" i="16"/>
  <c r="W19" i="21"/>
  <c r="R19" i="21"/>
  <c r="S19" i="21"/>
  <c r="T19" i="21"/>
  <c r="U19" i="21"/>
  <c r="V19" i="21"/>
  <c r="Q19" i="21"/>
  <c r="R19" i="20"/>
  <c r="S19" i="20"/>
  <c r="T19" i="20"/>
  <c r="U19" i="20"/>
  <c r="V19" i="20"/>
  <c r="W19" i="20"/>
  <c r="Q19" i="20"/>
  <c r="AB11" i="18"/>
  <c r="AB12" i="18"/>
  <c r="AB13" i="18"/>
  <c r="AB14" i="18"/>
  <c r="AB15" i="18"/>
  <c r="AB16" i="18"/>
  <c r="AB17" i="18"/>
  <c r="AB18" i="18"/>
  <c r="AB19" i="18"/>
  <c r="AB20" i="18"/>
  <c r="AB21" i="18"/>
  <c r="AB22" i="18"/>
  <c r="AB23" i="18"/>
  <c r="AB24" i="18"/>
  <c r="AB25" i="18"/>
  <c r="AB26" i="18"/>
  <c r="AB27" i="18"/>
  <c r="AB28" i="18"/>
  <c r="AB29" i="18"/>
  <c r="AB30" i="18"/>
  <c r="AB31" i="18"/>
  <c r="AB32" i="18"/>
  <c r="AB33" i="18"/>
  <c r="AB34" i="18"/>
  <c r="AB35" i="18"/>
  <c r="AB36" i="18"/>
  <c r="AB37" i="18"/>
  <c r="AB38" i="18"/>
  <c r="AB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10" i="18"/>
  <c r="Z10" i="18"/>
  <c r="I11" i="18"/>
  <c r="I10" i="18"/>
  <c r="Y11" i="18"/>
  <c r="H11" i="18"/>
  <c r="H12" i="18" s="1"/>
  <c r="E37" i="18"/>
  <c r="C37" i="18"/>
  <c r="E23" i="18"/>
  <c r="C23" i="18"/>
  <c r="L7" i="16"/>
  <c r="L23" i="16" s="1"/>
  <c r="E42" i="22"/>
  <c r="P3" i="16"/>
  <c r="P9" i="16"/>
  <c r="AC8" i="20"/>
  <c r="G5" i="10"/>
  <c r="F5" i="10"/>
  <c r="E5" i="10"/>
  <c r="C5" i="10"/>
  <c r="AA23" i="8"/>
  <c r="Z33" i="8"/>
  <c r="V33" i="8"/>
  <c r="V32" i="8"/>
  <c r="W32" i="8"/>
  <c r="X32" i="8"/>
  <c r="Y32" i="8"/>
  <c r="Z32" i="8"/>
  <c r="AA32" i="8"/>
  <c r="T32" i="8"/>
  <c r="R33" i="8"/>
  <c r="U33" i="8" s="1"/>
  <c r="R32" i="8"/>
  <c r="U32" i="8" s="1"/>
  <c r="W5" i="10"/>
  <c r="V5" i="10"/>
  <c r="U5" i="10"/>
  <c r="H5" i="10"/>
  <c r="I5" i="10"/>
  <c r="J5" i="10"/>
  <c r="J21" i="20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07" i="9"/>
  <c r="T208" i="9"/>
  <c r="T209" i="9"/>
  <c r="T210" i="9"/>
  <c r="T211" i="9"/>
  <c r="T212" i="9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T456" i="9"/>
  <c r="T457" i="9"/>
  <c r="T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V107" i="9"/>
  <c r="V108" i="9"/>
  <c r="V109" i="9"/>
  <c r="V110" i="9"/>
  <c r="V111" i="9"/>
  <c r="V112" i="9"/>
  <c r="V113" i="9"/>
  <c r="V114" i="9"/>
  <c r="V115" i="9"/>
  <c r="V116" i="9"/>
  <c r="V117" i="9"/>
  <c r="V118" i="9"/>
  <c r="V119" i="9"/>
  <c r="V120" i="9"/>
  <c r="V121" i="9"/>
  <c r="V122" i="9"/>
  <c r="V123" i="9"/>
  <c r="V124" i="9"/>
  <c r="V125" i="9"/>
  <c r="V126" i="9"/>
  <c r="V127" i="9"/>
  <c r="V128" i="9"/>
  <c r="V129" i="9"/>
  <c r="V130" i="9"/>
  <c r="V131" i="9"/>
  <c r="V132" i="9"/>
  <c r="V133" i="9"/>
  <c r="V134" i="9"/>
  <c r="V135" i="9"/>
  <c r="V136" i="9"/>
  <c r="V137" i="9"/>
  <c r="V138" i="9"/>
  <c r="V139" i="9"/>
  <c r="V140" i="9"/>
  <c r="V141" i="9"/>
  <c r="V142" i="9"/>
  <c r="V143" i="9"/>
  <c r="V144" i="9"/>
  <c r="V145" i="9"/>
  <c r="V146" i="9"/>
  <c r="V147" i="9"/>
  <c r="V148" i="9"/>
  <c r="V149" i="9"/>
  <c r="V150" i="9"/>
  <c r="V151" i="9"/>
  <c r="V152" i="9"/>
  <c r="V153" i="9"/>
  <c r="V154" i="9"/>
  <c r="V155" i="9"/>
  <c r="V156" i="9"/>
  <c r="V157" i="9"/>
  <c r="V158" i="9"/>
  <c r="V159" i="9"/>
  <c r="V160" i="9"/>
  <c r="V161" i="9"/>
  <c r="V162" i="9"/>
  <c r="V163" i="9"/>
  <c r="V164" i="9"/>
  <c r="V165" i="9"/>
  <c r="V166" i="9"/>
  <c r="V167" i="9"/>
  <c r="V168" i="9"/>
  <c r="V169" i="9"/>
  <c r="V170" i="9"/>
  <c r="V171" i="9"/>
  <c r="V172" i="9"/>
  <c r="V173" i="9"/>
  <c r="V174" i="9"/>
  <c r="V175" i="9"/>
  <c r="V176" i="9"/>
  <c r="V177" i="9"/>
  <c r="V178" i="9"/>
  <c r="V179" i="9"/>
  <c r="V180" i="9"/>
  <c r="V181" i="9"/>
  <c r="V182" i="9"/>
  <c r="V183" i="9"/>
  <c r="V184" i="9"/>
  <c r="V185" i="9"/>
  <c r="V186" i="9"/>
  <c r="V187" i="9"/>
  <c r="V188" i="9"/>
  <c r="V189" i="9"/>
  <c r="V190" i="9"/>
  <c r="V191" i="9"/>
  <c r="V192" i="9"/>
  <c r="V193" i="9"/>
  <c r="V194" i="9"/>
  <c r="V195" i="9"/>
  <c r="V196" i="9"/>
  <c r="V197" i="9"/>
  <c r="V198" i="9"/>
  <c r="V199" i="9"/>
  <c r="V200" i="9"/>
  <c r="V201" i="9"/>
  <c r="V202" i="9"/>
  <c r="V203" i="9"/>
  <c r="V204" i="9"/>
  <c r="V205" i="9"/>
  <c r="V206" i="9"/>
  <c r="V207" i="9"/>
  <c r="V208" i="9"/>
  <c r="V209" i="9"/>
  <c r="V210" i="9"/>
  <c r="V211" i="9"/>
  <c r="V212" i="9"/>
  <c r="V213" i="9"/>
  <c r="V214" i="9"/>
  <c r="V215" i="9"/>
  <c r="V216" i="9"/>
  <c r="V217" i="9"/>
  <c r="V218" i="9"/>
  <c r="V219" i="9"/>
  <c r="V220" i="9"/>
  <c r="V221" i="9"/>
  <c r="V222" i="9"/>
  <c r="V223" i="9"/>
  <c r="V224" i="9"/>
  <c r="V225" i="9"/>
  <c r="V226" i="9"/>
  <c r="V227" i="9"/>
  <c r="V228" i="9"/>
  <c r="V229" i="9"/>
  <c r="V230" i="9"/>
  <c r="V231" i="9"/>
  <c r="V232" i="9"/>
  <c r="V233" i="9"/>
  <c r="V234" i="9"/>
  <c r="V235" i="9"/>
  <c r="V236" i="9"/>
  <c r="V237" i="9"/>
  <c r="V238" i="9"/>
  <c r="V239" i="9"/>
  <c r="V240" i="9"/>
  <c r="V241" i="9"/>
  <c r="V242" i="9"/>
  <c r="V243" i="9"/>
  <c r="V244" i="9"/>
  <c r="V245" i="9"/>
  <c r="V246" i="9"/>
  <c r="V247" i="9"/>
  <c r="V248" i="9"/>
  <c r="V249" i="9"/>
  <c r="V250" i="9"/>
  <c r="V251" i="9"/>
  <c r="V252" i="9"/>
  <c r="V253" i="9"/>
  <c r="V254" i="9"/>
  <c r="V255" i="9"/>
  <c r="V256" i="9"/>
  <c r="V257" i="9"/>
  <c r="V258" i="9"/>
  <c r="V259" i="9"/>
  <c r="V260" i="9"/>
  <c r="V261" i="9"/>
  <c r="V262" i="9"/>
  <c r="V263" i="9"/>
  <c r="V264" i="9"/>
  <c r="V265" i="9"/>
  <c r="V266" i="9"/>
  <c r="V267" i="9"/>
  <c r="V268" i="9"/>
  <c r="V269" i="9"/>
  <c r="V270" i="9"/>
  <c r="V271" i="9"/>
  <c r="V272" i="9"/>
  <c r="V273" i="9"/>
  <c r="V274" i="9"/>
  <c r="V275" i="9"/>
  <c r="V276" i="9"/>
  <c r="V277" i="9"/>
  <c r="V278" i="9"/>
  <c r="V279" i="9"/>
  <c r="V280" i="9"/>
  <c r="V281" i="9"/>
  <c r="V282" i="9"/>
  <c r="V283" i="9"/>
  <c r="V284" i="9"/>
  <c r="V285" i="9"/>
  <c r="V286" i="9"/>
  <c r="V287" i="9"/>
  <c r="V288" i="9"/>
  <c r="V289" i="9"/>
  <c r="V290" i="9"/>
  <c r="V291" i="9"/>
  <c r="V292" i="9"/>
  <c r="V293" i="9"/>
  <c r="V294" i="9"/>
  <c r="V295" i="9"/>
  <c r="V296" i="9"/>
  <c r="V297" i="9"/>
  <c r="V298" i="9"/>
  <c r="V299" i="9"/>
  <c r="V300" i="9"/>
  <c r="V301" i="9"/>
  <c r="V302" i="9"/>
  <c r="V303" i="9"/>
  <c r="V304" i="9"/>
  <c r="V305" i="9"/>
  <c r="V306" i="9"/>
  <c r="V307" i="9"/>
  <c r="V308" i="9"/>
  <c r="V309" i="9"/>
  <c r="V310" i="9"/>
  <c r="V311" i="9"/>
  <c r="V312" i="9"/>
  <c r="V313" i="9"/>
  <c r="V314" i="9"/>
  <c r="V315" i="9"/>
  <c r="V316" i="9"/>
  <c r="V317" i="9"/>
  <c r="V318" i="9"/>
  <c r="V319" i="9"/>
  <c r="V320" i="9"/>
  <c r="V321" i="9"/>
  <c r="V322" i="9"/>
  <c r="V323" i="9"/>
  <c r="V324" i="9"/>
  <c r="V325" i="9"/>
  <c r="V326" i="9"/>
  <c r="V327" i="9"/>
  <c r="V328" i="9"/>
  <c r="V329" i="9"/>
  <c r="V330" i="9"/>
  <c r="V331" i="9"/>
  <c r="V332" i="9"/>
  <c r="V333" i="9"/>
  <c r="V334" i="9"/>
  <c r="V335" i="9"/>
  <c r="V336" i="9"/>
  <c r="V337" i="9"/>
  <c r="V338" i="9"/>
  <c r="V339" i="9"/>
  <c r="V340" i="9"/>
  <c r="V341" i="9"/>
  <c r="V342" i="9"/>
  <c r="V343" i="9"/>
  <c r="V344" i="9"/>
  <c r="V345" i="9"/>
  <c r="V346" i="9"/>
  <c r="V347" i="9"/>
  <c r="V348" i="9"/>
  <c r="V349" i="9"/>
  <c r="V350" i="9"/>
  <c r="V351" i="9"/>
  <c r="V352" i="9"/>
  <c r="V353" i="9"/>
  <c r="V354" i="9"/>
  <c r="V355" i="9"/>
  <c r="V356" i="9"/>
  <c r="V357" i="9"/>
  <c r="V358" i="9"/>
  <c r="V359" i="9"/>
  <c r="V360" i="9"/>
  <c r="V361" i="9"/>
  <c r="V362" i="9"/>
  <c r="V363" i="9"/>
  <c r="V364" i="9"/>
  <c r="V365" i="9"/>
  <c r="V366" i="9"/>
  <c r="V367" i="9"/>
  <c r="V368" i="9"/>
  <c r="V369" i="9"/>
  <c r="V370" i="9"/>
  <c r="V371" i="9"/>
  <c r="V372" i="9"/>
  <c r="V373" i="9"/>
  <c r="V374" i="9"/>
  <c r="V375" i="9"/>
  <c r="V376" i="9"/>
  <c r="V377" i="9"/>
  <c r="V378" i="9"/>
  <c r="V379" i="9"/>
  <c r="V380" i="9"/>
  <c r="V381" i="9"/>
  <c r="V382" i="9"/>
  <c r="V383" i="9"/>
  <c r="V384" i="9"/>
  <c r="V385" i="9"/>
  <c r="V386" i="9"/>
  <c r="V387" i="9"/>
  <c r="V388" i="9"/>
  <c r="V389" i="9"/>
  <c r="V390" i="9"/>
  <c r="V391" i="9"/>
  <c r="V392" i="9"/>
  <c r="V393" i="9"/>
  <c r="V394" i="9"/>
  <c r="V395" i="9"/>
  <c r="V396" i="9"/>
  <c r="V397" i="9"/>
  <c r="V398" i="9"/>
  <c r="V399" i="9"/>
  <c r="V400" i="9"/>
  <c r="V401" i="9"/>
  <c r="V402" i="9"/>
  <c r="V403" i="9"/>
  <c r="V404" i="9"/>
  <c r="V405" i="9"/>
  <c r="V406" i="9"/>
  <c r="V407" i="9"/>
  <c r="V408" i="9"/>
  <c r="V409" i="9"/>
  <c r="V410" i="9"/>
  <c r="V411" i="9"/>
  <c r="V412" i="9"/>
  <c r="V413" i="9"/>
  <c r="V414" i="9"/>
  <c r="V415" i="9"/>
  <c r="V416" i="9"/>
  <c r="V417" i="9"/>
  <c r="V418" i="9"/>
  <c r="V419" i="9"/>
  <c r="V420" i="9"/>
  <c r="V421" i="9"/>
  <c r="V422" i="9"/>
  <c r="V423" i="9"/>
  <c r="V424" i="9"/>
  <c r="V425" i="9"/>
  <c r="V426" i="9"/>
  <c r="V427" i="9"/>
  <c r="V428" i="9"/>
  <c r="V429" i="9"/>
  <c r="V430" i="9"/>
  <c r="V431" i="9"/>
  <c r="V432" i="9"/>
  <c r="V433" i="9"/>
  <c r="V434" i="9"/>
  <c r="V435" i="9"/>
  <c r="V436" i="9"/>
  <c r="V437" i="9"/>
  <c r="V438" i="9"/>
  <c r="V439" i="9"/>
  <c r="V440" i="9"/>
  <c r="V441" i="9"/>
  <c r="V442" i="9"/>
  <c r="V443" i="9"/>
  <c r="V444" i="9"/>
  <c r="V445" i="9"/>
  <c r="V446" i="9"/>
  <c r="V447" i="9"/>
  <c r="V448" i="9"/>
  <c r="V449" i="9"/>
  <c r="V450" i="9"/>
  <c r="V451" i="9"/>
  <c r="V452" i="9"/>
  <c r="V453" i="9"/>
  <c r="V454" i="9"/>
  <c r="V455" i="9"/>
  <c r="V456" i="9"/>
  <c r="V457" i="9"/>
  <c r="V30" i="9"/>
  <c r="W31" i="9"/>
  <c r="W32" i="9"/>
  <c r="W33" i="9"/>
  <c r="W34" i="9"/>
  <c r="W35" i="9"/>
  <c r="W36" i="9"/>
  <c r="W37" i="9"/>
  <c r="W38" i="9"/>
  <c r="W39" i="9"/>
  <c r="W40" i="9"/>
  <c r="W41" i="9"/>
  <c r="W42" i="9"/>
  <c r="W43" i="9"/>
  <c r="W44" i="9"/>
  <c r="W45" i="9"/>
  <c r="W46" i="9"/>
  <c r="W47" i="9"/>
  <c r="W48" i="9"/>
  <c r="W49" i="9"/>
  <c r="W50" i="9"/>
  <c r="W51" i="9"/>
  <c r="W52" i="9"/>
  <c r="W53" i="9"/>
  <c r="W54" i="9"/>
  <c r="W55" i="9"/>
  <c r="W56" i="9"/>
  <c r="W57" i="9"/>
  <c r="W58" i="9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98" i="9"/>
  <c r="W99" i="9"/>
  <c r="W100" i="9"/>
  <c r="W101" i="9"/>
  <c r="W102" i="9"/>
  <c r="W103" i="9"/>
  <c r="W104" i="9"/>
  <c r="W105" i="9"/>
  <c r="W106" i="9"/>
  <c r="W107" i="9"/>
  <c r="W108" i="9"/>
  <c r="W109" i="9"/>
  <c r="W110" i="9"/>
  <c r="W111" i="9"/>
  <c r="W112" i="9"/>
  <c r="W113" i="9"/>
  <c r="W114" i="9"/>
  <c r="W115" i="9"/>
  <c r="W116" i="9"/>
  <c r="W117" i="9"/>
  <c r="W118" i="9"/>
  <c r="W119" i="9"/>
  <c r="W120" i="9"/>
  <c r="W121" i="9"/>
  <c r="W122" i="9"/>
  <c r="W123" i="9"/>
  <c r="W124" i="9"/>
  <c r="W125" i="9"/>
  <c r="W126" i="9"/>
  <c r="W127" i="9"/>
  <c r="W128" i="9"/>
  <c r="W129" i="9"/>
  <c r="W130" i="9"/>
  <c r="W131" i="9"/>
  <c r="W132" i="9"/>
  <c r="W133" i="9"/>
  <c r="W134" i="9"/>
  <c r="W135" i="9"/>
  <c r="W136" i="9"/>
  <c r="W137" i="9"/>
  <c r="W138" i="9"/>
  <c r="W139" i="9"/>
  <c r="W140" i="9"/>
  <c r="W141" i="9"/>
  <c r="W142" i="9"/>
  <c r="W143" i="9"/>
  <c r="W144" i="9"/>
  <c r="W145" i="9"/>
  <c r="W146" i="9"/>
  <c r="W147" i="9"/>
  <c r="W148" i="9"/>
  <c r="W149" i="9"/>
  <c r="W150" i="9"/>
  <c r="W151" i="9"/>
  <c r="W152" i="9"/>
  <c r="W153" i="9"/>
  <c r="W154" i="9"/>
  <c r="W155" i="9"/>
  <c r="W156" i="9"/>
  <c r="W157" i="9"/>
  <c r="W158" i="9"/>
  <c r="W159" i="9"/>
  <c r="W160" i="9"/>
  <c r="W161" i="9"/>
  <c r="W162" i="9"/>
  <c r="W163" i="9"/>
  <c r="W164" i="9"/>
  <c r="W165" i="9"/>
  <c r="W166" i="9"/>
  <c r="W167" i="9"/>
  <c r="W168" i="9"/>
  <c r="W169" i="9"/>
  <c r="W170" i="9"/>
  <c r="W171" i="9"/>
  <c r="W172" i="9"/>
  <c r="W173" i="9"/>
  <c r="W174" i="9"/>
  <c r="W175" i="9"/>
  <c r="W176" i="9"/>
  <c r="W177" i="9"/>
  <c r="W178" i="9"/>
  <c r="W179" i="9"/>
  <c r="W180" i="9"/>
  <c r="W181" i="9"/>
  <c r="W182" i="9"/>
  <c r="W183" i="9"/>
  <c r="W184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05" i="9"/>
  <c r="W206" i="9"/>
  <c r="W207" i="9"/>
  <c r="W208" i="9"/>
  <c r="W209" i="9"/>
  <c r="W210" i="9"/>
  <c r="W211" i="9"/>
  <c r="W212" i="9"/>
  <c r="W213" i="9"/>
  <c r="W214" i="9"/>
  <c r="W215" i="9"/>
  <c r="W216" i="9"/>
  <c r="W217" i="9"/>
  <c r="W218" i="9"/>
  <c r="W219" i="9"/>
  <c r="W220" i="9"/>
  <c r="W221" i="9"/>
  <c r="W222" i="9"/>
  <c r="W223" i="9"/>
  <c r="W22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285" i="9"/>
  <c r="W286" i="9"/>
  <c r="W287" i="9"/>
  <c r="W288" i="9"/>
  <c r="W289" i="9"/>
  <c r="W290" i="9"/>
  <c r="W291" i="9"/>
  <c r="W292" i="9"/>
  <c r="W293" i="9"/>
  <c r="W294" i="9"/>
  <c r="W295" i="9"/>
  <c r="W296" i="9"/>
  <c r="W297" i="9"/>
  <c r="W298" i="9"/>
  <c r="W299" i="9"/>
  <c r="W300" i="9"/>
  <c r="W301" i="9"/>
  <c r="W302" i="9"/>
  <c r="W303" i="9"/>
  <c r="W30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325" i="9"/>
  <c r="W326" i="9"/>
  <c r="W327" i="9"/>
  <c r="W328" i="9"/>
  <c r="W329" i="9"/>
  <c r="W330" i="9"/>
  <c r="W331" i="9"/>
  <c r="W332" i="9"/>
  <c r="W333" i="9"/>
  <c r="W334" i="9"/>
  <c r="W335" i="9"/>
  <c r="W336" i="9"/>
  <c r="W337" i="9"/>
  <c r="W338" i="9"/>
  <c r="W339" i="9"/>
  <c r="W340" i="9"/>
  <c r="W341" i="9"/>
  <c r="W342" i="9"/>
  <c r="W343" i="9"/>
  <c r="W344" i="9"/>
  <c r="W345" i="9"/>
  <c r="W346" i="9"/>
  <c r="W347" i="9"/>
  <c r="W348" i="9"/>
  <c r="W349" i="9"/>
  <c r="W350" i="9"/>
  <c r="W351" i="9"/>
  <c r="W352" i="9"/>
  <c r="W353" i="9"/>
  <c r="W354" i="9"/>
  <c r="W355" i="9"/>
  <c r="W356" i="9"/>
  <c r="W357" i="9"/>
  <c r="W358" i="9"/>
  <c r="W359" i="9"/>
  <c r="W360" i="9"/>
  <c r="W361" i="9"/>
  <c r="W362" i="9"/>
  <c r="W363" i="9"/>
  <c r="W364" i="9"/>
  <c r="W365" i="9"/>
  <c r="W366" i="9"/>
  <c r="W367" i="9"/>
  <c r="W368" i="9"/>
  <c r="W369" i="9"/>
  <c r="W370" i="9"/>
  <c r="W371" i="9"/>
  <c r="W372" i="9"/>
  <c r="W373" i="9"/>
  <c r="W374" i="9"/>
  <c r="W375" i="9"/>
  <c r="W376" i="9"/>
  <c r="W377" i="9"/>
  <c r="W378" i="9"/>
  <c r="W379" i="9"/>
  <c r="W380" i="9"/>
  <c r="W381" i="9"/>
  <c r="W382" i="9"/>
  <c r="W383" i="9"/>
  <c r="W384" i="9"/>
  <c r="W385" i="9"/>
  <c r="W386" i="9"/>
  <c r="W387" i="9"/>
  <c r="W388" i="9"/>
  <c r="W389" i="9"/>
  <c r="W390" i="9"/>
  <c r="W391" i="9"/>
  <c r="W392" i="9"/>
  <c r="W393" i="9"/>
  <c r="W394" i="9"/>
  <c r="W395" i="9"/>
  <c r="W396" i="9"/>
  <c r="W397" i="9"/>
  <c r="W398" i="9"/>
  <c r="W399" i="9"/>
  <c r="W400" i="9"/>
  <c r="W401" i="9"/>
  <c r="W402" i="9"/>
  <c r="W403" i="9"/>
  <c r="W404" i="9"/>
  <c r="W405" i="9"/>
  <c r="W406" i="9"/>
  <c r="W407" i="9"/>
  <c r="W408" i="9"/>
  <c r="W409" i="9"/>
  <c r="W410" i="9"/>
  <c r="W411" i="9"/>
  <c r="W412" i="9"/>
  <c r="W413" i="9"/>
  <c r="W414" i="9"/>
  <c r="W415" i="9"/>
  <c r="W416" i="9"/>
  <c r="W417" i="9"/>
  <c r="W418" i="9"/>
  <c r="W419" i="9"/>
  <c r="W420" i="9"/>
  <c r="W421" i="9"/>
  <c r="W422" i="9"/>
  <c r="W423" i="9"/>
  <c r="W4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30" i="9"/>
  <c r="R32" i="9"/>
  <c r="R33" i="9" s="1"/>
  <c r="R31" i="9"/>
  <c r="R30" i="9"/>
  <c r="AA23" i="9"/>
  <c r="Z31" i="9"/>
  <c r="Z32" i="9"/>
  <c r="Z33" i="9"/>
  <c r="Y31" i="9"/>
  <c r="Y32" i="9"/>
  <c r="Y33" i="9"/>
  <c r="X31" i="9"/>
  <c r="X32" i="9"/>
  <c r="X33" i="9"/>
  <c r="R13" i="10" l="1"/>
  <c r="R8" i="10"/>
  <c r="P35" i="16"/>
  <c r="B5" i="15"/>
  <c r="B6" i="15"/>
  <c r="I12" i="18"/>
  <c r="H13" i="18"/>
  <c r="Z11" i="18"/>
  <c r="Y12" i="18"/>
  <c r="R34" i="8"/>
  <c r="AA33" i="8"/>
  <c r="X33" i="8"/>
  <c r="T33" i="8"/>
  <c r="Y33" i="8"/>
  <c r="W33" i="8"/>
  <c r="R34" i="9"/>
  <c r="Y30" i="9"/>
  <c r="Z30" i="9"/>
  <c r="X30" i="9"/>
  <c r="Y13" i="18" l="1"/>
  <c r="Z12" i="18"/>
  <c r="H14" i="18"/>
  <c r="I13" i="18"/>
  <c r="R35" i="8"/>
  <c r="Z34" i="8"/>
  <c r="W34" i="8"/>
  <c r="X34" i="8"/>
  <c r="Y34" i="8"/>
  <c r="T34" i="8"/>
  <c r="AA34" i="8"/>
  <c r="U34" i="8"/>
  <c r="V34" i="8"/>
  <c r="R35" i="9"/>
  <c r="Z34" i="9"/>
  <c r="Y34" i="9"/>
  <c r="X34" i="9"/>
  <c r="Y14" i="18" l="1"/>
  <c r="Z13" i="18"/>
  <c r="H15" i="18"/>
  <c r="I14" i="18"/>
  <c r="R36" i="8"/>
  <c r="AA35" i="8"/>
  <c r="Z35" i="8"/>
  <c r="W35" i="8"/>
  <c r="Y35" i="8"/>
  <c r="V35" i="8"/>
  <c r="U35" i="8"/>
  <c r="T35" i="8"/>
  <c r="X35" i="8"/>
  <c r="R36" i="9"/>
  <c r="Z35" i="9"/>
  <c r="X35" i="9"/>
  <c r="Y35" i="9"/>
  <c r="H16" i="18" l="1"/>
  <c r="I15" i="18"/>
  <c r="Y15" i="18"/>
  <c r="Z14" i="18"/>
  <c r="R37" i="8"/>
  <c r="AA36" i="8"/>
  <c r="U36" i="8"/>
  <c r="Z36" i="8"/>
  <c r="W36" i="8"/>
  <c r="Y36" i="8"/>
  <c r="V36" i="8"/>
  <c r="X36" i="8"/>
  <c r="T36" i="8"/>
  <c r="R37" i="9"/>
  <c r="Z36" i="9"/>
  <c r="Y36" i="9"/>
  <c r="X36" i="9"/>
  <c r="Y16" i="18" l="1"/>
  <c r="Z15" i="18"/>
  <c r="H17" i="18"/>
  <c r="I16" i="18"/>
  <c r="R38" i="8"/>
  <c r="Y37" i="8"/>
  <c r="Z37" i="8"/>
  <c r="X37" i="8"/>
  <c r="W37" i="8"/>
  <c r="V37" i="8"/>
  <c r="U37" i="8"/>
  <c r="AA37" i="8"/>
  <c r="T37" i="8"/>
  <c r="R38" i="9"/>
  <c r="Z37" i="9"/>
  <c r="Y37" i="9"/>
  <c r="X37" i="9"/>
  <c r="I17" i="18" l="1"/>
  <c r="H18" i="18"/>
  <c r="Y17" i="18"/>
  <c r="Z16" i="18"/>
  <c r="R39" i="8"/>
  <c r="AA38" i="8"/>
  <c r="Y38" i="8"/>
  <c r="Z38" i="8"/>
  <c r="X38" i="8"/>
  <c r="V38" i="8"/>
  <c r="W38" i="8"/>
  <c r="T38" i="8"/>
  <c r="U38" i="8"/>
  <c r="R39" i="9"/>
  <c r="Z38" i="9"/>
  <c r="Y38" i="9"/>
  <c r="X38" i="9"/>
  <c r="Y18" i="18" l="1"/>
  <c r="Z17" i="18"/>
  <c r="H19" i="18"/>
  <c r="I18" i="18"/>
  <c r="R40" i="8"/>
  <c r="V39" i="8"/>
  <c r="Z39" i="8"/>
  <c r="X39" i="8"/>
  <c r="T39" i="8"/>
  <c r="AA39" i="8"/>
  <c r="Y39" i="8"/>
  <c r="W39" i="8"/>
  <c r="U39" i="8"/>
  <c r="R40" i="9"/>
  <c r="Z39" i="9"/>
  <c r="X39" i="9"/>
  <c r="Y39" i="9"/>
  <c r="Y19" i="18" l="1"/>
  <c r="Z18" i="18"/>
  <c r="H20" i="18"/>
  <c r="I19" i="18"/>
  <c r="R41" i="8"/>
  <c r="AA40" i="8"/>
  <c r="Z40" i="8"/>
  <c r="Y40" i="8"/>
  <c r="X40" i="8"/>
  <c r="V40" i="8"/>
  <c r="W40" i="8"/>
  <c r="T40" i="8"/>
  <c r="U40" i="8"/>
  <c r="R41" i="9"/>
  <c r="Y40" i="9"/>
  <c r="X40" i="9"/>
  <c r="Z40" i="9"/>
  <c r="V25" i="7" a="1"/>
  <c r="V25" i="7" s="1"/>
  <c r="G38" i="4"/>
  <c r="E21" i="1"/>
  <c r="G21" i="1" s="1"/>
  <c r="G22" i="1" s="1"/>
  <c r="D21" i="1"/>
  <c r="C21" i="1"/>
  <c r="B21" i="1"/>
  <c r="Y20" i="18" l="1"/>
  <c r="Z19" i="18"/>
  <c r="H21" i="18"/>
  <c r="I20" i="18"/>
  <c r="R42" i="8"/>
  <c r="AA41" i="8"/>
  <c r="Y41" i="8"/>
  <c r="V41" i="8"/>
  <c r="T41" i="8"/>
  <c r="Z41" i="8"/>
  <c r="X41" i="8"/>
  <c r="W41" i="8"/>
  <c r="U41" i="8"/>
  <c r="R42" i="9"/>
  <c r="Y41" i="9"/>
  <c r="Z41" i="9"/>
  <c r="X41" i="9"/>
  <c r="J4" i="1"/>
  <c r="Q4" i="1"/>
  <c r="X4" i="1"/>
  <c r="Y10" i="1" s="1"/>
  <c r="X14" i="1" s="1"/>
  <c r="D19" i="1" s="1"/>
  <c r="AE4" i="1"/>
  <c r="AE5" i="1"/>
  <c r="X5" i="1"/>
  <c r="T5" i="1"/>
  <c r="Q5" i="1"/>
  <c r="J5" i="1"/>
  <c r="M5" i="1" s="1"/>
  <c r="AE3" i="1"/>
  <c r="AF8" i="1" s="1"/>
  <c r="X3" i="1"/>
  <c r="Y8" i="1" s="1"/>
  <c r="Q3" i="1"/>
  <c r="U12" i="1" s="1"/>
  <c r="M3" i="1"/>
  <c r="J3" i="1"/>
  <c r="K8" i="1" s="1"/>
  <c r="I12" i="17"/>
  <c r="B28" i="1"/>
  <c r="B5" i="1"/>
  <c r="E5" i="1"/>
  <c r="T19" i="15"/>
  <c r="S19" i="15"/>
  <c r="R19" i="15"/>
  <c r="E22" i="15"/>
  <c r="D22" i="15"/>
  <c r="C22" i="15"/>
  <c r="B22" i="15"/>
  <c r="E21" i="15"/>
  <c r="D21" i="15"/>
  <c r="C21" i="15"/>
  <c r="B21" i="15"/>
  <c r="E20" i="15"/>
  <c r="D20" i="15"/>
  <c r="C20" i="15"/>
  <c r="B20" i="15"/>
  <c r="E6" i="15"/>
  <c r="C6" i="15"/>
  <c r="E4" i="15"/>
  <c r="T3" i="15"/>
  <c r="S3" i="15"/>
  <c r="R3" i="15"/>
  <c r="E5" i="15"/>
  <c r="C5" i="15"/>
  <c r="C4" i="15"/>
  <c r="D4" i="15"/>
  <c r="D6" i="15"/>
  <c r="B4" i="15"/>
  <c r="D5" i="15"/>
  <c r="U1" i="2"/>
  <c r="B4" i="1"/>
  <c r="O18" i="10" a="1"/>
  <c r="V19" i="10"/>
  <c r="V20" i="10"/>
  <c r="V21" i="10"/>
  <c r="V22" i="10"/>
  <c r="V23" i="10"/>
  <c r="V24" i="10"/>
  <c r="V25" i="10"/>
  <c r="V26" i="10"/>
  <c r="V27" i="10"/>
  <c r="V28" i="10"/>
  <c r="V29" i="10"/>
  <c r="V30" i="10"/>
  <c r="V31" i="10"/>
  <c r="V32" i="10"/>
  <c r="V33" i="10"/>
  <c r="V34" i="10"/>
  <c r="V35" i="10"/>
  <c r="V36" i="10"/>
  <c r="V37" i="10"/>
  <c r="V38" i="10"/>
  <c r="V39" i="10"/>
  <c r="V40" i="10"/>
  <c r="V41" i="10"/>
  <c r="V42" i="10"/>
  <c r="V43" i="10"/>
  <c r="V44" i="10"/>
  <c r="V45" i="10"/>
  <c r="V46" i="10"/>
  <c r="V47" i="10"/>
  <c r="V48" i="10"/>
  <c r="V49" i="10"/>
  <c r="V50" i="10"/>
  <c r="V51" i="10"/>
  <c r="V52" i="10"/>
  <c r="V53" i="10"/>
  <c r="V54" i="10"/>
  <c r="V55" i="10"/>
  <c r="V56" i="10"/>
  <c r="V57" i="10"/>
  <c r="V58" i="10"/>
  <c r="V59" i="10"/>
  <c r="V60" i="10"/>
  <c r="V61" i="10"/>
  <c r="V62" i="10"/>
  <c r="V63" i="10"/>
  <c r="V64" i="10"/>
  <c r="V65" i="10"/>
  <c r="V66" i="10"/>
  <c r="V67" i="10"/>
  <c r="V68" i="10"/>
  <c r="V69" i="10"/>
  <c r="V70" i="10"/>
  <c r="V71" i="10"/>
  <c r="V72" i="10"/>
  <c r="V73" i="10"/>
  <c r="V74" i="10"/>
  <c r="V75" i="10"/>
  <c r="V76" i="10"/>
  <c r="V77" i="10"/>
  <c r="V78" i="10"/>
  <c r="V79" i="10"/>
  <c r="V80" i="10"/>
  <c r="V81" i="10"/>
  <c r="V82" i="10"/>
  <c r="V83" i="10"/>
  <c r="V84" i="10"/>
  <c r="V85" i="10"/>
  <c r="V86" i="10"/>
  <c r="V87" i="10"/>
  <c r="V88" i="10"/>
  <c r="V89" i="10"/>
  <c r="V90" i="10"/>
  <c r="V91" i="10"/>
  <c r="V92" i="10"/>
  <c r="V93" i="10"/>
  <c r="V94" i="10"/>
  <c r="V95" i="10"/>
  <c r="V96" i="10"/>
  <c r="V97" i="10"/>
  <c r="V98" i="10"/>
  <c r="V99" i="10"/>
  <c r="V100" i="10"/>
  <c r="V101" i="10"/>
  <c r="V102" i="10"/>
  <c r="V103" i="10"/>
  <c r="V104" i="10"/>
  <c r="V105" i="10"/>
  <c r="V106" i="10"/>
  <c r="V107" i="10"/>
  <c r="V108" i="10"/>
  <c r="V109" i="10"/>
  <c r="V110" i="10"/>
  <c r="V111" i="10"/>
  <c r="V112" i="10"/>
  <c r="V113" i="10"/>
  <c r="V114" i="10"/>
  <c r="V115" i="10"/>
  <c r="V116" i="10"/>
  <c r="V117" i="10"/>
  <c r="V118" i="10"/>
  <c r="V119" i="10"/>
  <c r="V120" i="10"/>
  <c r="V121" i="10"/>
  <c r="V122" i="10"/>
  <c r="V123" i="10"/>
  <c r="V124" i="10"/>
  <c r="V125" i="10"/>
  <c r="V126" i="10"/>
  <c r="V127" i="10"/>
  <c r="V128" i="10"/>
  <c r="V129" i="10"/>
  <c r="V130" i="10"/>
  <c r="V131" i="10"/>
  <c r="V132" i="10"/>
  <c r="V133" i="10"/>
  <c r="V134" i="10"/>
  <c r="V135" i="10"/>
  <c r="V136" i="10"/>
  <c r="V137" i="10"/>
  <c r="V138" i="10"/>
  <c r="V139" i="10"/>
  <c r="V140" i="10"/>
  <c r="V141" i="10"/>
  <c r="V142" i="10"/>
  <c r="V143" i="10"/>
  <c r="V144" i="10"/>
  <c r="V145" i="10"/>
  <c r="V146" i="10"/>
  <c r="V147" i="10"/>
  <c r="V148" i="10"/>
  <c r="V149" i="10"/>
  <c r="V150" i="10"/>
  <c r="V151" i="10"/>
  <c r="V152" i="10"/>
  <c r="V153" i="10"/>
  <c r="V154" i="10"/>
  <c r="V155" i="10"/>
  <c r="V156" i="10"/>
  <c r="V157" i="10"/>
  <c r="V158" i="10"/>
  <c r="V159" i="10"/>
  <c r="V160" i="10"/>
  <c r="V161" i="10"/>
  <c r="V162" i="10"/>
  <c r="V163" i="10"/>
  <c r="V164" i="10"/>
  <c r="V165" i="10"/>
  <c r="V166" i="10"/>
  <c r="V167" i="10"/>
  <c r="V168" i="10"/>
  <c r="V169" i="10"/>
  <c r="V170" i="10"/>
  <c r="V171" i="10"/>
  <c r="V172" i="10"/>
  <c r="V173" i="10"/>
  <c r="V174" i="10"/>
  <c r="V175" i="10"/>
  <c r="V176" i="10"/>
  <c r="V177" i="10"/>
  <c r="V178" i="10"/>
  <c r="V179" i="10"/>
  <c r="V180" i="10"/>
  <c r="V181" i="10"/>
  <c r="V182" i="10"/>
  <c r="V183" i="10"/>
  <c r="V184" i="10"/>
  <c r="V185" i="10"/>
  <c r="V186" i="10"/>
  <c r="V187" i="10"/>
  <c r="V188" i="10"/>
  <c r="V189" i="10"/>
  <c r="V190" i="10"/>
  <c r="V191" i="10"/>
  <c r="V192" i="10"/>
  <c r="V193" i="10"/>
  <c r="V194" i="10"/>
  <c r="V195" i="10"/>
  <c r="V196" i="10"/>
  <c r="V197" i="10"/>
  <c r="V198" i="10"/>
  <c r="V199" i="10"/>
  <c r="V200" i="10"/>
  <c r="V201" i="10"/>
  <c r="V202" i="10"/>
  <c r="V203" i="10"/>
  <c r="V204" i="10"/>
  <c r="V205" i="10"/>
  <c r="V206" i="10"/>
  <c r="V207" i="10"/>
  <c r="V208" i="10"/>
  <c r="V209" i="10"/>
  <c r="V210" i="10"/>
  <c r="V211" i="10"/>
  <c r="V212" i="10"/>
  <c r="V213" i="10"/>
  <c r="V214" i="10"/>
  <c r="V215" i="10"/>
  <c r="V216" i="10"/>
  <c r="V217" i="10"/>
  <c r="V218" i="10"/>
  <c r="V219" i="10"/>
  <c r="V220" i="10"/>
  <c r="V221" i="10"/>
  <c r="V222" i="10"/>
  <c r="V223" i="10"/>
  <c r="V224" i="10"/>
  <c r="V225" i="10"/>
  <c r="V226" i="10"/>
  <c r="V227" i="10"/>
  <c r="V228" i="10"/>
  <c r="V229" i="10"/>
  <c r="V230" i="10"/>
  <c r="V18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124" i="10"/>
  <c r="R125" i="10"/>
  <c r="R126" i="10"/>
  <c r="R127" i="10"/>
  <c r="R128" i="10"/>
  <c r="R129" i="10"/>
  <c r="R130" i="10"/>
  <c r="R131" i="10"/>
  <c r="R132" i="10"/>
  <c r="R133" i="10"/>
  <c r="R134" i="10"/>
  <c r="R135" i="10"/>
  <c r="R136" i="10"/>
  <c r="R137" i="10"/>
  <c r="R138" i="10"/>
  <c r="R139" i="10"/>
  <c r="R140" i="10"/>
  <c r="R141" i="10"/>
  <c r="R142" i="10"/>
  <c r="R143" i="10"/>
  <c r="R144" i="10"/>
  <c r="R145" i="10"/>
  <c r="R146" i="10"/>
  <c r="R147" i="10"/>
  <c r="R148" i="10"/>
  <c r="R149" i="10"/>
  <c r="R150" i="10"/>
  <c r="R151" i="10"/>
  <c r="R152" i="10"/>
  <c r="R153" i="10"/>
  <c r="R154" i="10"/>
  <c r="R155" i="10"/>
  <c r="R156" i="10"/>
  <c r="R157" i="10"/>
  <c r="R158" i="10"/>
  <c r="R159" i="10"/>
  <c r="R160" i="10"/>
  <c r="R161" i="10"/>
  <c r="R162" i="10"/>
  <c r="R163" i="10"/>
  <c r="R164" i="10"/>
  <c r="R165" i="10"/>
  <c r="R166" i="10"/>
  <c r="R167" i="10"/>
  <c r="R168" i="10"/>
  <c r="R169" i="10"/>
  <c r="R170" i="10"/>
  <c r="R171" i="10"/>
  <c r="R172" i="10"/>
  <c r="R173" i="10"/>
  <c r="R174" i="10"/>
  <c r="R175" i="10"/>
  <c r="R176" i="10"/>
  <c r="R177" i="10"/>
  <c r="R178" i="10"/>
  <c r="R179" i="10"/>
  <c r="R180" i="10"/>
  <c r="R181" i="10"/>
  <c r="R182" i="10"/>
  <c r="R183" i="10"/>
  <c r="R184" i="10"/>
  <c r="R185" i="10"/>
  <c r="R186" i="10"/>
  <c r="R187" i="10"/>
  <c r="R188" i="10"/>
  <c r="R189" i="10"/>
  <c r="R190" i="10"/>
  <c r="R191" i="10"/>
  <c r="R192" i="10"/>
  <c r="R193" i="10"/>
  <c r="R194" i="10"/>
  <c r="R195" i="10"/>
  <c r="R196" i="10"/>
  <c r="R197" i="10"/>
  <c r="R198" i="10"/>
  <c r="R199" i="10"/>
  <c r="R200" i="10"/>
  <c r="R201" i="10"/>
  <c r="R202" i="10"/>
  <c r="R203" i="10"/>
  <c r="R204" i="10"/>
  <c r="R205" i="10"/>
  <c r="R206" i="10"/>
  <c r="R207" i="10"/>
  <c r="R208" i="10"/>
  <c r="R209" i="10"/>
  <c r="R210" i="10"/>
  <c r="R211" i="10"/>
  <c r="R212" i="10"/>
  <c r="R213" i="10"/>
  <c r="R214" i="10"/>
  <c r="R215" i="10"/>
  <c r="R216" i="10"/>
  <c r="R217" i="10"/>
  <c r="R218" i="10"/>
  <c r="R219" i="10"/>
  <c r="R220" i="10"/>
  <c r="R221" i="10"/>
  <c r="R222" i="10"/>
  <c r="R223" i="10"/>
  <c r="R224" i="10"/>
  <c r="R225" i="10"/>
  <c r="R226" i="10"/>
  <c r="R227" i="10"/>
  <c r="R228" i="10"/>
  <c r="R229" i="10"/>
  <c r="R230" i="10"/>
  <c r="R5" i="7"/>
  <c r="Q5" i="7"/>
  <c r="N5" i="7"/>
  <c r="AD5" i="7" s="1"/>
  <c r="M5" i="7"/>
  <c r="K29" i="9"/>
  <c r="K33" i="9" s="1"/>
  <c r="AA5" i="7"/>
  <c r="V5" i="7"/>
  <c r="V6" i="7" s="1"/>
  <c r="K30" i="8"/>
  <c r="F5" i="7" s="1"/>
  <c r="H5" i="7"/>
  <c r="G5" i="7"/>
  <c r="D5" i="7"/>
  <c r="Y6" i="7" s="1"/>
  <c r="C5" i="7"/>
  <c r="N24" i="7"/>
  <c r="Q8" i="7"/>
  <c r="G8" i="7"/>
  <c r="T9" i="9"/>
  <c r="R9" i="8"/>
  <c r="Z17" i="23" l="1"/>
  <c r="Z11" i="23"/>
  <c r="Q8" i="1"/>
  <c r="X10" i="1"/>
  <c r="Q21" i="21"/>
  <c r="Q29" i="21"/>
  <c r="Q26" i="21"/>
  <c r="Q22" i="21"/>
  <c r="Q23" i="21"/>
  <c r="Q24" i="21"/>
  <c r="Q25" i="21"/>
  <c r="Q27" i="21"/>
  <c r="Q28" i="21"/>
  <c r="G5" i="15"/>
  <c r="G4" i="15"/>
  <c r="I4" i="15"/>
  <c r="G21" i="15"/>
  <c r="I22" i="15"/>
  <c r="I20" i="15"/>
  <c r="G20" i="15"/>
  <c r="F21" i="15"/>
  <c r="F22" i="15"/>
  <c r="G22" i="15"/>
  <c r="F4" i="15"/>
  <c r="I5" i="15"/>
  <c r="Q10" i="1"/>
  <c r="R11" i="1"/>
  <c r="R10" i="1"/>
  <c r="Q12" i="1"/>
  <c r="H22" i="18"/>
  <c r="I21" i="18"/>
  <c r="Y21" i="18"/>
  <c r="Z20" i="18"/>
  <c r="H21" i="15"/>
  <c r="F5" i="15"/>
  <c r="F6" i="15"/>
  <c r="G6" i="15"/>
  <c r="H5" i="15"/>
  <c r="I6" i="15"/>
  <c r="H4" i="15"/>
  <c r="F20" i="15"/>
  <c r="H6" i="15"/>
  <c r="P18" i="10"/>
  <c r="R43" i="8"/>
  <c r="W42" i="8"/>
  <c r="X42" i="8"/>
  <c r="Y42" i="8"/>
  <c r="T42" i="8"/>
  <c r="V42" i="8"/>
  <c r="AA42" i="8"/>
  <c r="U42" i="8"/>
  <c r="Z42" i="8"/>
  <c r="R43" i="9"/>
  <c r="Y42" i="9"/>
  <c r="Z42" i="9"/>
  <c r="X42" i="9"/>
  <c r="AE10" i="1"/>
  <c r="U9" i="1"/>
  <c r="S10" i="1"/>
  <c r="T8" i="1"/>
  <c r="U8" i="1"/>
  <c r="AA5" i="1"/>
  <c r="X12" i="1" s="1"/>
  <c r="AB8" i="1"/>
  <c r="AB11" i="1"/>
  <c r="Y12" i="1"/>
  <c r="AB12" i="1"/>
  <c r="AH5" i="1"/>
  <c r="AF11" i="1" s="1"/>
  <c r="AG11" i="1"/>
  <c r="U11" i="1"/>
  <c r="R12" i="1"/>
  <c r="AF10" i="1"/>
  <c r="AE14" i="1" s="1"/>
  <c r="E19" i="1" s="1"/>
  <c r="B29" i="1" s="1"/>
  <c r="AF12" i="1"/>
  <c r="AI12" i="1"/>
  <c r="AE12" i="1"/>
  <c r="AI11" i="1"/>
  <c r="Y11" i="1"/>
  <c r="AE8" i="1"/>
  <c r="AG10" i="1"/>
  <c r="AG8" i="1"/>
  <c r="AH8" i="1"/>
  <c r="X8" i="1"/>
  <c r="Z10" i="1"/>
  <c r="Z8" i="1"/>
  <c r="AA11" i="1"/>
  <c r="AA8" i="1"/>
  <c r="R8" i="1"/>
  <c r="S11" i="1"/>
  <c r="S8" i="1"/>
  <c r="T11" i="1"/>
  <c r="K9" i="1"/>
  <c r="J14" i="1" s="1"/>
  <c r="B19" i="1" s="1"/>
  <c r="B26" i="1" s="1"/>
  <c r="L9" i="1"/>
  <c r="M10" i="1"/>
  <c r="N12" i="1"/>
  <c r="L8" i="1"/>
  <c r="J8" i="1"/>
  <c r="AH10" i="1"/>
  <c r="AF9" i="1"/>
  <c r="AI10" i="1"/>
  <c r="AG12" i="1"/>
  <c r="AG9" i="1"/>
  <c r="AE11" i="1"/>
  <c r="AH12" i="1"/>
  <c r="AE9" i="1"/>
  <c r="AH9" i="1"/>
  <c r="X9" i="1"/>
  <c r="AA10" i="1"/>
  <c r="Y9" i="1"/>
  <c r="AB10" i="1"/>
  <c r="Z12" i="1"/>
  <c r="Z9" i="1"/>
  <c r="X11" i="1"/>
  <c r="AA12" i="1"/>
  <c r="AA9" i="1"/>
  <c r="R9" i="1"/>
  <c r="U10" i="1"/>
  <c r="S12" i="1"/>
  <c r="S9" i="1"/>
  <c r="Q11" i="1"/>
  <c r="T12" i="1"/>
  <c r="Q9" i="1"/>
  <c r="T10" i="1"/>
  <c r="T9" i="1"/>
  <c r="N9" i="1"/>
  <c r="L11" i="1"/>
  <c r="J10" i="1"/>
  <c r="M11" i="1"/>
  <c r="N11" i="1"/>
  <c r="N10" i="1"/>
  <c r="J11" i="1"/>
  <c r="M9" i="1"/>
  <c r="K11" i="1"/>
  <c r="M8" i="1"/>
  <c r="K10" i="1"/>
  <c r="N8" i="1"/>
  <c r="L10" i="1"/>
  <c r="J12" i="1"/>
  <c r="J9" i="1"/>
  <c r="K12" i="1"/>
  <c r="L12" i="1"/>
  <c r="M12" i="1"/>
  <c r="F8" i="1"/>
  <c r="E12" i="1"/>
  <c r="F11" i="1"/>
  <c r="F12" i="1"/>
  <c r="B12" i="1"/>
  <c r="C12" i="1"/>
  <c r="D12" i="1"/>
  <c r="H22" i="15"/>
  <c r="H20" i="15"/>
  <c r="I21" i="15"/>
  <c r="F9" i="1"/>
  <c r="F10" i="1"/>
  <c r="R10" i="10"/>
  <c r="N26" i="21" s="1"/>
  <c r="O18" i="10"/>
  <c r="Q20" i="21" s="1"/>
  <c r="R90" i="10"/>
  <c r="R83" i="10"/>
  <c r="Y13" i="7"/>
  <c r="R89" i="10"/>
  <c r="P14" i="10"/>
  <c r="W11" i="10" s="1"/>
  <c r="V13" i="21" s="1"/>
  <c r="R82" i="10"/>
  <c r="R80" i="10"/>
  <c r="R79" i="10"/>
  <c r="R87" i="10"/>
  <c r="R78" i="10"/>
  <c r="R85" i="10"/>
  <c r="R86" i="10"/>
  <c r="R81" i="10"/>
  <c r="R88" i="10"/>
  <c r="R84" i="10"/>
  <c r="R42" i="10"/>
  <c r="R57" i="10"/>
  <c r="R61" i="10"/>
  <c r="R65" i="10"/>
  <c r="R69" i="10"/>
  <c r="R73" i="10"/>
  <c r="R77" i="10"/>
  <c r="R54" i="10"/>
  <c r="R58" i="10"/>
  <c r="R66" i="10"/>
  <c r="R70" i="10"/>
  <c r="R59" i="10"/>
  <c r="R67" i="10"/>
  <c r="R75" i="10"/>
  <c r="R56" i="10"/>
  <c r="R60" i="10"/>
  <c r="R64" i="10"/>
  <c r="R68" i="10"/>
  <c r="R72" i="10"/>
  <c r="R76" i="10"/>
  <c r="R71" i="10"/>
  <c r="R63" i="10"/>
  <c r="R55" i="10"/>
  <c r="R74" i="10"/>
  <c r="R62" i="10"/>
  <c r="R11" i="10"/>
  <c r="N22" i="21" s="1"/>
  <c r="R53" i="10"/>
  <c r="R44" i="10"/>
  <c r="R45" i="10"/>
  <c r="R48" i="10"/>
  <c r="R51" i="10"/>
  <c r="R47" i="10"/>
  <c r="R43" i="10"/>
  <c r="R49" i="10"/>
  <c r="R52" i="10"/>
  <c r="R50" i="10"/>
  <c r="R46" i="10"/>
  <c r="R19" i="10"/>
  <c r="R23" i="10"/>
  <c r="R27" i="10"/>
  <c r="R31" i="10"/>
  <c r="R35" i="10"/>
  <c r="R39" i="10"/>
  <c r="R22" i="10"/>
  <c r="R38" i="10"/>
  <c r="R20" i="10"/>
  <c r="R24" i="10"/>
  <c r="R28" i="10"/>
  <c r="R32" i="10"/>
  <c r="R36" i="10"/>
  <c r="R40" i="10"/>
  <c r="R26" i="10"/>
  <c r="R30" i="10"/>
  <c r="R21" i="10"/>
  <c r="R25" i="10"/>
  <c r="R29" i="10"/>
  <c r="R33" i="10"/>
  <c r="R37" i="10"/>
  <c r="R41" i="10"/>
  <c r="R34" i="10"/>
  <c r="Y12" i="7"/>
  <c r="Y5" i="7"/>
  <c r="Y4" i="7"/>
  <c r="Y11" i="7"/>
  <c r="Y18" i="7"/>
  <c r="Y10" i="7"/>
  <c r="Y17" i="7"/>
  <c r="Y9" i="7"/>
  <c r="Y16" i="7"/>
  <c r="Y8" i="7"/>
  <c r="Y15" i="7"/>
  <c r="Y7" i="7"/>
  <c r="Y14" i="7"/>
  <c r="AD4" i="7"/>
  <c r="AD12" i="7"/>
  <c r="P5" i="7"/>
  <c r="P14" i="7" s="1" a="1"/>
  <c r="P14" i="7" s="1"/>
  <c r="AD18" i="7"/>
  <c r="AD16" i="7"/>
  <c r="AD15" i="7"/>
  <c r="AD7" i="7"/>
  <c r="AD11" i="7"/>
  <c r="AD17" i="7"/>
  <c r="AD9" i="7"/>
  <c r="AD8" i="7"/>
  <c r="AD14" i="7"/>
  <c r="AD6" i="7"/>
  <c r="AD10" i="7"/>
  <c r="AD13" i="7"/>
  <c r="AA6" i="7"/>
  <c r="V7" i="7"/>
  <c r="F14" i="7" a="1"/>
  <c r="F14" i="7" s="1"/>
  <c r="K34" i="8"/>
  <c r="F24" i="7"/>
  <c r="E24" i="7"/>
  <c r="D24" i="7"/>
  <c r="G24" i="7" s="1"/>
  <c r="I19" i="4"/>
  <c r="E35" i="4"/>
  <c r="D33" i="4"/>
  <c r="H3" i="5"/>
  <c r="G33" i="4"/>
  <c r="Q12" i="4"/>
  <c r="J3" i="5"/>
  <c r="F3" i="5"/>
  <c r="D3" i="5"/>
  <c r="B3" i="5"/>
  <c r="G26" i="4"/>
  <c r="G19" i="4"/>
  <c r="D22" i="4"/>
  <c r="D19" i="4"/>
  <c r="Z28" i="23" l="1"/>
  <c r="Z34" i="23"/>
  <c r="AI9" i="1"/>
  <c r="Z11" i="1"/>
  <c r="O24" i="7"/>
  <c r="Q14" i="1"/>
  <c r="C19" i="1" s="1"/>
  <c r="B27" i="1" s="1"/>
  <c r="B31" i="1" s="1"/>
  <c r="O29" i="17" s="1"/>
  <c r="Y22" i="18"/>
  <c r="Z21" i="18"/>
  <c r="H23" i="18"/>
  <c r="I22" i="18"/>
  <c r="R44" i="8"/>
  <c r="AA43" i="8"/>
  <c r="Z43" i="8"/>
  <c r="X43" i="8"/>
  <c r="T43" i="8"/>
  <c r="W43" i="8"/>
  <c r="V43" i="8"/>
  <c r="Y43" i="8"/>
  <c r="U43" i="8"/>
  <c r="R44" i="9"/>
  <c r="Z43" i="9"/>
  <c r="Y43" i="9"/>
  <c r="X43" i="9"/>
  <c r="AB9" i="1"/>
  <c r="AH11" i="1"/>
  <c r="AI8" i="1"/>
  <c r="R18" i="10"/>
  <c r="T18" i="10" s="1"/>
  <c r="P24" i="7"/>
  <c r="Q24" i="7"/>
  <c r="AA7" i="7"/>
  <c r="V8" i="7"/>
  <c r="C25" i="7"/>
  <c r="F25" i="7" s="1"/>
  <c r="B25" i="7"/>
  <c r="E25" i="7" s="1"/>
  <c r="L28" i="5"/>
  <c r="L21" i="5"/>
  <c r="L22" i="5"/>
  <c r="L23" i="5"/>
  <c r="L24" i="5"/>
  <c r="L26" i="5"/>
  <c r="L25" i="5"/>
  <c r="L19" i="5"/>
  <c r="L27" i="5"/>
  <c r="L20" i="5"/>
  <c r="L11" i="5"/>
  <c r="L10" i="5"/>
  <c r="L18" i="5"/>
  <c r="L13" i="5"/>
  <c r="L17" i="5"/>
  <c r="L16" i="5"/>
  <c r="L15" i="5"/>
  <c r="L14" i="5"/>
  <c r="C8" i="5"/>
  <c r="C9" i="5"/>
  <c r="L12" i="5"/>
  <c r="L9" i="5"/>
  <c r="E9" i="5"/>
  <c r="T12" i="4" s="1"/>
  <c r="D9" i="5"/>
  <c r="D8" i="5"/>
  <c r="F9" i="5"/>
  <c r="F8" i="5"/>
  <c r="E8" i="5"/>
  <c r="D8" i="1"/>
  <c r="E10" i="1"/>
  <c r="B11" i="1"/>
  <c r="E8" i="1"/>
  <c r="E11" i="1"/>
  <c r="C8" i="1"/>
  <c r="C11" i="1"/>
  <c r="B9" i="1"/>
  <c r="D11" i="1"/>
  <c r="E9" i="1"/>
  <c r="B8" i="1"/>
  <c r="B10" i="1"/>
  <c r="C9" i="1"/>
  <c r="C10" i="1"/>
  <c r="D9" i="1"/>
  <c r="D10" i="1"/>
  <c r="X29" i="11" l="1"/>
  <c r="H22" i="4" s="1"/>
  <c r="H24" i="18"/>
  <c r="I23" i="18"/>
  <c r="Y23" i="18"/>
  <c r="Z22" i="18"/>
  <c r="R45" i="8"/>
  <c r="AA44" i="8"/>
  <c r="U44" i="8"/>
  <c r="X44" i="8"/>
  <c r="Y44" i="8"/>
  <c r="Z44" i="8"/>
  <c r="V44" i="8"/>
  <c r="T44" i="8"/>
  <c r="W44" i="8"/>
  <c r="R45" i="9"/>
  <c r="Z44" i="9"/>
  <c r="X44" i="9"/>
  <c r="Y44" i="9"/>
  <c r="Q18" i="10"/>
  <c r="M25" i="7"/>
  <c r="P25" i="7" s="1"/>
  <c r="L25" i="7"/>
  <c r="O25" i="7" s="1"/>
  <c r="AA8" i="7"/>
  <c r="V9" i="7"/>
  <c r="D25" i="7"/>
  <c r="H8" i="5"/>
  <c r="H9" i="5"/>
  <c r="F26" i="9" l="1"/>
  <c r="AA29" i="9" s="1"/>
  <c r="AA41" i="9" s="1"/>
  <c r="U18" i="10"/>
  <c r="Y24" i="18"/>
  <c r="Z23" i="18"/>
  <c r="H25" i="18"/>
  <c r="I24" i="18"/>
  <c r="R46" i="8"/>
  <c r="Y45" i="8"/>
  <c r="AA45" i="8"/>
  <c r="X45" i="8"/>
  <c r="W45" i="8"/>
  <c r="U45" i="8"/>
  <c r="V45" i="8"/>
  <c r="T45" i="8"/>
  <c r="Z45" i="8"/>
  <c r="R46" i="9"/>
  <c r="Z45" i="9"/>
  <c r="X45" i="9"/>
  <c r="Y45" i="9"/>
  <c r="G27" i="8"/>
  <c r="N25" i="7"/>
  <c r="Q25" i="7" s="1"/>
  <c r="M26" i="7" s="1"/>
  <c r="P26" i="7" s="1"/>
  <c r="AA9" i="7"/>
  <c r="V10" i="7"/>
  <c r="G25" i="7"/>
  <c r="B26" i="7" s="1"/>
  <c r="E26" i="7" s="1"/>
  <c r="AA33" i="9" l="1"/>
  <c r="AA45" i="9"/>
  <c r="AA31" i="9"/>
  <c r="AA38" i="9"/>
  <c r="AA44" i="9"/>
  <c r="AA40" i="9"/>
  <c r="AA36" i="9"/>
  <c r="AA32" i="9"/>
  <c r="AA35" i="9"/>
  <c r="AA39" i="9"/>
  <c r="O5" i="7"/>
  <c r="N13" i="7" s="1" a="1"/>
  <c r="N13" i="7" s="1"/>
  <c r="N12" i="7" s="1" a="1"/>
  <c r="N12" i="7" s="1"/>
  <c r="AA42" i="9"/>
  <c r="AA30" i="9"/>
  <c r="AA34" i="9"/>
  <c r="AA46" i="9"/>
  <c r="AA43" i="9"/>
  <c r="AA37" i="9"/>
  <c r="H26" i="18"/>
  <c r="I25" i="18"/>
  <c r="Y25" i="18"/>
  <c r="Z24" i="18"/>
  <c r="E5" i="7"/>
  <c r="X8" i="7" s="1"/>
  <c r="AB31" i="8"/>
  <c r="R47" i="8"/>
  <c r="AA46" i="8"/>
  <c r="W46" i="8"/>
  <c r="Y46" i="8"/>
  <c r="Z46" i="8"/>
  <c r="U46" i="8"/>
  <c r="X46" i="8"/>
  <c r="V46" i="8"/>
  <c r="T46" i="8"/>
  <c r="R47" i="9"/>
  <c r="Y46" i="9"/>
  <c r="Z46" i="9"/>
  <c r="X46" i="9"/>
  <c r="O8" i="7" a="1"/>
  <c r="O8" i="7" s="1"/>
  <c r="N8" i="7" a="1"/>
  <c r="N8" i="7" s="1"/>
  <c r="P10" i="7" a="1"/>
  <c r="P10" i="7" s="1"/>
  <c r="O10" i="7" a="1"/>
  <c r="O10" i="7" s="1"/>
  <c r="S3" i="16"/>
  <c r="P27" i="16"/>
  <c r="F19" i="22" s="1"/>
  <c r="L20" i="16"/>
  <c r="T3" i="16"/>
  <c r="P22" i="16"/>
  <c r="R3" i="16"/>
  <c r="P19" i="10"/>
  <c r="L26" i="7"/>
  <c r="N26" i="7" s="1"/>
  <c r="Q26" i="7" s="1"/>
  <c r="AA10" i="7"/>
  <c r="V11" i="7"/>
  <c r="C26" i="7"/>
  <c r="F26" i="7" s="1"/>
  <c r="AB9" i="7" l="1"/>
  <c r="AE9" i="7" s="1"/>
  <c r="AC9" i="7"/>
  <c r="P9" i="7" a="1"/>
  <c r="P9" i="7" s="1"/>
  <c r="O13" i="7" a="1"/>
  <c r="O13" i="7" s="1"/>
  <c r="O12" i="7" s="1" a="1"/>
  <c r="O12" i="7" s="1"/>
  <c r="AC6" i="7"/>
  <c r="N9" i="7" a="1"/>
  <c r="N9" i="7" s="1"/>
  <c r="P13" i="7" a="1"/>
  <c r="P13" i="7" s="1"/>
  <c r="P11" i="7" s="1" a="1"/>
  <c r="P11" i="7" s="1"/>
  <c r="P8" i="7" a="1"/>
  <c r="P8" i="7" s="1"/>
  <c r="AB6" i="7"/>
  <c r="AE6" i="7" s="1"/>
  <c r="AB7" i="7"/>
  <c r="AE7" i="7" s="1"/>
  <c r="AC4" i="7"/>
  <c r="N10" i="7" a="1"/>
  <c r="N10" i="7" s="1"/>
  <c r="N11" i="7" a="1"/>
  <c r="N11" i="7" s="1"/>
  <c r="AC7" i="7"/>
  <c r="AC8" i="7"/>
  <c r="AC5" i="7"/>
  <c r="AB4" i="7"/>
  <c r="AE4" i="7" s="1"/>
  <c r="AB8" i="7"/>
  <c r="AE8" i="7" s="1"/>
  <c r="AB5" i="7"/>
  <c r="AE5" i="7" s="1"/>
  <c r="O9" i="7" a="1"/>
  <c r="O9" i="7" s="1"/>
  <c r="Q19" i="10"/>
  <c r="U19" i="10" s="1"/>
  <c r="D8" i="7"/>
  <c r="X4" i="7"/>
  <c r="Y26" i="18"/>
  <c r="Z25" i="18"/>
  <c r="H27" i="18"/>
  <c r="I26" i="18"/>
  <c r="X7" i="7"/>
  <c r="W8" i="7"/>
  <c r="Z8" i="7" s="1"/>
  <c r="W9" i="7"/>
  <c r="Z9" i="7" s="1"/>
  <c r="E8" i="7"/>
  <c r="D13" i="7" a="1"/>
  <c r="D13" i="7" s="1"/>
  <c r="D11" i="7" s="1" a="1"/>
  <c r="D11" i="7" s="1"/>
  <c r="E9" i="7" a="1"/>
  <c r="E9" i="7" s="1"/>
  <c r="W7" i="7"/>
  <c r="Z7" i="7" s="1"/>
  <c r="F8" i="7" a="1"/>
  <c r="F8" i="7" s="1"/>
  <c r="W5" i="7"/>
  <c r="Z5" i="7" s="1"/>
  <c r="E10" i="7" a="1"/>
  <c r="E10" i="7" s="1"/>
  <c r="X6" i="7"/>
  <c r="D10" i="7"/>
  <c r="X10" i="7"/>
  <c r="X5" i="7"/>
  <c r="W6" i="7"/>
  <c r="Z6" i="7" s="1"/>
  <c r="W10" i="7"/>
  <c r="Z10" i="7" s="1"/>
  <c r="X9" i="7"/>
  <c r="F9" i="7" a="1"/>
  <c r="F9" i="7" s="1"/>
  <c r="F10" i="7"/>
  <c r="F13" i="7" a="1"/>
  <c r="F13" i="7" s="1"/>
  <c r="F12" i="7" s="1" a="1"/>
  <c r="F12" i="7" s="1"/>
  <c r="D9" i="7" a="1"/>
  <c r="D9" i="7" s="1"/>
  <c r="E13" i="7" a="1"/>
  <c r="E13" i="7" s="1"/>
  <c r="E11" i="7" s="1" a="1"/>
  <c r="E11" i="7" s="1"/>
  <c r="W4" i="7"/>
  <c r="Z4" i="7" s="1"/>
  <c r="AB33" i="8"/>
  <c r="AB41" i="8"/>
  <c r="AB34" i="8"/>
  <c r="AB42" i="8"/>
  <c r="AB35" i="8"/>
  <c r="AB43" i="8"/>
  <c r="AB36" i="8"/>
  <c r="AB47" i="8"/>
  <c r="AB37" i="8"/>
  <c r="AB38" i="8"/>
  <c r="AB39" i="8"/>
  <c r="AB40" i="8"/>
  <c r="AB44" i="8"/>
  <c r="AB45" i="8"/>
  <c r="AB46" i="8"/>
  <c r="AB32" i="8"/>
  <c r="R48" i="8"/>
  <c r="Y47" i="8"/>
  <c r="Z47" i="8"/>
  <c r="V47" i="8"/>
  <c r="W47" i="8"/>
  <c r="U47" i="8"/>
  <c r="T47" i="8"/>
  <c r="X47" i="8"/>
  <c r="AA47" i="8"/>
  <c r="R48" i="9"/>
  <c r="Z47" i="9"/>
  <c r="Y47" i="9"/>
  <c r="X47" i="9"/>
  <c r="AA47" i="9"/>
  <c r="T19" i="16"/>
  <c r="S19" i="16"/>
  <c r="R19" i="16"/>
  <c r="P24" i="16"/>
  <c r="O26" i="7"/>
  <c r="L27" i="7" s="1"/>
  <c r="O27" i="7" s="1"/>
  <c r="AA11" i="7"/>
  <c r="AB10" i="7"/>
  <c r="AE10" i="7" s="1"/>
  <c r="AC10" i="7"/>
  <c r="X11" i="7"/>
  <c r="V12" i="7"/>
  <c r="W11" i="7"/>
  <c r="Z11" i="7" s="1"/>
  <c r="M27" i="7"/>
  <c r="P27" i="7" s="1"/>
  <c r="D26" i="7"/>
  <c r="G26" i="7" s="1"/>
  <c r="C27" i="7" s="1"/>
  <c r="F27" i="7" s="1"/>
  <c r="X9" i="9" l="1"/>
  <c r="X9" i="8"/>
  <c r="O11" i="7" a="1"/>
  <c r="O11" i="7" s="1"/>
  <c r="P12" i="7" a="1"/>
  <c r="P12" i="7" s="1"/>
  <c r="S20" i="10"/>
  <c r="T20" i="10" s="1"/>
  <c r="S19" i="10"/>
  <c r="T19" i="10" s="1"/>
  <c r="Y27" i="18"/>
  <c r="Z26" i="18"/>
  <c r="H28" i="18"/>
  <c r="I27" i="18"/>
  <c r="D12" i="7" a="1"/>
  <c r="D12" i="7" s="1"/>
  <c r="F11" i="7" a="1"/>
  <c r="F11" i="7" s="1"/>
  <c r="E12" i="7" a="1"/>
  <c r="E12" i="7" s="1"/>
  <c r="R49" i="8"/>
  <c r="AA48" i="8"/>
  <c r="Z48" i="8"/>
  <c r="V48" i="8"/>
  <c r="W48" i="8"/>
  <c r="Y48" i="8"/>
  <c r="T48" i="8"/>
  <c r="U48" i="8"/>
  <c r="X48" i="8"/>
  <c r="AB48" i="8"/>
  <c r="R49" i="9"/>
  <c r="Y48" i="9"/>
  <c r="X48" i="9"/>
  <c r="Z48" i="9"/>
  <c r="AA48" i="9"/>
  <c r="P20" i="10"/>
  <c r="AA12" i="7"/>
  <c r="AB11" i="7"/>
  <c r="AE11" i="7" s="1"/>
  <c r="AC11" i="7"/>
  <c r="W12" i="7"/>
  <c r="Z12" i="7" s="1"/>
  <c r="V13" i="7"/>
  <c r="X12" i="7"/>
  <c r="N27" i="7"/>
  <c r="Q27" i="7" s="1"/>
  <c r="M28" i="7" s="1"/>
  <c r="B27" i="7"/>
  <c r="D27" i="7" s="1"/>
  <c r="H29" i="18" l="1"/>
  <c r="I28" i="18"/>
  <c r="Y28" i="18"/>
  <c r="Z27" i="18"/>
  <c r="R50" i="8"/>
  <c r="AA49" i="8"/>
  <c r="X49" i="8"/>
  <c r="T49" i="8"/>
  <c r="V49" i="8"/>
  <c r="Y49" i="8"/>
  <c r="Z49" i="8"/>
  <c r="U49" i="8"/>
  <c r="W49" i="8"/>
  <c r="AB49" i="8"/>
  <c r="R50" i="9"/>
  <c r="Y49" i="9"/>
  <c r="Z49" i="9"/>
  <c r="X49" i="9"/>
  <c r="AA49" i="9"/>
  <c r="Q20" i="10"/>
  <c r="AA13" i="7"/>
  <c r="AB12" i="7"/>
  <c r="AE12" i="7" s="1"/>
  <c r="AC12" i="7"/>
  <c r="W13" i="7"/>
  <c r="Z13" i="7" s="1"/>
  <c r="X13" i="7"/>
  <c r="V14" i="7"/>
  <c r="L28" i="7"/>
  <c r="O28" i="7" s="1"/>
  <c r="E27" i="7"/>
  <c r="G27" i="7"/>
  <c r="Y29" i="18" l="1"/>
  <c r="Z28" i="18"/>
  <c r="H30" i="18"/>
  <c r="I29" i="18"/>
  <c r="R51" i="8"/>
  <c r="Y50" i="8"/>
  <c r="W50" i="8"/>
  <c r="Z50" i="8"/>
  <c r="V50" i="8"/>
  <c r="AA50" i="8"/>
  <c r="X50" i="8"/>
  <c r="T50" i="8"/>
  <c r="U50" i="8"/>
  <c r="AB50" i="8"/>
  <c r="R51" i="9"/>
  <c r="Z50" i="9"/>
  <c r="Y50" i="9"/>
  <c r="X50" i="9"/>
  <c r="AA50" i="9"/>
  <c r="S21" i="10"/>
  <c r="T21" i="10" s="1"/>
  <c r="U20" i="10"/>
  <c r="AA14" i="7"/>
  <c r="AC13" i="7"/>
  <c r="AB13" i="7"/>
  <c r="AE13" i="7" s="1"/>
  <c r="W14" i="7"/>
  <c r="Z14" i="7" s="1"/>
  <c r="V15" i="7"/>
  <c r="X14" i="7"/>
  <c r="P28" i="7"/>
  <c r="N28" i="7"/>
  <c r="Q28" i="7" s="1"/>
  <c r="B28" i="7"/>
  <c r="E28" i="7" s="1"/>
  <c r="C28" i="7"/>
  <c r="F28" i="7" s="1"/>
  <c r="H31" i="18" l="1"/>
  <c r="I30" i="18"/>
  <c r="Y30" i="18"/>
  <c r="Z29" i="18"/>
  <c r="R52" i="8"/>
  <c r="AA51" i="8"/>
  <c r="X51" i="8"/>
  <c r="Z51" i="8"/>
  <c r="V51" i="8"/>
  <c r="T51" i="8"/>
  <c r="U51" i="8"/>
  <c r="W51" i="8"/>
  <c r="Y51" i="8"/>
  <c r="AB51" i="8"/>
  <c r="R52" i="9"/>
  <c r="Z51" i="9"/>
  <c r="X51" i="9"/>
  <c r="Y51" i="9"/>
  <c r="AA51" i="9"/>
  <c r="P21" i="10"/>
  <c r="AA15" i="7"/>
  <c r="AB14" i="7"/>
  <c r="AE14" i="7" s="1"/>
  <c r="AC14" i="7"/>
  <c r="V16" i="7"/>
  <c r="X15" i="7"/>
  <c r="W15" i="7"/>
  <c r="Z15" i="7" s="1"/>
  <c r="M29" i="7"/>
  <c r="P29" i="7" s="1"/>
  <c r="L29" i="7"/>
  <c r="D28" i="7"/>
  <c r="Q21" i="10" l="1"/>
  <c r="S22" i="10" s="1"/>
  <c r="T22" i="10" s="1"/>
  <c r="H32" i="18"/>
  <c r="I31" i="18"/>
  <c r="Y31" i="18"/>
  <c r="Z30" i="18"/>
  <c r="R53" i="8"/>
  <c r="Z52" i="8"/>
  <c r="AA52" i="8"/>
  <c r="Y52" i="8"/>
  <c r="X52" i="8"/>
  <c r="U52" i="8"/>
  <c r="W52" i="8"/>
  <c r="T52" i="8"/>
  <c r="V52" i="8"/>
  <c r="AB52" i="8"/>
  <c r="R53" i="9"/>
  <c r="Z52" i="9"/>
  <c r="X52" i="9"/>
  <c r="Y52" i="9"/>
  <c r="AA52" i="9"/>
  <c r="AA16" i="7"/>
  <c r="AC15" i="7"/>
  <c r="AB15" i="7"/>
  <c r="AE15" i="7" s="1"/>
  <c r="W16" i="7"/>
  <c r="Z16" i="7" s="1"/>
  <c r="X16" i="7"/>
  <c r="V17" i="7"/>
  <c r="V18" i="7" s="1"/>
  <c r="N29" i="7"/>
  <c r="Q29" i="7" s="1"/>
  <c r="M30" i="7" s="1"/>
  <c r="O29" i="7"/>
  <c r="G28" i="7"/>
  <c r="B29" i="7" s="1"/>
  <c r="U21" i="10" l="1"/>
  <c r="P22" i="10" s="1"/>
  <c r="Y32" i="18"/>
  <c r="Z31" i="18"/>
  <c r="H33" i="18"/>
  <c r="I32" i="18"/>
  <c r="R54" i="8"/>
  <c r="Y53" i="8"/>
  <c r="X53" i="8"/>
  <c r="AA53" i="8"/>
  <c r="Z53" i="8"/>
  <c r="U53" i="8"/>
  <c r="V53" i="8"/>
  <c r="W53" i="8"/>
  <c r="T53" i="8"/>
  <c r="AB53" i="8"/>
  <c r="R54" i="9"/>
  <c r="Z53" i="9"/>
  <c r="X53" i="9"/>
  <c r="Y53" i="9"/>
  <c r="AA53" i="9"/>
  <c r="X18" i="7"/>
  <c r="W18" i="7"/>
  <c r="Z18" i="7" s="1"/>
  <c r="AA17" i="7"/>
  <c r="AB16" i="7"/>
  <c r="AE16" i="7" s="1"/>
  <c r="AC16" i="7"/>
  <c r="W17" i="7"/>
  <c r="Z17" i="7" s="1"/>
  <c r="X17" i="7"/>
  <c r="L30" i="7"/>
  <c r="O30" i="7" s="1"/>
  <c r="E29" i="7"/>
  <c r="P30" i="7" s="1"/>
  <c r="C29" i="7"/>
  <c r="F29" i="7" s="1"/>
  <c r="Q22" i="10" l="1"/>
  <c r="S23" i="10" s="1"/>
  <c r="T23" i="10" s="1"/>
  <c r="H34" i="18"/>
  <c r="I33" i="18"/>
  <c r="Y33" i="18"/>
  <c r="Z32" i="18"/>
  <c r="R55" i="8"/>
  <c r="AA54" i="8"/>
  <c r="Y54" i="8"/>
  <c r="X54" i="8"/>
  <c r="Z54" i="8"/>
  <c r="W54" i="8"/>
  <c r="V54" i="8"/>
  <c r="U54" i="8"/>
  <c r="T54" i="8"/>
  <c r="AB54" i="8"/>
  <c r="R55" i="9"/>
  <c r="Z54" i="9"/>
  <c r="X54" i="9"/>
  <c r="Y54" i="9"/>
  <c r="AA54" i="9"/>
  <c r="AA18" i="7"/>
  <c r="AC17" i="7"/>
  <c r="AB17" i="7"/>
  <c r="AE17" i="7" s="1"/>
  <c r="N30" i="7"/>
  <c r="Q30" i="7" s="1"/>
  <c r="L31" i="7" s="1"/>
  <c r="D29" i="7"/>
  <c r="U22" i="10" l="1"/>
  <c r="P23" i="10" s="1"/>
  <c r="Y34" i="18"/>
  <c r="Z33" i="18"/>
  <c r="H35" i="18"/>
  <c r="I34" i="18"/>
  <c r="R56" i="8"/>
  <c r="AA55" i="8"/>
  <c r="V55" i="8"/>
  <c r="W55" i="8"/>
  <c r="Z55" i="8"/>
  <c r="U55" i="8"/>
  <c r="T55" i="8"/>
  <c r="Y55" i="8"/>
  <c r="X55" i="8"/>
  <c r="AB55" i="8"/>
  <c r="R56" i="9"/>
  <c r="Z55" i="9"/>
  <c r="X55" i="9"/>
  <c r="Y55" i="9"/>
  <c r="AA55" i="9"/>
  <c r="AB18" i="7"/>
  <c r="AE18" i="7" s="1"/>
  <c r="AC18" i="7"/>
  <c r="M31" i="7"/>
  <c r="G29" i="7"/>
  <c r="B30" i="7" s="1"/>
  <c r="Q23" i="10" l="1"/>
  <c r="S24" i="10" s="1"/>
  <c r="T24" i="10" s="1"/>
  <c r="H36" i="18"/>
  <c r="I35" i="18"/>
  <c r="Y35" i="18"/>
  <c r="Z34" i="18"/>
  <c r="R57" i="8"/>
  <c r="AA56" i="8"/>
  <c r="Z56" i="8"/>
  <c r="Y56" i="8"/>
  <c r="W56" i="8"/>
  <c r="U56" i="8"/>
  <c r="V56" i="8"/>
  <c r="X56" i="8"/>
  <c r="T56" i="8"/>
  <c r="AB56" i="8"/>
  <c r="R57" i="9"/>
  <c r="Y56" i="9"/>
  <c r="X56" i="9"/>
  <c r="Z56" i="9"/>
  <c r="AA56" i="9"/>
  <c r="O31" i="7"/>
  <c r="E30" i="7"/>
  <c r="P31" i="7" s="1"/>
  <c r="C30" i="7"/>
  <c r="F30" i="7" s="1"/>
  <c r="U23" i="10" l="1"/>
  <c r="Y36" i="18"/>
  <c r="Z35" i="18"/>
  <c r="H37" i="18"/>
  <c r="I36" i="18"/>
  <c r="R58" i="8"/>
  <c r="AA57" i="8"/>
  <c r="T57" i="8"/>
  <c r="W57" i="8"/>
  <c r="Z57" i="8"/>
  <c r="U57" i="8"/>
  <c r="X57" i="8"/>
  <c r="Y57" i="8"/>
  <c r="V57" i="8"/>
  <c r="AB57" i="8"/>
  <c r="R58" i="9"/>
  <c r="Y57" i="9"/>
  <c r="Z57" i="9"/>
  <c r="X57" i="9"/>
  <c r="AA57" i="9"/>
  <c r="N31" i="7"/>
  <c r="Q31" i="7" s="1"/>
  <c r="L32" i="7" s="1"/>
  <c r="O32" i="7" s="1"/>
  <c r="D30" i="7"/>
  <c r="H38" i="18" l="1"/>
  <c r="I37" i="18"/>
  <c r="Y37" i="18"/>
  <c r="Z36" i="18"/>
  <c r="R59" i="8"/>
  <c r="Z58" i="8"/>
  <c r="W58" i="8"/>
  <c r="V58" i="8"/>
  <c r="T58" i="8"/>
  <c r="AA58" i="8"/>
  <c r="Y58" i="8"/>
  <c r="X58" i="8"/>
  <c r="U58" i="8"/>
  <c r="AB58" i="8"/>
  <c r="R59" i="9"/>
  <c r="Y58" i="9"/>
  <c r="Z58" i="9"/>
  <c r="X58" i="9"/>
  <c r="AA58" i="9"/>
  <c r="P24" i="10"/>
  <c r="M32" i="7"/>
  <c r="G30" i="7"/>
  <c r="B31" i="7" s="1"/>
  <c r="Q24" i="10" l="1"/>
  <c r="S25" i="10" s="1"/>
  <c r="T25" i="10" s="1"/>
  <c r="Y38" i="18"/>
  <c r="Z37" i="18"/>
  <c r="I38" i="18"/>
  <c r="R60" i="8"/>
  <c r="V59" i="8"/>
  <c r="W59" i="8"/>
  <c r="Y59" i="8"/>
  <c r="X59" i="8"/>
  <c r="Z59" i="8"/>
  <c r="U59" i="8"/>
  <c r="AA59" i="8"/>
  <c r="T59" i="8"/>
  <c r="AB59" i="8"/>
  <c r="R60" i="9"/>
  <c r="Z59" i="9"/>
  <c r="Y59" i="9"/>
  <c r="X59" i="9"/>
  <c r="AA59" i="9"/>
  <c r="E31" i="7"/>
  <c r="C31" i="7"/>
  <c r="F31" i="7" s="1"/>
  <c r="U24" i="10" l="1"/>
  <c r="P25" i="10" s="1"/>
  <c r="Z38" i="18"/>
  <c r="R61" i="8"/>
  <c r="AA60" i="8"/>
  <c r="Y60" i="8"/>
  <c r="X60" i="8"/>
  <c r="U60" i="8"/>
  <c r="V60" i="8"/>
  <c r="T60" i="8"/>
  <c r="Z60" i="8"/>
  <c r="W60" i="8"/>
  <c r="AB60" i="8"/>
  <c r="R61" i="9"/>
  <c r="Z60" i="9"/>
  <c r="X60" i="9"/>
  <c r="Y60" i="9"/>
  <c r="AA60" i="9"/>
  <c r="P32" i="7"/>
  <c r="N32" i="7"/>
  <c r="Q32" i="7" s="1"/>
  <c r="L33" i="7" s="1"/>
  <c r="D31" i="7"/>
  <c r="Q25" i="10" l="1"/>
  <c r="U25" i="10" s="1"/>
  <c r="R62" i="8"/>
  <c r="AA61" i="8"/>
  <c r="Y61" i="8"/>
  <c r="Z61" i="8"/>
  <c r="X61" i="8"/>
  <c r="U61" i="8"/>
  <c r="T61" i="8"/>
  <c r="V61" i="8"/>
  <c r="W61" i="8"/>
  <c r="AB61" i="8"/>
  <c r="R62" i="9"/>
  <c r="Z61" i="9"/>
  <c r="X61" i="9"/>
  <c r="Y61" i="9"/>
  <c r="AA61" i="9"/>
  <c r="M33" i="7"/>
  <c r="G31" i="7"/>
  <c r="B32" i="7" s="1"/>
  <c r="S26" i="10" l="1"/>
  <c r="T26" i="10" s="1"/>
  <c r="R63" i="8"/>
  <c r="AA62" i="8"/>
  <c r="Z62" i="8"/>
  <c r="X62" i="8"/>
  <c r="Y62" i="8"/>
  <c r="T62" i="8"/>
  <c r="V62" i="8"/>
  <c r="W62" i="8"/>
  <c r="U62" i="8"/>
  <c r="AB62" i="8"/>
  <c r="R63" i="9"/>
  <c r="Y62" i="9"/>
  <c r="X62" i="9"/>
  <c r="Z62" i="9"/>
  <c r="AA62" i="9"/>
  <c r="P26" i="10"/>
  <c r="O33" i="7"/>
  <c r="E32" i="7"/>
  <c r="P33" i="7" s="1"/>
  <c r="C32" i="7"/>
  <c r="F32" i="7" s="1"/>
  <c r="Q26" i="10" l="1"/>
  <c r="U26" i="10" s="1"/>
  <c r="R64" i="8"/>
  <c r="V63" i="8"/>
  <c r="Z63" i="8"/>
  <c r="X63" i="8"/>
  <c r="Y63" i="8"/>
  <c r="W63" i="8"/>
  <c r="T63" i="8"/>
  <c r="AA63" i="8"/>
  <c r="U63" i="8"/>
  <c r="AB63" i="8"/>
  <c r="R64" i="9"/>
  <c r="Z63" i="9"/>
  <c r="X63" i="9"/>
  <c r="Y63" i="9"/>
  <c r="AA63" i="9"/>
  <c r="N33" i="7"/>
  <c r="Q33" i="7" s="1"/>
  <c r="M34" i="7" s="1"/>
  <c r="D32" i="7"/>
  <c r="S27" i="10" l="1"/>
  <c r="T27" i="10" s="1"/>
  <c r="R65" i="8"/>
  <c r="AA64" i="8"/>
  <c r="Z64" i="8"/>
  <c r="Y64" i="8"/>
  <c r="W64" i="8"/>
  <c r="X64" i="8"/>
  <c r="U64" i="8"/>
  <c r="V64" i="8"/>
  <c r="T64" i="8"/>
  <c r="AB64" i="8"/>
  <c r="R65" i="9"/>
  <c r="Y64" i="9"/>
  <c r="X64" i="9"/>
  <c r="Z64" i="9"/>
  <c r="AA64" i="9"/>
  <c r="L34" i="7"/>
  <c r="O34" i="7" s="1"/>
  <c r="G32" i="7"/>
  <c r="B33" i="7" s="1"/>
  <c r="R66" i="8" l="1"/>
  <c r="Y65" i="8"/>
  <c r="T65" i="8"/>
  <c r="X65" i="8"/>
  <c r="AA65" i="8"/>
  <c r="W65" i="8"/>
  <c r="U65" i="8"/>
  <c r="Z65" i="8"/>
  <c r="V65" i="8"/>
  <c r="AB65" i="8"/>
  <c r="R66" i="9"/>
  <c r="Y65" i="9"/>
  <c r="Z65" i="9"/>
  <c r="X65" i="9"/>
  <c r="AA65" i="9"/>
  <c r="W20" i="9" s="1"/>
  <c r="P27" i="10"/>
  <c r="E33" i="7"/>
  <c r="C33" i="7"/>
  <c r="F33" i="7" s="1"/>
  <c r="Q27" i="10" l="1"/>
  <c r="U27" i="10" s="1"/>
  <c r="R67" i="8"/>
  <c r="W66" i="8"/>
  <c r="Y66" i="8"/>
  <c r="T66" i="8"/>
  <c r="AA66" i="8"/>
  <c r="V66" i="8"/>
  <c r="U66" i="8"/>
  <c r="X66" i="8"/>
  <c r="Z66" i="8"/>
  <c r="AB66" i="8"/>
  <c r="R67" i="9"/>
  <c r="Z66" i="9"/>
  <c r="X66" i="9"/>
  <c r="Y66" i="9"/>
  <c r="AA66" i="9"/>
  <c r="P34" i="7"/>
  <c r="N34" i="7"/>
  <c r="Q34" i="7" s="1"/>
  <c r="L35" i="7" s="1"/>
  <c r="D33" i="7"/>
  <c r="S28" i="10" l="1"/>
  <c r="T28" i="10" s="1"/>
  <c r="R68" i="8"/>
  <c r="AA67" i="8"/>
  <c r="Z67" i="8"/>
  <c r="W67" i="8"/>
  <c r="Y67" i="8"/>
  <c r="U67" i="8"/>
  <c r="V67" i="8"/>
  <c r="X67" i="8"/>
  <c r="T67" i="8"/>
  <c r="AB67" i="8"/>
  <c r="R68" i="9"/>
  <c r="Z67" i="9"/>
  <c r="X67" i="9"/>
  <c r="Y67" i="9"/>
  <c r="AA67" i="9"/>
  <c r="P28" i="10"/>
  <c r="M35" i="7"/>
  <c r="G33" i="7"/>
  <c r="B34" i="7" s="1"/>
  <c r="Q28" i="10" l="1"/>
  <c r="U28" i="10" s="1"/>
  <c r="R69" i="8"/>
  <c r="AA68" i="8"/>
  <c r="Z68" i="8"/>
  <c r="V68" i="8"/>
  <c r="U68" i="8"/>
  <c r="W68" i="8"/>
  <c r="Y68" i="8"/>
  <c r="X68" i="8"/>
  <c r="T68" i="8"/>
  <c r="AB68" i="8"/>
  <c r="Z68" i="9"/>
  <c r="Y68" i="9"/>
  <c r="R69" i="9"/>
  <c r="X68" i="9"/>
  <c r="AA68" i="9"/>
  <c r="O35" i="7"/>
  <c r="E34" i="7"/>
  <c r="P35" i="7" s="1"/>
  <c r="C34" i="7"/>
  <c r="F34" i="7" s="1"/>
  <c r="S29" i="10" l="1"/>
  <c r="T29" i="10" s="1"/>
  <c r="R70" i="8"/>
  <c r="Y69" i="8"/>
  <c r="X69" i="8"/>
  <c r="V69" i="8"/>
  <c r="Z69" i="8"/>
  <c r="U69" i="8"/>
  <c r="W69" i="8"/>
  <c r="AA69" i="8"/>
  <c r="T69" i="8"/>
  <c r="AB69" i="8"/>
  <c r="R70" i="9"/>
  <c r="Z69" i="9"/>
  <c r="Y69" i="9"/>
  <c r="X69" i="9"/>
  <c r="AA69" i="9"/>
  <c r="P29" i="10"/>
  <c r="N35" i="7"/>
  <c r="Q35" i="7" s="1"/>
  <c r="L36" i="7" s="1"/>
  <c r="D34" i="7"/>
  <c r="Q29" i="10" l="1"/>
  <c r="U29" i="10" s="1"/>
  <c r="R71" i="8"/>
  <c r="AA70" i="8"/>
  <c r="Z70" i="8"/>
  <c r="X70" i="8"/>
  <c r="V70" i="8"/>
  <c r="W70" i="8"/>
  <c r="T70" i="8"/>
  <c r="U70" i="8"/>
  <c r="Y70" i="8"/>
  <c r="AB70" i="8"/>
  <c r="X20" i="8" s="1"/>
  <c r="AA20" i="8" s="1"/>
  <c r="R71" i="9"/>
  <c r="Z70" i="9"/>
  <c r="Y70" i="9"/>
  <c r="X70" i="9"/>
  <c r="AA70" i="9"/>
  <c r="M36" i="7"/>
  <c r="G34" i="7"/>
  <c r="B35" i="7" s="1"/>
  <c r="S30" i="10" l="1"/>
  <c r="T30" i="10" s="1"/>
  <c r="R72" i="8"/>
  <c r="Y71" i="8"/>
  <c r="V71" i="8"/>
  <c r="AA71" i="8"/>
  <c r="X71" i="8"/>
  <c r="Z71" i="8"/>
  <c r="T71" i="8"/>
  <c r="W71" i="8"/>
  <c r="U71" i="8"/>
  <c r="AB71" i="8"/>
  <c r="R72" i="9"/>
  <c r="Z71" i="9"/>
  <c r="X71" i="9"/>
  <c r="Y71" i="9"/>
  <c r="AA71" i="9"/>
  <c r="P30" i="10"/>
  <c r="O36" i="7"/>
  <c r="E35" i="7"/>
  <c r="P36" i="7" s="1"/>
  <c r="C35" i="7"/>
  <c r="F35" i="7" s="1"/>
  <c r="Q30" i="10" l="1"/>
  <c r="U30" i="10" s="1"/>
  <c r="R73" i="8"/>
  <c r="AA72" i="8"/>
  <c r="Z72" i="8"/>
  <c r="V72" i="8"/>
  <c r="T72" i="8"/>
  <c r="W72" i="8"/>
  <c r="X72" i="8"/>
  <c r="U72" i="8"/>
  <c r="Y72" i="8"/>
  <c r="AB72" i="8"/>
  <c r="R73" i="9"/>
  <c r="Y72" i="9"/>
  <c r="X72" i="9"/>
  <c r="Z72" i="9"/>
  <c r="AA72" i="9"/>
  <c r="N36" i="7"/>
  <c r="Q36" i="7" s="1"/>
  <c r="L37" i="7" s="1"/>
  <c r="D35" i="7"/>
  <c r="S31" i="10" l="1"/>
  <c r="T31" i="10" s="1"/>
  <c r="R74" i="8"/>
  <c r="AA73" i="8"/>
  <c r="W73" i="8"/>
  <c r="T73" i="8"/>
  <c r="V73" i="8"/>
  <c r="Z73" i="8"/>
  <c r="X73" i="8"/>
  <c r="U73" i="8"/>
  <c r="Y73" i="8"/>
  <c r="AB73" i="8"/>
  <c r="R74" i="9"/>
  <c r="Y73" i="9"/>
  <c r="Z73" i="9"/>
  <c r="X73" i="9"/>
  <c r="AA73" i="9"/>
  <c r="P31" i="10"/>
  <c r="M37" i="7"/>
  <c r="O37" i="7"/>
  <c r="G35" i="7"/>
  <c r="B36" i="7" s="1"/>
  <c r="R75" i="8" l="1"/>
  <c r="Y74" i="8"/>
  <c r="W74" i="8"/>
  <c r="Z74" i="8"/>
  <c r="AA74" i="8"/>
  <c r="X74" i="8"/>
  <c r="T74" i="8"/>
  <c r="U74" i="8"/>
  <c r="V74" i="8"/>
  <c r="AB74" i="8"/>
  <c r="R75" i="9"/>
  <c r="Y74" i="9"/>
  <c r="Z74" i="9"/>
  <c r="X74" i="9"/>
  <c r="AA74" i="9"/>
  <c r="Q31" i="10"/>
  <c r="E36" i="7"/>
  <c r="C36" i="7"/>
  <c r="F36" i="7" s="1"/>
  <c r="R76" i="8" l="1"/>
  <c r="Z75" i="8"/>
  <c r="AA75" i="8"/>
  <c r="X75" i="8"/>
  <c r="W75" i="8"/>
  <c r="T75" i="8"/>
  <c r="U75" i="8"/>
  <c r="Y75" i="8"/>
  <c r="V75" i="8"/>
  <c r="AB75" i="8"/>
  <c r="R76" i="9"/>
  <c r="Z75" i="9"/>
  <c r="Y75" i="9"/>
  <c r="X75" i="9"/>
  <c r="AA75" i="9"/>
  <c r="S32" i="10"/>
  <c r="T32" i="10" s="1"/>
  <c r="U31" i="10"/>
  <c r="P37" i="7"/>
  <c r="N37" i="7"/>
  <c r="Q37" i="7" s="1"/>
  <c r="L38" i="7" s="1"/>
  <c r="D36" i="7"/>
  <c r="R77" i="8" l="1"/>
  <c r="AA76" i="8"/>
  <c r="Y76" i="8"/>
  <c r="U76" i="8"/>
  <c r="X76" i="8"/>
  <c r="Z76" i="8"/>
  <c r="V76" i="8"/>
  <c r="T76" i="8"/>
  <c r="W76" i="8"/>
  <c r="AB76" i="8"/>
  <c r="R77" i="9"/>
  <c r="Z76" i="9"/>
  <c r="X76" i="9"/>
  <c r="Y76" i="9"/>
  <c r="AA76" i="9"/>
  <c r="P32" i="10"/>
  <c r="M38" i="7"/>
  <c r="G36" i="7"/>
  <c r="B37" i="7" s="1"/>
  <c r="R78" i="8" l="1"/>
  <c r="Y77" i="8"/>
  <c r="X77" i="8"/>
  <c r="V77" i="8"/>
  <c r="W77" i="8"/>
  <c r="AA77" i="8"/>
  <c r="U77" i="8"/>
  <c r="Z77" i="8"/>
  <c r="T77" i="8"/>
  <c r="AB77" i="8"/>
  <c r="R78" i="9"/>
  <c r="Z77" i="9"/>
  <c r="X77" i="9"/>
  <c r="Y77" i="9"/>
  <c r="AA77" i="9"/>
  <c r="Q32" i="10"/>
  <c r="O38" i="7"/>
  <c r="E37" i="7"/>
  <c r="P38" i="7" s="1"/>
  <c r="C37" i="7"/>
  <c r="F37" i="7" s="1"/>
  <c r="R79" i="8" l="1"/>
  <c r="AA78" i="8"/>
  <c r="Z78" i="8"/>
  <c r="Y78" i="8"/>
  <c r="W78" i="8"/>
  <c r="U78" i="8"/>
  <c r="T78" i="8"/>
  <c r="V78" i="8"/>
  <c r="X78" i="8"/>
  <c r="AB78" i="8"/>
  <c r="R79" i="9"/>
  <c r="Y78" i="9"/>
  <c r="Z78" i="9"/>
  <c r="X78" i="9"/>
  <c r="AA78" i="9"/>
  <c r="S33" i="10"/>
  <c r="T33" i="10" s="1"/>
  <c r="U32" i="10"/>
  <c r="N38" i="7"/>
  <c r="Q38" i="7" s="1"/>
  <c r="L39" i="7" s="1"/>
  <c r="D37" i="7"/>
  <c r="R80" i="8" l="1"/>
  <c r="AA79" i="8"/>
  <c r="Z79" i="8"/>
  <c r="V79" i="8"/>
  <c r="X79" i="8"/>
  <c r="Y79" i="8"/>
  <c r="W79" i="8"/>
  <c r="U79" i="8"/>
  <c r="T79" i="8"/>
  <c r="AB79" i="8"/>
  <c r="R80" i="9"/>
  <c r="Z79" i="9"/>
  <c r="Y79" i="9"/>
  <c r="X79" i="9"/>
  <c r="AA79" i="9"/>
  <c r="M39" i="7"/>
  <c r="G37" i="7"/>
  <c r="B38" i="7" s="1"/>
  <c r="R81" i="8" l="1"/>
  <c r="AA80" i="8"/>
  <c r="Z80" i="8"/>
  <c r="X80" i="8"/>
  <c r="V80" i="8"/>
  <c r="Y80" i="8"/>
  <c r="T80" i="8"/>
  <c r="U80" i="8"/>
  <c r="W80" i="8"/>
  <c r="AB80" i="8"/>
  <c r="R81" i="9"/>
  <c r="Y80" i="9"/>
  <c r="X80" i="9"/>
  <c r="Z80" i="9"/>
  <c r="AA80" i="9"/>
  <c r="P33" i="10"/>
  <c r="O39" i="7"/>
  <c r="E38" i="7"/>
  <c r="P39" i="7" s="1"/>
  <c r="C38" i="7"/>
  <c r="D38" i="7" s="1"/>
  <c r="Q33" i="10" l="1"/>
  <c r="U33" i="10" s="1"/>
  <c r="R82" i="8"/>
  <c r="AA81" i="8"/>
  <c r="Y81" i="8"/>
  <c r="T81" i="8"/>
  <c r="V81" i="8"/>
  <c r="X81" i="8"/>
  <c r="Z81" i="8"/>
  <c r="W81" i="8"/>
  <c r="U81" i="8"/>
  <c r="AB81" i="8"/>
  <c r="R82" i="9"/>
  <c r="Y81" i="9"/>
  <c r="Z81" i="9"/>
  <c r="X81" i="9"/>
  <c r="AA81" i="9"/>
  <c r="N39" i="7"/>
  <c r="Q39" i="7" s="1"/>
  <c r="L40" i="7" s="1"/>
  <c r="G38" i="7"/>
  <c r="B39" i="7" s="1"/>
  <c r="F38" i="7"/>
  <c r="S34" i="10" l="1"/>
  <c r="T34" i="10" s="1"/>
  <c r="R83" i="8"/>
  <c r="W82" i="8"/>
  <c r="AA82" i="8"/>
  <c r="T82" i="8"/>
  <c r="Y82" i="8"/>
  <c r="V82" i="8"/>
  <c r="X82" i="8"/>
  <c r="U82" i="8"/>
  <c r="Z82" i="8"/>
  <c r="AB82" i="8"/>
  <c r="R83" i="9"/>
  <c r="Z82" i="9"/>
  <c r="Y82" i="9"/>
  <c r="X82" i="9"/>
  <c r="AA82" i="9"/>
  <c r="P34" i="10"/>
  <c r="M40" i="7"/>
  <c r="O40" i="7"/>
  <c r="C39" i="7"/>
  <c r="F39" i="7" s="1"/>
  <c r="E39" i="7"/>
  <c r="R84" i="8" l="1"/>
  <c r="AA83" i="8"/>
  <c r="Y83" i="8"/>
  <c r="W83" i="8"/>
  <c r="Z83" i="8"/>
  <c r="T83" i="8"/>
  <c r="V83" i="8"/>
  <c r="X83" i="8"/>
  <c r="U83" i="8"/>
  <c r="AB83" i="8"/>
  <c r="R84" i="9"/>
  <c r="Z83" i="9"/>
  <c r="X83" i="9"/>
  <c r="Y83" i="9"/>
  <c r="AA83" i="9"/>
  <c r="Q34" i="10"/>
  <c r="D39" i="7"/>
  <c r="G39" i="7" s="1"/>
  <c r="B40" i="7" s="1"/>
  <c r="P40" i="7"/>
  <c r="N40" i="7"/>
  <c r="Q40" i="7" s="1"/>
  <c r="L41" i="7" s="1"/>
  <c r="R85" i="8" l="1"/>
  <c r="U84" i="8"/>
  <c r="Z84" i="8"/>
  <c r="AA84" i="8"/>
  <c r="V84" i="8"/>
  <c r="T84" i="8"/>
  <c r="Y84" i="8"/>
  <c r="X84" i="8"/>
  <c r="W84" i="8"/>
  <c r="AB84" i="8"/>
  <c r="R85" i="9"/>
  <c r="Z84" i="9"/>
  <c r="X84" i="9"/>
  <c r="Y84" i="9"/>
  <c r="AA84" i="9"/>
  <c r="S35" i="10"/>
  <c r="T35" i="10" s="1"/>
  <c r="U34" i="10"/>
  <c r="M41" i="7"/>
  <c r="O41" i="7"/>
  <c r="E40" i="7"/>
  <c r="C40" i="7"/>
  <c r="F40" i="7" s="1"/>
  <c r="R86" i="8" l="1"/>
  <c r="Y85" i="8"/>
  <c r="X85" i="8"/>
  <c r="Z85" i="8"/>
  <c r="U85" i="8"/>
  <c r="W85" i="8"/>
  <c r="T85" i="8"/>
  <c r="AA85" i="8"/>
  <c r="V85" i="8"/>
  <c r="AB85" i="8"/>
  <c r="R86" i="9"/>
  <c r="Z85" i="9"/>
  <c r="X85" i="9"/>
  <c r="Y85" i="9"/>
  <c r="AA85" i="9"/>
  <c r="P35" i="10"/>
  <c r="P41" i="7"/>
  <c r="N41" i="7"/>
  <c r="Q41" i="7" s="1"/>
  <c r="L42" i="7" s="1"/>
  <c r="D40" i="7"/>
  <c r="R87" i="8" l="1"/>
  <c r="AA86" i="8"/>
  <c r="V86" i="8"/>
  <c r="Z86" i="8"/>
  <c r="X86" i="8"/>
  <c r="Y86" i="8"/>
  <c r="W86" i="8"/>
  <c r="U86" i="8"/>
  <c r="T86" i="8"/>
  <c r="AB86" i="8"/>
  <c r="R87" i="9"/>
  <c r="Z86" i="9"/>
  <c r="X86" i="9"/>
  <c r="Y86" i="9"/>
  <c r="AA86" i="9"/>
  <c r="Q35" i="10"/>
  <c r="U11" i="10" s="1"/>
  <c r="U12" i="10" s="1"/>
  <c r="M42" i="7"/>
  <c r="O42" i="7"/>
  <c r="G40" i="7"/>
  <c r="B41" i="7" s="1"/>
  <c r="R88" i="8" l="1"/>
  <c r="V87" i="8"/>
  <c r="W87" i="8"/>
  <c r="Z87" i="8"/>
  <c r="X87" i="8"/>
  <c r="Y87" i="8"/>
  <c r="U87" i="8"/>
  <c r="T87" i="8"/>
  <c r="AA87" i="8"/>
  <c r="AB87" i="8"/>
  <c r="R88" i="9"/>
  <c r="Z87" i="9"/>
  <c r="X87" i="9"/>
  <c r="Y87" i="9"/>
  <c r="AA87" i="9"/>
  <c r="S36" i="10"/>
  <c r="T36" i="10" s="1"/>
  <c r="U35" i="10"/>
  <c r="C41" i="7"/>
  <c r="E41" i="7"/>
  <c r="R89" i="8" l="1"/>
  <c r="AA88" i="8"/>
  <c r="Z88" i="8"/>
  <c r="Y88" i="8"/>
  <c r="X88" i="8"/>
  <c r="W88" i="8"/>
  <c r="U88" i="8"/>
  <c r="T88" i="8"/>
  <c r="V88" i="8"/>
  <c r="AB88" i="8"/>
  <c r="R89" i="9"/>
  <c r="Y88" i="9"/>
  <c r="X88" i="9"/>
  <c r="Z88" i="9"/>
  <c r="AA88" i="9"/>
  <c r="P36" i="10"/>
  <c r="D41" i="7"/>
  <c r="G41" i="7" s="1"/>
  <c r="B42" i="7" s="1"/>
  <c r="F41" i="7"/>
  <c r="R90" i="8" l="1"/>
  <c r="Z89" i="8"/>
  <c r="AA89" i="8"/>
  <c r="Y89" i="8"/>
  <c r="X89" i="8"/>
  <c r="T89" i="8"/>
  <c r="W89" i="8"/>
  <c r="U89" i="8"/>
  <c r="V89" i="8"/>
  <c r="AB89" i="8"/>
  <c r="R90" i="9"/>
  <c r="Y89" i="9"/>
  <c r="Z89" i="9"/>
  <c r="X89" i="9"/>
  <c r="AA89" i="9"/>
  <c r="Q36" i="10"/>
  <c r="P42" i="7"/>
  <c r="N42" i="7"/>
  <c r="Q42" i="7" s="1"/>
  <c r="L43" i="7" s="1"/>
  <c r="C42" i="7"/>
  <c r="F42" i="7" s="1"/>
  <c r="E42" i="7"/>
  <c r="R91" i="8" l="1"/>
  <c r="Z90" i="8"/>
  <c r="W90" i="8"/>
  <c r="AA90" i="8"/>
  <c r="V90" i="8"/>
  <c r="X90" i="8"/>
  <c r="T90" i="8"/>
  <c r="Y90" i="8"/>
  <c r="U90" i="8"/>
  <c r="AB90" i="8"/>
  <c r="R91" i="9"/>
  <c r="Y90" i="9"/>
  <c r="Z90" i="9"/>
  <c r="X90" i="9"/>
  <c r="AA90" i="9"/>
  <c r="S37" i="10"/>
  <c r="T37" i="10" s="1"/>
  <c r="U36" i="10"/>
  <c r="D42" i="7"/>
  <c r="G42" i="7" s="1"/>
  <c r="C43" i="7" s="1"/>
  <c r="F43" i="7" s="1"/>
  <c r="M43" i="7"/>
  <c r="N43" i="7" s="1"/>
  <c r="Q43" i="7" s="1"/>
  <c r="O43" i="7"/>
  <c r="R92" i="8" l="1"/>
  <c r="AA91" i="8"/>
  <c r="Y91" i="8"/>
  <c r="V91" i="8"/>
  <c r="W91" i="8"/>
  <c r="U91" i="8"/>
  <c r="Z91" i="8"/>
  <c r="T91" i="8"/>
  <c r="X91" i="8"/>
  <c r="AB91" i="8"/>
  <c r="R92" i="9"/>
  <c r="Z91" i="9"/>
  <c r="Y91" i="9"/>
  <c r="X91" i="9"/>
  <c r="AA91" i="9"/>
  <c r="P37" i="10"/>
  <c r="P43" i="7"/>
  <c r="M44" i="7" s="1"/>
  <c r="P44" i="7" s="1"/>
  <c r="L44" i="7"/>
  <c r="O44" i="7" s="1"/>
  <c r="B43" i="7"/>
  <c r="E43" i="7" s="1"/>
  <c r="R93" i="8" l="1"/>
  <c r="Y92" i="8"/>
  <c r="AA92" i="8"/>
  <c r="W92" i="8"/>
  <c r="U92" i="8"/>
  <c r="T92" i="8"/>
  <c r="X92" i="8"/>
  <c r="V92" i="8"/>
  <c r="Z92" i="8"/>
  <c r="AB92" i="8"/>
  <c r="R93" i="9"/>
  <c r="Z92" i="9"/>
  <c r="X92" i="9"/>
  <c r="Y92" i="9"/>
  <c r="AA92" i="9"/>
  <c r="Q37" i="10"/>
  <c r="N44" i="7"/>
  <c r="Q44" i="7" s="1"/>
  <c r="M45" i="7" s="1"/>
  <c r="D43" i="7"/>
  <c r="G43" i="7" s="1"/>
  <c r="B44" i="7" s="1"/>
  <c r="R94" i="8" l="1"/>
  <c r="AA93" i="8"/>
  <c r="Y93" i="8"/>
  <c r="X93" i="8"/>
  <c r="U93" i="8"/>
  <c r="T93" i="8"/>
  <c r="Z93" i="8"/>
  <c r="V93" i="8"/>
  <c r="W93" i="8"/>
  <c r="AB93" i="8"/>
  <c r="R94" i="9"/>
  <c r="Z93" i="9"/>
  <c r="X93" i="9"/>
  <c r="Y93" i="9"/>
  <c r="AA93" i="9"/>
  <c r="S38" i="10"/>
  <c r="T38" i="10" s="1"/>
  <c r="U37" i="10"/>
  <c r="L45" i="7"/>
  <c r="O45" i="7" s="1"/>
  <c r="E44" i="7"/>
  <c r="C44" i="7"/>
  <c r="R95" i="8" l="1"/>
  <c r="AA94" i="8"/>
  <c r="V94" i="8"/>
  <c r="T94" i="8"/>
  <c r="W94" i="8"/>
  <c r="Z94" i="8"/>
  <c r="Y94" i="8"/>
  <c r="X94" i="8"/>
  <c r="U94" i="8"/>
  <c r="AB94" i="8"/>
  <c r="R95" i="9"/>
  <c r="Y94" i="9"/>
  <c r="Z94" i="9"/>
  <c r="X94" i="9"/>
  <c r="AA94" i="9"/>
  <c r="P38" i="10"/>
  <c r="F44" i="7"/>
  <c r="D44" i="7"/>
  <c r="R96" i="8" l="1"/>
  <c r="AA95" i="8"/>
  <c r="V95" i="8"/>
  <c r="Y95" i="8"/>
  <c r="Z95" i="8"/>
  <c r="W95" i="8"/>
  <c r="X95" i="8"/>
  <c r="U95" i="8"/>
  <c r="T95" i="8"/>
  <c r="AB95" i="8"/>
  <c r="R96" i="9"/>
  <c r="Z95" i="9"/>
  <c r="X95" i="9"/>
  <c r="Y95" i="9"/>
  <c r="AA95" i="9"/>
  <c r="Q38" i="10"/>
  <c r="P45" i="7"/>
  <c r="N45" i="7"/>
  <c r="Q45" i="7" s="1"/>
  <c r="L46" i="7" s="1"/>
  <c r="G44" i="7"/>
  <c r="B45" i="7" s="1"/>
  <c r="R97" i="8" l="1"/>
  <c r="AA96" i="8"/>
  <c r="Z96" i="8"/>
  <c r="V96" i="8"/>
  <c r="Y96" i="8"/>
  <c r="X96" i="8"/>
  <c r="T96" i="8"/>
  <c r="U96" i="8"/>
  <c r="W96" i="8"/>
  <c r="AB96" i="8"/>
  <c r="R97" i="9"/>
  <c r="Y96" i="9"/>
  <c r="X96" i="9"/>
  <c r="Z96" i="9"/>
  <c r="AA96" i="9"/>
  <c r="S39" i="10"/>
  <c r="T39" i="10" s="1"/>
  <c r="U38" i="10"/>
  <c r="M46" i="7"/>
  <c r="P46" i="7" s="1"/>
  <c r="E45" i="7"/>
  <c r="C45" i="7"/>
  <c r="F45" i="7" s="1"/>
  <c r="R98" i="8" l="1"/>
  <c r="Z97" i="8"/>
  <c r="X97" i="8"/>
  <c r="W97" i="8"/>
  <c r="T97" i="8"/>
  <c r="Y97" i="8"/>
  <c r="V97" i="8"/>
  <c r="U97" i="8"/>
  <c r="AA97" i="8"/>
  <c r="AB97" i="8"/>
  <c r="Y97" i="9"/>
  <c r="Z97" i="9"/>
  <c r="R98" i="9"/>
  <c r="X97" i="9"/>
  <c r="AA97" i="9"/>
  <c r="P39" i="10"/>
  <c r="R20" i="21" s="1"/>
  <c r="N46" i="7"/>
  <c r="Q46" i="7" s="1"/>
  <c r="M47" i="7" s="1"/>
  <c r="O46" i="7"/>
  <c r="D45" i="7"/>
  <c r="R99" i="8" l="1"/>
  <c r="Z98" i="8"/>
  <c r="W98" i="8"/>
  <c r="X98" i="8"/>
  <c r="T98" i="8"/>
  <c r="U98" i="8"/>
  <c r="V98" i="8"/>
  <c r="AA98" i="8"/>
  <c r="Y98" i="8"/>
  <c r="AB98" i="8"/>
  <c r="R99" i="9"/>
  <c r="Z98" i="9"/>
  <c r="Y98" i="9"/>
  <c r="X98" i="9"/>
  <c r="AA98" i="9"/>
  <c r="Q39" i="10"/>
  <c r="S20" i="21" s="1"/>
  <c r="T20" i="21" s="1"/>
  <c r="U20" i="21" s="1"/>
  <c r="V20" i="21" s="1"/>
  <c r="L47" i="7"/>
  <c r="O47" i="7" s="1"/>
  <c r="G45" i="7"/>
  <c r="B46" i="7" s="1"/>
  <c r="R100" i="8" l="1"/>
  <c r="Y99" i="8"/>
  <c r="Z99" i="8"/>
  <c r="AA99" i="8"/>
  <c r="X99" i="8"/>
  <c r="W99" i="8"/>
  <c r="U99" i="8"/>
  <c r="V99" i="8"/>
  <c r="T99" i="8"/>
  <c r="AB99" i="8"/>
  <c r="R100" i="9"/>
  <c r="Z99" i="9"/>
  <c r="X99" i="9"/>
  <c r="Y99" i="9"/>
  <c r="AA99" i="9"/>
  <c r="S40" i="10"/>
  <c r="T40" i="10" s="1"/>
  <c r="U39" i="10"/>
  <c r="W20" i="21" s="1"/>
  <c r="E46" i="7"/>
  <c r="C46" i="7"/>
  <c r="R101" i="8" l="1"/>
  <c r="Z100" i="8"/>
  <c r="Y100" i="8"/>
  <c r="V100" i="8"/>
  <c r="U100" i="8"/>
  <c r="AA100" i="8"/>
  <c r="X100" i="8"/>
  <c r="W100" i="8"/>
  <c r="T100" i="8"/>
  <c r="AB100" i="8"/>
  <c r="R101" i="9"/>
  <c r="Z100" i="9"/>
  <c r="Y100" i="9"/>
  <c r="X100" i="9"/>
  <c r="AA100" i="9"/>
  <c r="P40" i="10"/>
  <c r="R21" i="21" s="1"/>
  <c r="F46" i="7"/>
  <c r="D46" i="7"/>
  <c r="R102" i="8" l="1"/>
  <c r="Y101" i="8"/>
  <c r="X101" i="8"/>
  <c r="W101" i="8"/>
  <c r="Z101" i="8"/>
  <c r="V101" i="8"/>
  <c r="U101" i="8"/>
  <c r="AA101" i="8"/>
  <c r="T101" i="8"/>
  <c r="AB101" i="8"/>
  <c r="R102" i="9"/>
  <c r="Z101" i="9"/>
  <c r="Y101" i="9"/>
  <c r="X101" i="9"/>
  <c r="AA101" i="9"/>
  <c r="Q40" i="10"/>
  <c r="S21" i="21" s="1"/>
  <c r="T21" i="21" s="1"/>
  <c r="U21" i="21" s="1"/>
  <c r="V21" i="21" s="1"/>
  <c r="P47" i="7"/>
  <c r="N47" i="7"/>
  <c r="Q47" i="7" s="1"/>
  <c r="L48" i="7" s="1"/>
  <c r="G46" i="7"/>
  <c r="B47" i="7" s="1"/>
  <c r="R103" i="8" l="1"/>
  <c r="AA102" i="8"/>
  <c r="Y102" i="8"/>
  <c r="Z102" i="8"/>
  <c r="X102" i="8"/>
  <c r="T102" i="8"/>
  <c r="U102" i="8"/>
  <c r="W102" i="8"/>
  <c r="V102" i="8"/>
  <c r="AB102" i="8"/>
  <c r="R103" i="9"/>
  <c r="Z102" i="9"/>
  <c r="Y102" i="9"/>
  <c r="X102" i="9"/>
  <c r="AA102" i="9"/>
  <c r="S41" i="10"/>
  <c r="T41" i="10" s="1"/>
  <c r="U40" i="10"/>
  <c r="W21" i="21" s="1"/>
  <c r="M48" i="7"/>
  <c r="E47" i="7"/>
  <c r="C47" i="7"/>
  <c r="R104" i="8" l="1"/>
  <c r="AA103" i="8"/>
  <c r="Y103" i="8"/>
  <c r="V103" i="8"/>
  <c r="Z103" i="8"/>
  <c r="W103" i="8"/>
  <c r="T103" i="8"/>
  <c r="X103" i="8"/>
  <c r="U103" i="8"/>
  <c r="AB103" i="8"/>
  <c r="R104" i="9"/>
  <c r="Z103" i="9"/>
  <c r="X103" i="9"/>
  <c r="Y103" i="9"/>
  <c r="AA103" i="9"/>
  <c r="P41" i="10"/>
  <c r="R22" i="21" s="1"/>
  <c r="P48" i="7"/>
  <c r="N48" i="7"/>
  <c r="Q48" i="7" s="1"/>
  <c r="O48" i="7"/>
  <c r="F47" i="7"/>
  <c r="D47" i="7"/>
  <c r="R105" i="8" l="1"/>
  <c r="AA104" i="8"/>
  <c r="Z104" i="8"/>
  <c r="X104" i="8"/>
  <c r="W104" i="8"/>
  <c r="T104" i="8"/>
  <c r="Y104" i="8"/>
  <c r="V104" i="8"/>
  <c r="U104" i="8"/>
  <c r="AB104" i="8"/>
  <c r="R105" i="9"/>
  <c r="Y104" i="9"/>
  <c r="X104" i="9"/>
  <c r="Z104" i="9"/>
  <c r="AA104" i="9"/>
  <c r="Q41" i="10"/>
  <c r="S22" i="21" s="1"/>
  <c r="T22" i="21" s="1"/>
  <c r="U22" i="21" s="1"/>
  <c r="V22" i="21" s="1"/>
  <c r="M49" i="7"/>
  <c r="L49" i="7"/>
  <c r="G47" i="7"/>
  <c r="B48" i="7" s="1"/>
  <c r="R106" i="8" l="1"/>
  <c r="AA105" i="8"/>
  <c r="V105" i="8"/>
  <c r="T105" i="8"/>
  <c r="Z105" i="8"/>
  <c r="W105" i="8"/>
  <c r="U105" i="8"/>
  <c r="Y105" i="8"/>
  <c r="X105" i="8"/>
  <c r="AB105" i="8"/>
  <c r="R106" i="9"/>
  <c r="Y105" i="9"/>
  <c r="Z105" i="9"/>
  <c r="X105" i="9"/>
  <c r="AA105" i="9"/>
  <c r="S42" i="10"/>
  <c r="T42" i="10" s="1"/>
  <c r="U41" i="10"/>
  <c r="W22" i="21" s="1"/>
  <c r="O49" i="7"/>
  <c r="E48" i="7"/>
  <c r="C48" i="7"/>
  <c r="R107" i="8" l="1"/>
  <c r="AA106" i="8"/>
  <c r="W106" i="8"/>
  <c r="X106" i="8"/>
  <c r="T106" i="8"/>
  <c r="Z106" i="8"/>
  <c r="U106" i="8"/>
  <c r="V106" i="8"/>
  <c r="Y106" i="8"/>
  <c r="AB106" i="8"/>
  <c r="R107" i="9"/>
  <c r="Y106" i="9"/>
  <c r="Z106" i="9"/>
  <c r="X106" i="9"/>
  <c r="AA106" i="9"/>
  <c r="P42" i="10"/>
  <c r="R23" i="21" s="1"/>
  <c r="F48" i="7"/>
  <c r="D48" i="7"/>
  <c r="R108" i="8" l="1"/>
  <c r="Z107" i="8"/>
  <c r="X107" i="8"/>
  <c r="Y107" i="8"/>
  <c r="W107" i="8"/>
  <c r="T107" i="8"/>
  <c r="U107" i="8"/>
  <c r="V107" i="8"/>
  <c r="AA107" i="8"/>
  <c r="AB107" i="8"/>
  <c r="R108" i="9"/>
  <c r="Z107" i="9"/>
  <c r="Y107" i="9"/>
  <c r="X107" i="9"/>
  <c r="AA107" i="9"/>
  <c r="Q42" i="10"/>
  <c r="S23" i="21" s="1"/>
  <c r="T23" i="21" s="1"/>
  <c r="U23" i="21" s="1"/>
  <c r="V23" i="21" s="1"/>
  <c r="P49" i="7"/>
  <c r="N49" i="7"/>
  <c r="Q49" i="7" s="1"/>
  <c r="L50" i="7" s="1"/>
  <c r="G48" i="7"/>
  <c r="B49" i="7" s="1"/>
  <c r="R109" i="8" l="1"/>
  <c r="AA108" i="8"/>
  <c r="Y108" i="8"/>
  <c r="W108" i="8"/>
  <c r="U108" i="8"/>
  <c r="V108" i="8"/>
  <c r="X108" i="8"/>
  <c r="T108" i="8"/>
  <c r="Z108" i="8"/>
  <c r="AB108" i="8"/>
  <c r="R109" i="9"/>
  <c r="Z108" i="9"/>
  <c r="X108" i="9"/>
  <c r="Y108" i="9"/>
  <c r="AA108" i="9"/>
  <c r="S43" i="10"/>
  <c r="T43" i="10" s="1"/>
  <c r="U42" i="10"/>
  <c r="W23" i="21" s="1"/>
  <c r="M50" i="7"/>
  <c r="E49" i="7"/>
  <c r="C49" i="7"/>
  <c r="F49" i="7" s="1"/>
  <c r="R110" i="8" l="1"/>
  <c r="AA109" i="8"/>
  <c r="X109" i="8"/>
  <c r="Z109" i="8"/>
  <c r="U109" i="8"/>
  <c r="Y109" i="8"/>
  <c r="W109" i="8"/>
  <c r="V109" i="8"/>
  <c r="T109" i="8"/>
  <c r="AB109" i="8"/>
  <c r="R110" i="9"/>
  <c r="Z109" i="9"/>
  <c r="X109" i="9"/>
  <c r="Y109" i="9"/>
  <c r="AA109" i="9"/>
  <c r="P43" i="10"/>
  <c r="R24" i="21" s="1"/>
  <c r="P50" i="7"/>
  <c r="O50" i="7"/>
  <c r="D49" i="7"/>
  <c r="R111" i="8" l="1"/>
  <c r="AA110" i="8"/>
  <c r="Y110" i="8"/>
  <c r="Z110" i="8"/>
  <c r="W110" i="8"/>
  <c r="V110" i="8"/>
  <c r="U110" i="8"/>
  <c r="T110" i="8"/>
  <c r="X110" i="8"/>
  <c r="AB110" i="8"/>
  <c r="R111" i="9"/>
  <c r="Y110" i="9"/>
  <c r="Z110" i="9"/>
  <c r="X110" i="9"/>
  <c r="AA110" i="9"/>
  <c r="Q43" i="10"/>
  <c r="S24" i="21" s="1"/>
  <c r="T24" i="21" s="1"/>
  <c r="U24" i="21" s="1"/>
  <c r="V24" i="21" s="1"/>
  <c r="N50" i="7"/>
  <c r="Q50" i="7" s="1"/>
  <c r="M51" i="7" s="1"/>
  <c r="G49" i="7"/>
  <c r="B50" i="7" s="1"/>
  <c r="R112" i="8" l="1"/>
  <c r="V111" i="8"/>
  <c r="Y111" i="8"/>
  <c r="AA111" i="8"/>
  <c r="Z111" i="8"/>
  <c r="X111" i="8"/>
  <c r="W111" i="8"/>
  <c r="U111" i="8"/>
  <c r="T111" i="8"/>
  <c r="AB111" i="8"/>
  <c r="R112" i="9"/>
  <c r="Z111" i="9"/>
  <c r="Y111" i="9"/>
  <c r="X111" i="9"/>
  <c r="AA111" i="9"/>
  <c r="S44" i="10"/>
  <c r="T44" i="10" s="1"/>
  <c r="U43" i="10"/>
  <c r="W24" i="21" s="1"/>
  <c r="L51" i="7"/>
  <c r="O51" i="7" s="1"/>
  <c r="E50" i="7"/>
  <c r="C50" i="7"/>
  <c r="R113" i="8" l="1"/>
  <c r="AA112" i="8"/>
  <c r="Z112" i="8"/>
  <c r="Y112" i="8"/>
  <c r="V112" i="8"/>
  <c r="X112" i="8"/>
  <c r="T112" i="8"/>
  <c r="U112" i="8"/>
  <c r="W112" i="8"/>
  <c r="AB112" i="8"/>
  <c r="R113" i="9"/>
  <c r="Y112" i="9"/>
  <c r="X112" i="9"/>
  <c r="Z112" i="9"/>
  <c r="AA112" i="9"/>
  <c r="P44" i="10"/>
  <c r="R25" i="21" s="1"/>
  <c r="F50" i="7"/>
  <c r="D50" i="7"/>
  <c r="R114" i="8" l="1"/>
  <c r="Y113" i="8"/>
  <c r="T113" i="8"/>
  <c r="X113" i="8"/>
  <c r="AA113" i="8"/>
  <c r="V113" i="8"/>
  <c r="Z113" i="8"/>
  <c r="W113" i="8"/>
  <c r="U113" i="8"/>
  <c r="AB113" i="8"/>
  <c r="R114" i="9"/>
  <c r="Z113" i="9"/>
  <c r="X113" i="9"/>
  <c r="Y113" i="9"/>
  <c r="AA113" i="9"/>
  <c r="Q44" i="10"/>
  <c r="S25" i="21" s="1"/>
  <c r="T25" i="21" s="1"/>
  <c r="U25" i="21" s="1"/>
  <c r="V25" i="21" s="1"/>
  <c r="P51" i="7"/>
  <c r="N51" i="7"/>
  <c r="Q51" i="7" s="1"/>
  <c r="L52" i="7" s="1"/>
  <c r="G50" i="7"/>
  <c r="B51" i="7" s="1"/>
  <c r="R115" i="8" l="1"/>
  <c r="W114" i="8"/>
  <c r="V114" i="8"/>
  <c r="T114" i="8"/>
  <c r="Y114" i="8"/>
  <c r="AA114" i="8"/>
  <c r="Z114" i="8"/>
  <c r="X114" i="8"/>
  <c r="U114" i="8"/>
  <c r="AB114" i="8"/>
  <c r="R115" i="9"/>
  <c r="Z114" i="9"/>
  <c r="Y114" i="9"/>
  <c r="X114" i="9"/>
  <c r="AA114" i="9"/>
  <c r="S45" i="10"/>
  <c r="T45" i="10" s="1"/>
  <c r="U44" i="10"/>
  <c r="W25" i="21" s="1"/>
  <c r="M52" i="7"/>
  <c r="E51" i="7"/>
  <c r="C51" i="7"/>
  <c r="R116" i="8" l="1"/>
  <c r="AA115" i="8"/>
  <c r="X115" i="8"/>
  <c r="Z115" i="8"/>
  <c r="T115" i="8"/>
  <c r="Y115" i="8"/>
  <c r="U115" i="8"/>
  <c r="W115" i="8"/>
  <c r="V115" i="8"/>
  <c r="AB115" i="8"/>
  <c r="R116" i="9"/>
  <c r="Z115" i="9"/>
  <c r="Y115" i="9"/>
  <c r="X115" i="9"/>
  <c r="AA115" i="9"/>
  <c r="P45" i="10"/>
  <c r="R26" i="21" s="1"/>
  <c r="P52" i="7"/>
  <c r="O52" i="7"/>
  <c r="N52" i="7"/>
  <c r="Q52" i="7" s="1"/>
  <c r="F51" i="7"/>
  <c r="D51" i="7"/>
  <c r="R117" i="8" l="1"/>
  <c r="AA116" i="8"/>
  <c r="Z116" i="8"/>
  <c r="X116" i="8"/>
  <c r="U116" i="8"/>
  <c r="Y116" i="8"/>
  <c r="T116" i="8"/>
  <c r="W116" i="8"/>
  <c r="V116" i="8"/>
  <c r="AB116" i="8"/>
  <c r="R117" i="9"/>
  <c r="Z116" i="9"/>
  <c r="X116" i="9"/>
  <c r="Y116" i="9"/>
  <c r="AA116" i="9"/>
  <c r="Q45" i="10"/>
  <c r="S26" i="21" s="1"/>
  <c r="T26" i="21" s="1"/>
  <c r="U26" i="21" s="1"/>
  <c r="V26" i="21" s="1"/>
  <c r="M53" i="7"/>
  <c r="L53" i="7"/>
  <c r="G51" i="7"/>
  <c r="B52" i="7" s="1"/>
  <c r="R118" i="8" l="1"/>
  <c r="AA117" i="8"/>
  <c r="X117" i="8"/>
  <c r="Z117" i="8"/>
  <c r="U117" i="8"/>
  <c r="W117" i="8"/>
  <c r="V117" i="8"/>
  <c r="T117" i="8"/>
  <c r="Y117" i="8"/>
  <c r="AB117" i="8"/>
  <c r="R118" i="9"/>
  <c r="Z117" i="9"/>
  <c r="X117" i="9"/>
  <c r="Y117" i="9"/>
  <c r="AA117" i="9"/>
  <c r="S46" i="10"/>
  <c r="T46" i="10" s="1"/>
  <c r="U45" i="10"/>
  <c r="W26" i="21" s="1"/>
  <c r="O53" i="7"/>
  <c r="E52" i="7"/>
  <c r="C52" i="7"/>
  <c r="R119" i="8" l="1"/>
  <c r="AA118" i="8"/>
  <c r="W118" i="8"/>
  <c r="Z118" i="8"/>
  <c r="T118" i="8"/>
  <c r="X118" i="8"/>
  <c r="U118" i="8"/>
  <c r="V118" i="8"/>
  <c r="Y118" i="8"/>
  <c r="AB118" i="8"/>
  <c r="Y118" i="9"/>
  <c r="Z118" i="9"/>
  <c r="R119" i="9"/>
  <c r="X118" i="9"/>
  <c r="AA118" i="9"/>
  <c r="P46" i="10"/>
  <c r="R27" i="21" s="1"/>
  <c r="F52" i="7"/>
  <c r="D52" i="7"/>
  <c r="R120" i="8" l="1"/>
  <c r="V119" i="8"/>
  <c r="W119" i="8"/>
  <c r="X119" i="8"/>
  <c r="AA119" i="8"/>
  <c r="Y119" i="8"/>
  <c r="T119" i="8"/>
  <c r="U119" i="8"/>
  <c r="Z119" i="8"/>
  <c r="AB119" i="8"/>
  <c r="R120" i="9"/>
  <c r="Z119" i="9"/>
  <c r="Y119" i="9"/>
  <c r="X119" i="9"/>
  <c r="AA119" i="9"/>
  <c r="Q46" i="10"/>
  <c r="S27" i="21" s="1"/>
  <c r="T27" i="21" s="1"/>
  <c r="U27" i="21" s="1"/>
  <c r="V27" i="21" s="1"/>
  <c r="P53" i="7"/>
  <c r="N53" i="7"/>
  <c r="Q53" i="7" s="1"/>
  <c r="L54" i="7" s="1"/>
  <c r="G52" i="7"/>
  <c r="B53" i="7" s="1"/>
  <c r="R121" i="8" l="1"/>
  <c r="AA120" i="8"/>
  <c r="Z120" i="8"/>
  <c r="Y120" i="8"/>
  <c r="W120" i="8"/>
  <c r="U120" i="8"/>
  <c r="X120" i="8"/>
  <c r="V120" i="8"/>
  <c r="T120" i="8"/>
  <c r="AB120" i="8"/>
  <c r="R121" i="9"/>
  <c r="Y120" i="9"/>
  <c r="X120" i="9"/>
  <c r="Z120" i="9"/>
  <c r="AA120" i="9"/>
  <c r="S47" i="10"/>
  <c r="T47" i="10" s="1"/>
  <c r="U46" i="10"/>
  <c r="W27" i="21" s="1"/>
  <c r="M54" i="7"/>
  <c r="E53" i="7"/>
  <c r="C53" i="7"/>
  <c r="F53" i="7" s="1"/>
  <c r="R122" i="8" l="1"/>
  <c r="Z121" i="8"/>
  <c r="Y121" i="8"/>
  <c r="V121" i="8"/>
  <c r="T121" i="8"/>
  <c r="W121" i="8"/>
  <c r="X121" i="8"/>
  <c r="U121" i="8"/>
  <c r="AA121" i="8"/>
  <c r="AB121" i="8"/>
  <c r="R122" i="9"/>
  <c r="Z121" i="9"/>
  <c r="X121" i="9"/>
  <c r="Y121" i="9"/>
  <c r="AA121" i="9"/>
  <c r="P47" i="10"/>
  <c r="R28" i="21" s="1"/>
  <c r="O54" i="7"/>
  <c r="P54" i="7"/>
  <c r="D53" i="7"/>
  <c r="R123" i="8" l="1"/>
  <c r="W122" i="8"/>
  <c r="Z122" i="8"/>
  <c r="Y122" i="8"/>
  <c r="AA122" i="8"/>
  <c r="X122" i="8"/>
  <c r="V122" i="8"/>
  <c r="T122" i="8"/>
  <c r="U122" i="8"/>
  <c r="AB122" i="8"/>
  <c r="R123" i="9"/>
  <c r="Y122" i="9"/>
  <c r="Z122" i="9"/>
  <c r="X122" i="9"/>
  <c r="AA122" i="9"/>
  <c r="Q47" i="10"/>
  <c r="S28" i="21" s="1"/>
  <c r="T28" i="21" s="1"/>
  <c r="U28" i="21" s="1"/>
  <c r="V28" i="21" s="1"/>
  <c r="N54" i="7"/>
  <c r="Q54" i="7" s="1"/>
  <c r="M55" i="7" s="1"/>
  <c r="G53" i="7"/>
  <c r="B54" i="7" s="1"/>
  <c r="R124" i="8" l="1"/>
  <c r="V123" i="8"/>
  <c r="Z123" i="8"/>
  <c r="Y123" i="8"/>
  <c r="AA123" i="8"/>
  <c r="X123" i="8"/>
  <c r="W123" i="8"/>
  <c r="U123" i="8"/>
  <c r="T123" i="8"/>
  <c r="AB123" i="8"/>
  <c r="R124" i="9"/>
  <c r="Z123" i="9"/>
  <c r="Y123" i="9"/>
  <c r="X123" i="9"/>
  <c r="AA123" i="9"/>
  <c r="S48" i="10"/>
  <c r="T48" i="10" s="1"/>
  <c r="U47" i="10"/>
  <c r="W28" i="21" s="1"/>
  <c r="L55" i="7"/>
  <c r="E54" i="7"/>
  <c r="C54" i="7"/>
  <c r="P55" i="7" s="1"/>
  <c r="R125" i="8" l="1"/>
  <c r="AA124" i="8"/>
  <c r="X124" i="8"/>
  <c r="U124" i="8"/>
  <c r="Y124" i="8"/>
  <c r="V124" i="8"/>
  <c r="T124" i="8"/>
  <c r="W124" i="8"/>
  <c r="Z124" i="8"/>
  <c r="AB124" i="8"/>
  <c r="R125" i="9"/>
  <c r="Z124" i="9"/>
  <c r="X124" i="9"/>
  <c r="Y124" i="9"/>
  <c r="AA124" i="9"/>
  <c r="P48" i="10"/>
  <c r="R29" i="21" s="1"/>
  <c r="N55" i="7"/>
  <c r="Q55" i="7" s="1"/>
  <c r="M56" i="7" s="1"/>
  <c r="O55" i="7"/>
  <c r="F54" i="7"/>
  <c r="D54" i="7"/>
  <c r="R126" i="8" l="1"/>
  <c r="AA125" i="8"/>
  <c r="Z125" i="8"/>
  <c r="X125" i="8"/>
  <c r="U125" i="8"/>
  <c r="Y125" i="8"/>
  <c r="T125" i="8"/>
  <c r="V125" i="8"/>
  <c r="W125" i="8"/>
  <c r="AB125" i="8"/>
  <c r="R126" i="9"/>
  <c r="Z125" i="9"/>
  <c r="X125" i="9"/>
  <c r="Y125" i="9"/>
  <c r="AA125" i="9"/>
  <c r="Q48" i="10"/>
  <c r="S29" i="21" s="1"/>
  <c r="T29" i="21" s="1"/>
  <c r="U29" i="21" s="1"/>
  <c r="V29" i="21" s="1"/>
  <c r="L56" i="7"/>
  <c r="O56" i="7" s="1"/>
  <c r="G54" i="7"/>
  <c r="B55" i="7" s="1"/>
  <c r="R127" i="8" l="1"/>
  <c r="AA126" i="8"/>
  <c r="X126" i="8"/>
  <c r="Z126" i="8"/>
  <c r="V126" i="8"/>
  <c r="T126" i="8"/>
  <c r="W126" i="8"/>
  <c r="U126" i="8"/>
  <c r="Y126" i="8"/>
  <c r="AB126" i="8"/>
  <c r="R127" i="9"/>
  <c r="Y126" i="9"/>
  <c r="Z126" i="9"/>
  <c r="X126" i="9"/>
  <c r="AA126" i="9"/>
  <c r="S49" i="10"/>
  <c r="T49" i="10" s="1"/>
  <c r="U48" i="10"/>
  <c r="W29" i="21" s="1"/>
  <c r="E55" i="7"/>
  <c r="C55" i="7"/>
  <c r="R128" i="8" l="1"/>
  <c r="V127" i="8"/>
  <c r="AA127" i="8"/>
  <c r="X127" i="8"/>
  <c r="Z127" i="8"/>
  <c r="T127" i="8"/>
  <c r="Y127" i="8"/>
  <c r="W127" i="8"/>
  <c r="U127" i="8"/>
  <c r="AB127" i="8"/>
  <c r="R128" i="9"/>
  <c r="Z127" i="9"/>
  <c r="Y127" i="9"/>
  <c r="X127" i="9"/>
  <c r="AA127" i="9"/>
  <c r="P49" i="10"/>
  <c r="F55" i="7"/>
  <c r="D55" i="7"/>
  <c r="R129" i="8" l="1"/>
  <c r="AA128" i="8"/>
  <c r="Z128" i="8"/>
  <c r="Y128" i="8"/>
  <c r="W128" i="8"/>
  <c r="X128" i="8"/>
  <c r="U128" i="8"/>
  <c r="V128" i="8"/>
  <c r="T128" i="8"/>
  <c r="AB128" i="8"/>
  <c r="R129" i="9"/>
  <c r="Y128" i="9"/>
  <c r="X128" i="9"/>
  <c r="Z128" i="9"/>
  <c r="AA128" i="9"/>
  <c r="Q49" i="10"/>
  <c r="P56" i="7"/>
  <c r="N56" i="7"/>
  <c r="Q56" i="7" s="1"/>
  <c r="L57" i="7" s="1"/>
  <c r="G55" i="7"/>
  <c r="B56" i="7" s="1"/>
  <c r="R130" i="8" l="1"/>
  <c r="AA129" i="8"/>
  <c r="W129" i="8"/>
  <c r="T129" i="8"/>
  <c r="Y129" i="8"/>
  <c r="Z129" i="8"/>
  <c r="V129" i="8"/>
  <c r="U129" i="8"/>
  <c r="X129" i="8"/>
  <c r="AB129" i="8"/>
  <c r="R130" i="9"/>
  <c r="Z129" i="9"/>
  <c r="Y129" i="9"/>
  <c r="X129" i="9"/>
  <c r="AA129" i="9"/>
  <c r="S50" i="10"/>
  <c r="T50" i="10" s="1"/>
  <c r="U49" i="10"/>
  <c r="M57" i="7"/>
  <c r="C56" i="7"/>
  <c r="F56" i="7" s="1"/>
  <c r="E56" i="7"/>
  <c r="R131" i="8" l="1"/>
  <c r="AA130" i="8"/>
  <c r="W130" i="8"/>
  <c r="Y130" i="8"/>
  <c r="Z130" i="8"/>
  <c r="T130" i="8"/>
  <c r="U130" i="8"/>
  <c r="X130" i="8"/>
  <c r="V130" i="8"/>
  <c r="AB130" i="8"/>
  <c r="R131" i="9"/>
  <c r="Z130" i="9"/>
  <c r="Y130" i="9"/>
  <c r="X130" i="9"/>
  <c r="AA130" i="9"/>
  <c r="P50" i="10"/>
  <c r="O57" i="7"/>
  <c r="P57" i="7"/>
  <c r="D56" i="7"/>
  <c r="G56" i="7" s="1"/>
  <c r="C57" i="7" s="1"/>
  <c r="F57" i="7" s="1"/>
  <c r="R132" i="8" l="1"/>
  <c r="Z131" i="8"/>
  <c r="AA131" i="8"/>
  <c r="Y131" i="8"/>
  <c r="V131" i="8"/>
  <c r="W131" i="8"/>
  <c r="U131" i="8"/>
  <c r="T131" i="8"/>
  <c r="X131" i="8"/>
  <c r="AB131" i="8"/>
  <c r="R132" i="9"/>
  <c r="Z131" i="9"/>
  <c r="Y131" i="9"/>
  <c r="X131" i="9"/>
  <c r="AA131" i="9"/>
  <c r="Q50" i="10"/>
  <c r="N57" i="7"/>
  <c r="Q57" i="7" s="1"/>
  <c r="B57" i="7"/>
  <c r="E57" i="7" s="1"/>
  <c r="R133" i="8" l="1"/>
  <c r="V132" i="8"/>
  <c r="U132" i="8"/>
  <c r="W132" i="8"/>
  <c r="Z132" i="8"/>
  <c r="AA132" i="8"/>
  <c r="Y132" i="8"/>
  <c r="X132" i="8"/>
  <c r="T132" i="8"/>
  <c r="AB132" i="8"/>
  <c r="R133" i="9"/>
  <c r="Z132" i="9"/>
  <c r="X132" i="9"/>
  <c r="Y132" i="9"/>
  <c r="AA132" i="9"/>
  <c r="S51" i="10"/>
  <c r="T51" i="10" s="1"/>
  <c r="U50" i="10"/>
  <c r="D57" i="7"/>
  <c r="G57" i="7" s="1"/>
  <c r="C58" i="7" s="1"/>
  <c r="F58" i="7" s="1"/>
  <c r="M58" i="7"/>
  <c r="P58" i="7" s="1"/>
  <c r="L58" i="7"/>
  <c r="R134" i="8" l="1"/>
  <c r="X133" i="8"/>
  <c r="Z133" i="8"/>
  <c r="V133" i="8"/>
  <c r="U133" i="8"/>
  <c r="Y133" i="8"/>
  <c r="AA133" i="8"/>
  <c r="W133" i="8"/>
  <c r="T133" i="8"/>
  <c r="AB133" i="8"/>
  <c r="R134" i="9"/>
  <c r="Z133" i="9"/>
  <c r="X133" i="9"/>
  <c r="Y133" i="9"/>
  <c r="AA133" i="9"/>
  <c r="P51" i="10"/>
  <c r="N58" i="7"/>
  <c r="Q58" i="7" s="1"/>
  <c r="M59" i="7" s="1"/>
  <c r="O58" i="7"/>
  <c r="B58" i="7"/>
  <c r="E58" i="7" s="1"/>
  <c r="R135" i="8" l="1"/>
  <c r="AA134" i="8"/>
  <c r="Z134" i="8"/>
  <c r="X134" i="8"/>
  <c r="Y134" i="8"/>
  <c r="T134" i="8"/>
  <c r="U134" i="8"/>
  <c r="W134" i="8"/>
  <c r="V134" i="8"/>
  <c r="AB134" i="8"/>
  <c r="R135" i="9"/>
  <c r="Y134" i="9"/>
  <c r="Z134" i="9"/>
  <c r="X134" i="9"/>
  <c r="AA134" i="9"/>
  <c r="Q51" i="10"/>
  <c r="L59" i="7"/>
  <c r="O59" i="7" s="1"/>
  <c r="P59" i="7"/>
  <c r="D58" i="7"/>
  <c r="G58" i="7" s="1"/>
  <c r="R136" i="8" l="1"/>
  <c r="V135" i="8"/>
  <c r="Z135" i="8"/>
  <c r="X135" i="8"/>
  <c r="Y135" i="8"/>
  <c r="W135" i="8"/>
  <c r="T135" i="8"/>
  <c r="U135" i="8"/>
  <c r="AA135" i="8"/>
  <c r="AB135" i="8"/>
  <c r="R136" i="9"/>
  <c r="Z135" i="9"/>
  <c r="Y135" i="9"/>
  <c r="X135" i="9"/>
  <c r="AA135" i="9"/>
  <c r="S52" i="10"/>
  <c r="T52" i="10" s="1"/>
  <c r="U51" i="10"/>
  <c r="N59" i="7"/>
  <c r="Q59" i="7" s="1"/>
  <c r="L60" i="7" s="1"/>
  <c r="C59" i="7"/>
  <c r="F59" i="7" s="1"/>
  <c r="B59" i="7"/>
  <c r="E59" i="7" s="1"/>
  <c r="R137" i="8" l="1"/>
  <c r="AA136" i="8"/>
  <c r="Z136" i="8"/>
  <c r="Y136" i="8"/>
  <c r="X136" i="8"/>
  <c r="T136" i="8"/>
  <c r="W136" i="8"/>
  <c r="V136" i="8"/>
  <c r="U136" i="8"/>
  <c r="AB136" i="8"/>
  <c r="R137" i="9"/>
  <c r="Y136" i="9"/>
  <c r="X136" i="9"/>
  <c r="Z136" i="9"/>
  <c r="AA136" i="9"/>
  <c r="P52" i="10"/>
  <c r="M60" i="7"/>
  <c r="P60" i="7" s="1"/>
  <c r="O60" i="7"/>
  <c r="D59" i="7"/>
  <c r="G59" i="7" s="1"/>
  <c r="R138" i="8" l="1"/>
  <c r="AA137" i="8"/>
  <c r="W137" i="8"/>
  <c r="T137" i="8"/>
  <c r="X137" i="8"/>
  <c r="Z137" i="8"/>
  <c r="Y137" i="8"/>
  <c r="V137" i="8"/>
  <c r="U137" i="8"/>
  <c r="AB137" i="8"/>
  <c r="R138" i="9"/>
  <c r="Z137" i="9"/>
  <c r="X137" i="9"/>
  <c r="Y137" i="9"/>
  <c r="AA137" i="9"/>
  <c r="Q52" i="10"/>
  <c r="N60" i="7"/>
  <c r="Q60" i="7" s="1"/>
  <c r="C60" i="7"/>
  <c r="F60" i="7" s="1"/>
  <c r="B60" i="7"/>
  <c r="R139" i="8" l="1"/>
  <c r="W138" i="8"/>
  <c r="X138" i="8"/>
  <c r="T138" i="8"/>
  <c r="V138" i="8"/>
  <c r="U138" i="8"/>
  <c r="Y138" i="8"/>
  <c r="AA138" i="8"/>
  <c r="Z138" i="8"/>
  <c r="AB138" i="8"/>
  <c r="R139" i="9"/>
  <c r="Y138" i="9"/>
  <c r="Z138" i="9"/>
  <c r="X138" i="9"/>
  <c r="AA138" i="9"/>
  <c r="S53" i="10"/>
  <c r="T53" i="10" s="1"/>
  <c r="U52" i="10"/>
  <c r="D60" i="7"/>
  <c r="G60" i="7" s="1"/>
  <c r="C61" i="7" s="1"/>
  <c r="F61" i="7" s="1"/>
  <c r="M61" i="7"/>
  <c r="P61" i="7" s="1"/>
  <c r="L61" i="7"/>
  <c r="E60" i="7"/>
  <c r="R140" i="8" l="1"/>
  <c r="Y139" i="8"/>
  <c r="X139" i="8"/>
  <c r="W139" i="8"/>
  <c r="V139" i="8"/>
  <c r="Z139" i="8"/>
  <c r="T139" i="8"/>
  <c r="U139" i="8"/>
  <c r="AA139" i="8"/>
  <c r="AB139" i="8"/>
  <c r="R140" i="9"/>
  <c r="Z139" i="9"/>
  <c r="Y139" i="9"/>
  <c r="X139" i="9"/>
  <c r="AA139" i="9"/>
  <c r="P53" i="10"/>
  <c r="N61" i="7"/>
  <c r="Q61" i="7" s="1"/>
  <c r="O61" i="7"/>
  <c r="B61" i="7"/>
  <c r="R141" i="8" l="1"/>
  <c r="AA140" i="8"/>
  <c r="Y140" i="8"/>
  <c r="W140" i="8"/>
  <c r="U140" i="8"/>
  <c r="X140" i="8"/>
  <c r="T140" i="8"/>
  <c r="Z140" i="8"/>
  <c r="V140" i="8"/>
  <c r="AB140" i="8"/>
  <c r="R141" i="9"/>
  <c r="Z140" i="9"/>
  <c r="X140" i="9"/>
  <c r="Y140" i="9"/>
  <c r="AA140" i="9"/>
  <c r="Q53" i="10"/>
  <c r="L62" i="7"/>
  <c r="M62" i="7"/>
  <c r="P62" i="7" s="1"/>
  <c r="D61" i="7"/>
  <c r="E61" i="7"/>
  <c r="R142" i="8" l="1"/>
  <c r="AA141" i="8"/>
  <c r="Z141" i="8"/>
  <c r="X141" i="8"/>
  <c r="V141" i="8"/>
  <c r="W141" i="8"/>
  <c r="U141" i="8"/>
  <c r="Y141" i="8"/>
  <c r="T141" i="8"/>
  <c r="AB141" i="8"/>
  <c r="R142" i="9"/>
  <c r="Z141" i="9"/>
  <c r="X141" i="9"/>
  <c r="Y141" i="9"/>
  <c r="AA141" i="9"/>
  <c r="S54" i="10"/>
  <c r="T54" i="10" s="1"/>
  <c r="U53" i="10"/>
  <c r="O62" i="7"/>
  <c r="N62" i="7"/>
  <c r="Q62" i="7" s="1"/>
  <c r="M63" i="7" s="1"/>
  <c r="G61" i="7"/>
  <c r="C62" i="7" s="1"/>
  <c r="R143" i="8" l="1"/>
  <c r="AA142" i="8"/>
  <c r="V142" i="8"/>
  <c r="W142" i="8"/>
  <c r="U142" i="8"/>
  <c r="X142" i="8"/>
  <c r="Z142" i="8"/>
  <c r="Y142" i="8"/>
  <c r="T142" i="8"/>
  <c r="AB142" i="8"/>
  <c r="R143" i="9"/>
  <c r="Y142" i="9"/>
  <c r="Z142" i="9"/>
  <c r="X142" i="9"/>
  <c r="AA142" i="9"/>
  <c r="P54" i="10"/>
  <c r="L63" i="7"/>
  <c r="P63" i="7"/>
  <c r="F62" i="7"/>
  <c r="B62" i="7"/>
  <c r="R144" i="8" l="1"/>
  <c r="Z143" i="8"/>
  <c r="AA143" i="8"/>
  <c r="V143" i="8"/>
  <c r="X143" i="8"/>
  <c r="U143" i="8"/>
  <c r="Y143" i="8"/>
  <c r="T143" i="8"/>
  <c r="W143" i="8"/>
  <c r="AB143" i="8"/>
  <c r="R144" i="9"/>
  <c r="Z143" i="9"/>
  <c r="Y143" i="9"/>
  <c r="X143" i="9"/>
  <c r="AA143" i="9"/>
  <c r="Q54" i="10"/>
  <c r="N63" i="7"/>
  <c r="Q63" i="7" s="1"/>
  <c r="M64" i="7" s="1"/>
  <c r="O63" i="7"/>
  <c r="D62" i="7"/>
  <c r="E62" i="7"/>
  <c r="R145" i="8" l="1"/>
  <c r="AA144" i="8"/>
  <c r="Z144" i="8"/>
  <c r="Y144" i="8"/>
  <c r="X144" i="8"/>
  <c r="V144" i="8"/>
  <c r="T144" i="8"/>
  <c r="U144" i="8"/>
  <c r="W144" i="8"/>
  <c r="AB144" i="8"/>
  <c r="R145" i="9"/>
  <c r="Y144" i="9"/>
  <c r="X144" i="9"/>
  <c r="Z144" i="9"/>
  <c r="AA144" i="9"/>
  <c r="S55" i="10"/>
  <c r="T55" i="10" s="1"/>
  <c r="U54" i="10"/>
  <c r="L64" i="7"/>
  <c r="O64" i="7" s="1"/>
  <c r="G62" i="7"/>
  <c r="B63" i="7" s="1"/>
  <c r="R146" i="8" l="1"/>
  <c r="T145" i="8"/>
  <c r="AA145" i="8"/>
  <c r="W145" i="8"/>
  <c r="V145" i="8"/>
  <c r="X145" i="8"/>
  <c r="Y145" i="8"/>
  <c r="Z145" i="8"/>
  <c r="U145" i="8"/>
  <c r="AB145" i="8"/>
  <c r="R146" i="9"/>
  <c r="Z145" i="9"/>
  <c r="X145" i="9"/>
  <c r="Y145" i="9"/>
  <c r="AA145" i="9"/>
  <c r="P55" i="10"/>
  <c r="E63" i="7"/>
  <c r="C63" i="7"/>
  <c r="R147" i="8" l="1"/>
  <c r="W146" i="8"/>
  <c r="AA146" i="8"/>
  <c r="Z146" i="8"/>
  <c r="Y146" i="8"/>
  <c r="T146" i="8"/>
  <c r="X146" i="8"/>
  <c r="V146" i="8"/>
  <c r="U146" i="8"/>
  <c r="AB146" i="8"/>
  <c r="R147" i="9"/>
  <c r="Z146" i="9"/>
  <c r="Y146" i="9"/>
  <c r="X146" i="9"/>
  <c r="AA146" i="9"/>
  <c r="Q55" i="10"/>
  <c r="F63" i="7"/>
  <c r="D63" i="7"/>
  <c r="R148" i="8" l="1"/>
  <c r="AA147" i="8"/>
  <c r="W147" i="8"/>
  <c r="Z147" i="8"/>
  <c r="X147" i="8"/>
  <c r="Y147" i="8"/>
  <c r="T147" i="8"/>
  <c r="V147" i="8"/>
  <c r="U147" i="8"/>
  <c r="AB147" i="8"/>
  <c r="R148" i="9"/>
  <c r="Z147" i="9"/>
  <c r="Y147" i="9"/>
  <c r="X147" i="9"/>
  <c r="AA147" i="9"/>
  <c r="S56" i="10"/>
  <c r="T56" i="10" s="1"/>
  <c r="U55" i="10"/>
  <c r="P64" i="7"/>
  <c r="N64" i="7"/>
  <c r="Q64" i="7" s="1"/>
  <c r="L65" i="7" s="1"/>
  <c r="G63" i="7"/>
  <c r="B64" i="7" s="1"/>
  <c r="R149" i="8" l="1"/>
  <c r="Y148" i="8"/>
  <c r="AA148" i="8"/>
  <c r="Z148" i="8"/>
  <c r="U148" i="8"/>
  <c r="X148" i="8"/>
  <c r="T148" i="8"/>
  <c r="W148" i="8"/>
  <c r="V148" i="8"/>
  <c r="AB148" i="8"/>
  <c r="Z148" i="9"/>
  <c r="R149" i="9"/>
  <c r="X148" i="9"/>
  <c r="Y148" i="9"/>
  <c r="AA148" i="9"/>
  <c r="P56" i="10"/>
  <c r="M65" i="7"/>
  <c r="E64" i="7"/>
  <c r="C64" i="7"/>
  <c r="R150" i="8" l="1"/>
  <c r="X149" i="8"/>
  <c r="Y149" i="8"/>
  <c r="AA149" i="8"/>
  <c r="Z149" i="8"/>
  <c r="U149" i="8"/>
  <c r="V149" i="8"/>
  <c r="T149" i="8"/>
  <c r="W149" i="8"/>
  <c r="AB149" i="8"/>
  <c r="R150" i="9"/>
  <c r="Z149" i="9"/>
  <c r="X149" i="9"/>
  <c r="Y149" i="9"/>
  <c r="AA149" i="9"/>
  <c r="Q56" i="10"/>
  <c r="P65" i="7"/>
  <c r="O65" i="7"/>
  <c r="N65" i="7"/>
  <c r="Q65" i="7" s="1"/>
  <c r="F64" i="7"/>
  <c r="D64" i="7"/>
  <c r="R151" i="8" l="1"/>
  <c r="AA150" i="8"/>
  <c r="V150" i="8"/>
  <c r="W150" i="8"/>
  <c r="Z150" i="8"/>
  <c r="Y150" i="8"/>
  <c r="X150" i="8"/>
  <c r="U150" i="8"/>
  <c r="T150" i="8"/>
  <c r="AB150" i="8"/>
  <c r="R151" i="9"/>
  <c r="Y150" i="9"/>
  <c r="Z150" i="9"/>
  <c r="X150" i="9"/>
  <c r="AA150" i="9"/>
  <c r="S57" i="10"/>
  <c r="T57" i="10" s="1"/>
  <c r="U56" i="10"/>
  <c r="M66" i="7"/>
  <c r="L66" i="7"/>
  <c r="G64" i="7"/>
  <c r="B65" i="7" s="1"/>
  <c r="R152" i="8" l="1"/>
  <c r="Z151" i="8"/>
  <c r="V151" i="8"/>
  <c r="AA151" i="8"/>
  <c r="W151" i="8"/>
  <c r="Y151" i="8"/>
  <c r="T151" i="8"/>
  <c r="U151" i="8"/>
  <c r="X151" i="8"/>
  <c r="AB151" i="8"/>
  <c r="R152" i="9"/>
  <c r="Z151" i="9"/>
  <c r="Y151" i="9"/>
  <c r="X151" i="9"/>
  <c r="AA151" i="9"/>
  <c r="P57" i="10"/>
  <c r="O66" i="7"/>
  <c r="E65" i="7"/>
  <c r="C65" i="7"/>
  <c r="R153" i="8" l="1"/>
  <c r="AA152" i="8"/>
  <c r="Z152" i="8"/>
  <c r="Y152" i="8"/>
  <c r="X152" i="8"/>
  <c r="W152" i="8"/>
  <c r="U152" i="8"/>
  <c r="V152" i="8"/>
  <c r="T152" i="8"/>
  <c r="AB152" i="8"/>
  <c r="R153" i="9"/>
  <c r="Y152" i="9"/>
  <c r="X152" i="9"/>
  <c r="Z152" i="9"/>
  <c r="AA152" i="9"/>
  <c r="Q57" i="10"/>
  <c r="F65" i="7"/>
  <c r="D65" i="7"/>
  <c r="R154" i="8" l="1"/>
  <c r="AA153" i="8"/>
  <c r="Z153" i="8"/>
  <c r="X153" i="8"/>
  <c r="V153" i="8"/>
  <c r="T153" i="8"/>
  <c r="W153" i="8"/>
  <c r="Y153" i="8"/>
  <c r="U153" i="8"/>
  <c r="AB153" i="8"/>
  <c r="R154" i="9"/>
  <c r="Z153" i="9"/>
  <c r="Y153" i="9"/>
  <c r="X153" i="9"/>
  <c r="AA153" i="9"/>
  <c r="S58" i="10"/>
  <c r="T58" i="10" s="1"/>
  <c r="U57" i="10"/>
  <c r="P66" i="7"/>
  <c r="N66" i="7"/>
  <c r="Q66" i="7" s="1"/>
  <c r="L67" i="7" s="1"/>
  <c r="G65" i="7"/>
  <c r="B66" i="7" s="1"/>
  <c r="R155" i="8" l="1"/>
  <c r="AA154" i="8"/>
  <c r="W154" i="8"/>
  <c r="V154" i="8"/>
  <c r="T154" i="8"/>
  <c r="Z154" i="8"/>
  <c r="Y154" i="8"/>
  <c r="U154" i="8"/>
  <c r="X154" i="8"/>
  <c r="AB154" i="8"/>
  <c r="R155" i="9"/>
  <c r="Y154" i="9"/>
  <c r="Z154" i="9"/>
  <c r="X154" i="9"/>
  <c r="AA154" i="9"/>
  <c r="P58" i="10"/>
  <c r="M67" i="7"/>
  <c r="E66" i="7"/>
  <c r="C66" i="7"/>
  <c r="R156" i="8" l="1"/>
  <c r="AA155" i="8"/>
  <c r="Z155" i="8"/>
  <c r="W155" i="8"/>
  <c r="V155" i="8"/>
  <c r="Y155" i="8"/>
  <c r="T155" i="8"/>
  <c r="X155" i="8"/>
  <c r="U155" i="8"/>
  <c r="AB155" i="8"/>
  <c r="R156" i="9"/>
  <c r="Z155" i="9"/>
  <c r="Y155" i="9"/>
  <c r="X155" i="9"/>
  <c r="AA155" i="9"/>
  <c r="Q58" i="10"/>
  <c r="P67" i="7"/>
  <c r="N67" i="7"/>
  <c r="Q67" i="7" s="1"/>
  <c r="O67" i="7"/>
  <c r="F66" i="7"/>
  <c r="D66" i="7"/>
  <c r="R157" i="8" l="1"/>
  <c r="W156" i="8"/>
  <c r="U156" i="8"/>
  <c r="X156" i="8"/>
  <c r="T156" i="8"/>
  <c r="Z156" i="8"/>
  <c r="AA156" i="8"/>
  <c r="V156" i="8"/>
  <c r="Y156" i="8"/>
  <c r="AB156" i="8"/>
  <c r="R157" i="9"/>
  <c r="Z156" i="9"/>
  <c r="X156" i="9"/>
  <c r="Y156" i="9"/>
  <c r="AA156" i="9"/>
  <c r="S59" i="10"/>
  <c r="T59" i="10" s="1"/>
  <c r="U58" i="10"/>
  <c r="M68" i="7"/>
  <c r="L68" i="7"/>
  <c r="O68" i="7" s="1"/>
  <c r="G66" i="7"/>
  <c r="B67" i="7" s="1"/>
  <c r="R158" i="8" l="1"/>
  <c r="AA157" i="8"/>
  <c r="X157" i="8"/>
  <c r="Z157" i="8"/>
  <c r="Y157" i="8"/>
  <c r="U157" i="8"/>
  <c r="T157" i="8"/>
  <c r="W157" i="8"/>
  <c r="V157" i="8"/>
  <c r="AB157" i="8"/>
  <c r="R158" i="9"/>
  <c r="Z157" i="9"/>
  <c r="X157" i="9"/>
  <c r="Y157" i="9"/>
  <c r="AA157" i="9"/>
  <c r="P59" i="10"/>
  <c r="E67" i="7"/>
  <c r="C67" i="7"/>
  <c r="R159" i="8" l="1"/>
  <c r="AA158" i="8"/>
  <c r="Z158" i="8"/>
  <c r="Y158" i="8"/>
  <c r="T158" i="8"/>
  <c r="X158" i="8"/>
  <c r="V158" i="8"/>
  <c r="W158" i="8"/>
  <c r="U158" i="8"/>
  <c r="AB158" i="8"/>
  <c r="R159" i="9"/>
  <c r="Y158" i="9"/>
  <c r="Z158" i="9"/>
  <c r="X158" i="9"/>
  <c r="AA158" i="9"/>
  <c r="Q59" i="10"/>
  <c r="F67" i="7"/>
  <c r="D67" i="7"/>
  <c r="R160" i="8" l="1"/>
  <c r="AA159" i="8"/>
  <c r="V159" i="8"/>
  <c r="Y159" i="8"/>
  <c r="X159" i="8"/>
  <c r="Z159" i="8"/>
  <c r="W159" i="8"/>
  <c r="U159" i="8"/>
  <c r="T159" i="8"/>
  <c r="AB159" i="8"/>
  <c r="R160" i="9"/>
  <c r="Z159" i="9"/>
  <c r="Y159" i="9"/>
  <c r="X159" i="9"/>
  <c r="AA159" i="9"/>
  <c r="S60" i="10"/>
  <c r="T60" i="10" s="1"/>
  <c r="U59" i="10"/>
  <c r="P68" i="7"/>
  <c r="N68" i="7"/>
  <c r="Q68" i="7" s="1"/>
  <c r="L69" i="7" s="1"/>
  <c r="G67" i="7"/>
  <c r="B68" i="7" s="1"/>
  <c r="R161" i="8" l="1"/>
  <c r="AA160" i="8"/>
  <c r="Z160" i="8"/>
  <c r="Y160" i="8"/>
  <c r="V160" i="8"/>
  <c r="W160" i="8"/>
  <c r="X160" i="8"/>
  <c r="U160" i="8"/>
  <c r="T160" i="8"/>
  <c r="AB160" i="8"/>
  <c r="R161" i="9"/>
  <c r="Y160" i="9"/>
  <c r="X160" i="9"/>
  <c r="Z160" i="9"/>
  <c r="AA160" i="9"/>
  <c r="P60" i="10"/>
  <c r="M69" i="7"/>
  <c r="C68" i="7"/>
  <c r="D68" i="7" s="1"/>
  <c r="E68" i="7"/>
  <c r="R162" i="8" l="1"/>
  <c r="X161" i="8"/>
  <c r="T161" i="8"/>
  <c r="Y161" i="8"/>
  <c r="W161" i="8"/>
  <c r="AA161" i="8"/>
  <c r="U161" i="8"/>
  <c r="V161" i="8"/>
  <c r="Z161" i="8"/>
  <c r="AB161" i="8"/>
  <c r="Z161" i="9"/>
  <c r="R162" i="9"/>
  <c r="X161" i="9"/>
  <c r="Y161" i="9"/>
  <c r="AA161" i="9"/>
  <c r="Q60" i="10"/>
  <c r="O69" i="7"/>
  <c r="P69" i="7"/>
  <c r="G68" i="7"/>
  <c r="B69" i="7" s="1"/>
  <c r="F68" i="7"/>
  <c r="R163" i="8" l="1"/>
  <c r="Z162" i="8"/>
  <c r="W162" i="8"/>
  <c r="X162" i="8"/>
  <c r="T162" i="8"/>
  <c r="Y162" i="8"/>
  <c r="U162" i="8"/>
  <c r="AA162" i="8"/>
  <c r="V162" i="8"/>
  <c r="AB162" i="8"/>
  <c r="R163" i="9"/>
  <c r="Z162" i="9"/>
  <c r="Y162" i="9"/>
  <c r="X162" i="9"/>
  <c r="AA162" i="9"/>
  <c r="S61" i="10"/>
  <c r="T61" i="10" s="1"/>
  <c r="U60" i="10"/>
  <c r="N69" i="7"/>
  <c r="Q69" i="7" s="1"/>
  <c r="L70" i="7" s="1"/>
  <c r="C69" i="7"/>
  <c r="F69" i="7" s="1"/>
  <c r="E69" i="7"/>
  <c r="R164" i="8" l="1"/>
  <c r="Z163" i="8"/>
  <c r="AA163" i="8"/>
  <c r="V163" i="8"/>
  <c r="X163" i="8"/>
  <c r="W163" i="8"/>
  <c r="U163" i="8"/>
  <c r="Y163" i="8"/>
  <c r="T163" i="8"/>
  <c r="AB163" i="8"/>
  <c r="R164" i="9"/>
  <c r="Z163" i="9"/>
  <c r="Y163" i="9"/>
  <c r="X163" i="9"/>
  <c r="AA163" i="9"/>
  <c r="P61" i="10"/>
  <c r="M70" i="7"/>
  <c r="P70" i="7" s="1"/>
  <c r="D69" i="7"/>
  <c r="G69" i="7" s="1"/>
  <c r="B70" i="7" s="1"/>
  <c r="R165" i="8" l="1"/>
  <c r="AA164" i="8"/>
  <c r="Z164" i="8"/>
  <c r="U164" i="8"/>
  <c r="V164" i="8"/>
  <c r="X164" i="8"/>
  <c r="T164" i="8"/>
  <c r="Y164" i="8"/>
  <c r="W164" i="8"/>
  <c r="AB164" i="8"/>
  <c r="R165" i="9"/>
  <c r="Z164" i="9"/>
  <c r="X164" i="9"/>
  <c r="Y164" i="9"/>
  <c r="AA164" i="9"/>
  <c r="Q61" i="10"/>
  <c r="O70" i="7"/>
  <c r="N70" i="7"/>
  <c r="Q70" i="7" s="1"/>
  <c r="M71" i="7" s="1"/>
  <c r="E70" i="7"/>
  <c r="C70" i="7"/>
  <c r="F70" i="7" s="1"/>
  <c r="R166" i="8" l="1"/>
  <c r="AA165" i="8"/>
  <c r="X165" i="8"/>
  <c r="W165" i="8"/>
  <c r="Z165" i="8"/>
  <c r="U165" i="8"/>
  <c r="V165" i="8"/>
  <c r="T165" i="8"/>
  <c r="Y165" i="8"/>
  <c r="AB165" i="8"/>
  <c r="R166" i="9"/>
  <c r="Z165" i="9"/>
  <c r="X165" i="9"/>
  <c r="Y165" i="9"/>
  <c r="AA165" i="9"/>
  <c r="S62" i="10"/>
  <c r="T62" i="10" s="1"/>
  <c r="U61" i="10"/>
  <c r="L71" i="7"/>
  <c r="P71" i="7"/>
  <c r="D70" i="7"/>
  <c r="G70" i="7" s="1"/>
  <c r="C71" i="7" s="1"/>
  <c r="F71" i="7" s="1"/>
  <c r="R167" i="8" l="1"/>
  <c r="AA166" i="8"/>
  <c r="Y166" i="8"/>
  <c r="Z166" i="8"/>
  <c r="T166" i="8"/>
  <c r="V166" i="8"/>
  <c r="U166" i="8"/>
  <c r="W166" i="8"/>
  <c r="X166" i="8"/>
  <c r="AB166" i="8"/>
  <c r="R167" i="9"/>
  <c r="Y166" i="9"/>
  <c r="Z166" i="9"/>
  <c r="X166" i="9"/>
  <c r="AA166" i="9"/>
  <c r="P62" i="10"/>
  <c r="O71" i="7"/>
  <c r="N71" i="7"/>
  <c r="Q71" i="7" s="1"/>
  <c r="B71" i="7"/>
  <c r="R168" i="8" l="1"/>
  <c r="V167" i="8"/>
  <c r="AA167" i="8"/>
  <c r="Y167" i="8"/>
  <c r="T167" i="8"/>
  <c r="X167" i="8"/>
  <c r="Z167" i="8"/>
  <c r="W167" i="8"/>
  <c r="U167" i="8"/>
  <c r="AB167" i="8"/>
  <c r="R168" i="9"/>
  <c r="Z167" i="9"/>
  <c r="Y167" i="9"/>
  <c r="X167" i="9"/>
  <c r="AA167" i="9"/>
  <c r="Q62" i="10"/>
  <c r="L72" i="7"/>
  <c r="M72" i="7"/>
  <c r="P72" i="7" s="1"/>
  <c r="E71" i="7"/>
  <c r="D71" i="7"/>
  <c r="R169" i="8" l="1"/>
  <c r="AA168" i="8"/>
  <c r="Z168" i="8"/>
  <c r="Y168" i="8"/>
  <c r="W168" i="8"/>
  <c r="V168" i="8"/>
  <c r="T168" i="8"/>
  <c r="U168" i="8"/>
  <c r="X168" i="8"/>
  <c r="AB168" i="8"/>
  <c r="R169" i="9"/>
  <c r="Y168" i="9"/>
  <c r="X168" i="9"/>
  <c r="Z168" i="9"/>
  <c r="AA168" i="9"/>
  <c r="S63" i="10"/>
  <c r="T63" i="10" s="1"/>
  <c r="U62" i="10"/>
  <c r="N72" i="7"/>
  <c r="Q72" i="7" s="1"/>
  <c r="M73" i="7" s="1"/>
  <c r="O72" i="7"/>
  <c r="G71" i="7"/>
  <c r="C72" i="7" s="1"/>
  <c r="F72" i="7" s="1"/>
  <c r="R170" i="8" l="1"/>
  <c r="AA169" i="8"/>
  <c r="Z169" i="8"/>
  <c r="T169" i="8"/>
  <c r="Y169" i="8"/>
  <c r="W169" i="8"/>
  <c r="V169" i="8"/>
  <c r="U169" i="8"/>
  <c r="X169" i="8"/>
  <c r="AB169" i="8"/>
  <c r="R170" i="9"/>
  <c r="Z169" i="9"/>
  <c r="Y169" i="9"/>
  <c r="X169" i="9"/>
  <c r="AA169" i="9"/>
  <c r="L73" i="7"/>
  <c r="O73" i="7" s="1"/>
  <c r="P73" i="7"/>
  <c r="B72" i="7"/>
  <c r="D72" i="7" s="1"/>
  <c r="R171" i="8" l="1"/>
  <c r="W170" i="8"/>
  <c r="X170" i="8"/>
  <c r="Z170" i="8"/>
  <c r="T170" i="8"/>
  <c r="Y170" i="8"/>
  <c r="AA170" i="8"/>
  <c r="U170" i="8"/>
  <c r="V170" i="8"/>
  <c r="AB170" i="8"/>
  <c r="R171" i="9"/>
  <c r="Y170" i="9"/>
  <c r="Z170" i="9"/>
  <c r="X170" i="9"/>
  <c r="AA170" i="9"/>
  <c r="P63" i="10"/>
  <c r="Q63" i="10" s="1"/>
  <c r="N73" i="7"/>
  <c r="Q73" i="7" s="1"/>
  <c r="L74" i="7" s="1"/>
  <c r="E72" i="7"/>
  <c r="G72" i="7"/>
  <c r="C73" i="7" s="1"/>
  <c r="F73" i="7" s="1"/>
  <c r="R172" i="8" l="1"/>
  <c r="Z171" i="8"/>
  <c r="X171" i="8"/>
  <c r="Y171" i="8"/>
  <c r="W171" i="8"/>
  <c r="U171" i="8"/>
  <c r="V171" i="8"/>
  <c r="AA171" i="8"/>
  <c r="T171" i="8"/>
  <c r="AB171" i="8"/>
  <c r="R172" i="9"/>
  <c r="Z171" i="9"/>
  <c r="Y171" i="9"/>
  <c r="X171" i="9"/>
  <c r="AA171" i="9"/>
  <c r="S64" i="10"/>
  <c r="T64" i="10" s="1"/>
  <c r="U63" i="10"/>
  <c r="M74" i="7"/>
  <c r="P74" i="7" s="1"/>
  <c r="B73" i="7"/>
  <c r="E73" i="7" s="1"/>
  <c r="R173" i="8" l="1"/>
  <c r="AA172" i="8"/>
  <c r="X172" i="8"/>
  <c r="V172" i="8"/>
  <c r="U172" i="8"/>
  <c r="Y172" i="8"/>
  <c r="W172" i="8"/>
  <c r="T172" i="8"/>
  <c r="Z172" i="8"/>
  <c r="AB172" i="8"/>
  <c r="R173" i="9"/>
  <c r="Z172" i="9"/>
  <c r="X172" i="9"/>
  <c r="Y172" i="9"/>
  <c r="AA172" i="9"/>
  <c r="D73" i="7"/>
  <c r="G73" i="7" s="1"/>
  <c r="B74" i="7" s="1"/>
  <c r="N74" i="7"/>
  <c r="Q74" i="7" s="1"/>
  <c r="M75" i="7" s="1"/>
  <c r="O74" i="7"/>
  <c r="R174" i="8" l="1"/>
  <c r="AA173" i="8"/>
  <c r="Z173" i="8"/>
  <c r="X173" i="8"/>
  <c r="V173" i="8"/>
  <c r="U173" i="8"/>
  <c r="Y173" i="8"/>
  <c r="W173" i="8"/>
  <c r="T173" i="8"/>
  <c r="AB173" i="8"/>
  <c r="R174" i="9"/>
  <c r="Z173" i="9"/>
  <c r="X173" i="9"/>
  <c r="Y173" i="9"/>
  <c r="AA173" i="9"/>
  <c r="P64" i="10"/>
  <c r="Q64" i="10" s="1"/>
  <c r="U64" i="10" s="1"/>
  <c r="L75" i="7"/>
  <c r="O75" i="7" s="1"/>
  <c r="E74" i="7"/>
  <c r="C74" i="7"/>
  <c r="F74" i="7" s="1"/>
  <c r="R175" i="8" l="1"/>
  <c r="AA174" i="8"/>
  <c r="W174" i="8"/>
  <c r="X174" i="8"/>
  <c r="U174" i="8"/>
  <c r="Y174" i="8"/>
  <c r="Z174" i="8"/>
  <c r="T174" i="8"/>
  <c r="V174" i="8"/>
  <c r="AB174" i="8"/>
  <c r="R175" i="9"/>
  <c r="Y174" i="9"/>
  <c r="Z174" i="9"/>
  <c r="X174" i="9"/>
  <c r="AA174" i="9"/>
  <c r="S65" i="10"/>
  <c r="T65" i="10" s="1"/>
  <c r="D74" i="7"/>
  <c r="R176" i="8" l="1"/>
  <c r="V175" i="8"/>
  <c r="Y175" i="8"/>
  <c r="AA175" i="8"/>
  <c r="X175" i="8"/>
  <c r="Z175" i="8"/>
  <c r="W175" i="8"/>
  <c r="U175" i="8"/>
  <c r="T175" i="8"/>
  <c r="AB175" i="8"/>
  <c r="R176" i="9"/>
  <c r="Z175" i="9"/>
  <c r="Y175" i="9"/>
  <c r="X175" i="9"/>
  <c r="AA175" i="9"/>
  <c r="P65" i="10"/>
  <c r="P75" i="7"/>
  <c r="N75" i="7"/>
  <c r="Q75" i="7" s="1"/>
  <c r="L76" i="7" s="1"/>
  <c r="G74" i="7"/>
  <c r="B75" i="7" s="1"/>
  <c r="R177" i="8" l="1"/>
  <c r="AA176" i="8"/>
  <c r="Z176" i="8"/>
  <c r="Y176" i="8"/>
  <c r="T176" i="8"/>
  <c r="U176" i="8"/>
  <c r="W176" i="8"/>
  <c r="X176" i="8"/>
  <c r="V176" i="8"/>
  <c r="AB176" i="8"/>
  <c r="R177" i="9"/>
  <c r="Y176" i="9"/>
  <c r="X176" i="9"/>
  <c r="Z176" i="9"/>
  <c r="AA176" i="9"/>
  <c r="Q65" i="10"/>
  <c r="M76" i="7"/>
  <c r="E75" i="7"/>
  <c r="C75" i="7"/>
  <c r="F75" i="7" s="1"/>
  <c r="R178" i="8" l="1"/>
  <c r="AA177" i="8"/>
  <c r="Y177" i="8"/>
  <c r="T177" i="8"/>
  <c r="X177" i="8"/>
  <c r="V177" i="8"/>
  <c r="Z177" i="8"/>
  <c r="U177" i="8"/>
  <c r="W177" i="8"/>
  <c r="AB177" i="8"/>
  <c r="R178" i="9"/>
  <c r="Z177" i="9"/>
  <c r="Y177" i="9"/>
  <c r="X177" i="9"/>
  <c r="AA177" i="9"/>
  <c r="U65" i="10"/>
  <c r="S66" i="10"/>
  <c r="T66" i="10" s="1"/>
  <c r="O76" i="7"/>
  <c r="P76" i="7"/>
  <c r="D75" i="7"/>
  <c r="R179" i="8" l="1"/>
  <c r="AA178" i="8"/>
  <c r="W178" i="8"/>
  <c r="Z178" i="8"/>
  <c r="T178" i="8"/>
  <c r="X178" i="8"/>
  <c r="V178" i="8"/>
  <c r="Y178" i="8"/>
  <c r="U178" i="8"/>
  <c r="AB178" i="8"/>
  <c r="R179" i="9"/>
  <c r="Z178" i="9"/>
  <c r="Y178" i="9"/>
  <c r="X178" i="9"/>
  <c r="AA178" i="9"/>
  <c r="P66" i="10"/>
  <c r="N76" i="7"/>
  <c r="Q76" i="7" s="1"/>
  <c r="M77" i="7" s="1"/>
  <c r="G75" i="7"/>
  <c r="B76" i="7" s="1"/>
  <c r="R180" i="8" l="1"/>
  <c r="AA179" i="8"/>
  <c r="X179" i="8"/>
  <c r="Z179" i="8"/>
  <c r="T179" i="8"/>
  <c r="V179" i="8"/>
  <c r="W179" i="8"/>
  <c r="Y179" i="8"/>
  <c r="U179" i="8"/>
  <c r="AB179" i="8"/>
  <c r="R180" i="9"/>
  <c r="Z179" i="9"/>
  <c r="Y179" i="9"/>
  <c r="X179" i="9"/>
  <c r="AA179" i="9"/>
  <c r="Q66" i="10"/>
  <c r="L77" i="7"/>
  <c r="O77" i="7" s="1"/>
  <c r="E76" i="7"/>
  <c r="C76" i="7"/>
  <c r="R181" i="8" l="1"/>
  <c r="Z180" i="8"/>
  <c r="X180" i="8"/>
  <c r="U180" i="8"/>
  <c r="AA180" i="8"/>
  <c r="T180" i="8"/>
  <c r="V180" i="8"/>
  <c r="W180" i="8"/>
  <c r="Y180" i="8"/>
  <c r="AB180" i="8"/>
  <c r="R181" i="9"/>
  <c r="Z180" i="9"/>
  <c r="X180" i="9"/>
  <c r="Y180" i="9"/>
  <c r="AA180" i="9"/>
  <c r="S67" i="10"/>
  <c r="T67" i="10" s="1"/>
  <c r="U66" i="10"/>
  <c r="U9" i="10"/>
  <c r="K22" i="21" s="1"/>
  <c r="P77" i="7"/>
  <c r="N77" i="7"/>
  <c r="Q77" i="7" s="1"/>
  <c r="L78" i="7" s="1"/>
  <c r="F76" i="7"/>
  <c r="D76" i="7"/>
  <c r="R182" i="8" l="1"/>
  <c r="X181" i="8"/>
  <c r="Z181" i="8"/>
  <c r="W181" i="8"/>
  <c r="V181" i="8"/>
  <c r="U181" i="8"/>
  <c r="Y181" i="8"/>
  <c r="T181" i="8"/>
  <c r="AA181" i="8"/>
  <c r="AB181" i="8"/>
  <c r="R182" i="9"/>
  <c r="Z181" i="9"/>
  <c r="X181" i="9"/>
  <c r="Y181" i="9"/>
  <c r="AA181" i="9"/>
  <c r="P67" i="10"/>
  <c r="M78" i="7"/>
  <c r="O78" i="7"/>
  <c r="G76" i="7"/>
  <c r="B77" i="7" s="1"/>
  <c r="R183" i="8" l="1"/>
  <c r="AA182" i="8"/>
  <c r="Z182" i="8"/>
  <c r="Y182" i="8"/>
  <c r="W182" i="8"/>
  <c r="V182" i="8"/>
  <c r="X182" i="8"/>
  <c r="T182" i="8"/>
  <c r="U182" i="8"/>
  <c r="AB182" i="8"/>
  <c r="R183" i="9"/>
  <c r="Y182" i="9"/>
  <c r="Z182" i="9"/>
  <c r="X182" i="9"/>
  <c r="AA182" i="9"/>
  <c r="Q67" i="10"/>
  <c r="U8" i="10"/>
  <c r="K21" i="21" s="1"/>
  <c r="C77" i="7"/>
  <c r="E77" i="7"/>
  <c r="R184" i="8" l="1"/>
  <c r="Z183" i="8"/>
  <c r="V183" i="8"/>
  <c r="AA183" i="8"/>
  <c r="W183" i="8"/>
  <c r="Y183" i="8"/>
  <c r="U183" i="8"/>
  <c r="T183" i="8"/>
  <c r="X183" i="8"/>
  <c r="AB183" i="8"/>
  <c r="R184" i="9"/>
  <c r="Z183" i="9"/>
  <c r="Y183" i="9"/>
  <c r="X183" i="9"/>
  <c r="AA183" i="9"/>
  <c r="S68" i="10"/>
  <c r="T68" i="10" s="1"/>
  <c r="U67" i="10"/>
  <c r="W8" i="10"/>
  <c r="K23" i="21" s="1"/>
  <c r="F77" i="7"/>
  <c r="D77" i="7"/>
  <c r="G77" i="7" s="1"/>
  <c r="R185" i="8" l="1"/>
  <c r="AA184" i="8"/>
  <c r="Z184" i="8"/>
  <c r="Y184" i="8"/>
  <c r="X184" i="8"/>
  <c r="W184" i="8"/>
  <c r="U184" i="8"/>
  <c r="T184" i="8"/>
  <c r="V184" i="8"/>
  <c r="AB184" i="8"/>
  <c r="R185" i="9"/>
  <c r="Y184" i="9"/>
  <c r="X184" i="9"/>
  <c r="Z184" i="9"/>
  <c r="AA184" i="9"/>
  <c r="P68" i="10"/>
  <c r="C78" i="7"/>
  <c r="F78" i="7" s="1"/>
  <c r="P78" i="7"/>
  <c r="N78" i="7"/>
  <c r="Q78" i="7" s="1"/>
  <c r="L79" i="7" s="1"/>
  <c r="B78" i="7"/>
  <c r="R186" i="8" l="1"/>
  <c r="Y185" i="8"/>
  <c r="AA185" i="8"/>
  <c r="T185" i="8"/>
  <c r="Z185" i="8"/>
  <c r="X185" i="8"/>
  <c r="U185" i="8"/>
  <c r="V185" i="8"/>
  <c r="W185" i="8"/>
  <c r="AB185" i="8"/>
  <c r="R186" i="9"/>
  <c r="Z185" i="9"/>
  <c r="X185" i="9"/>
  <c r="Y185" i="9"/>
  <c r="AA185" i="9"/>
  <c r="Q68" i="10"/>
  <c r="M79" i="7"/>
  <c r="P79" i="7" s="1"/>
  <c r="D78" i="7"/>
  <c r="G78" i="7" s="1"/>
  <c r="C79" i="7" s="1"/>
  <c r="F79" i="7" s="1"/>
  <c r="E78" i="7"/>
  <c r="R187" i="8" l="1"/>
  <c r="W186" i="8"/>
  <c r="Y186" i="8"/>
  <c r="X186" i="8"/>
  <c r="T186" i="8"/>
  <c r="Z186" i="8"/>
  <c r="U186" i="8"/>
  <c r="AA186" i="8"/>
  <c r="V186" i="8"/>
  <c r="AB186" i="8"/>
  <c r="R187" i="9"/>
  <c r="Y186" i="9"/>
  <c r="Z186" i="9"/>
  <c r="X186" i="9"/>
  <c r="AA186" i="9"/>
  <c r="S69" i="10"/>
  <c r="T69" i="10" s="1"/>
  <c r="U68" i="10"/>
  <c r="N79" i="7"/>
  <c r="Q79" i="7" s="1"/>
  <c r="O79" i="7"/>
  <c r="B79" i="7"/>
  <c r="E79" i="7" s="1"/>
  <c r="R188" i="8" l="1"/>
  <c r="Y187" i="8"/>
  <c r="AA187" i="8"/>
  <c r="W187" i="8"/>
  <c r="X187" i="8"/>
  <c r="T187" i="8"/>
  <c r="V187" i="8"/>
  <c r="Z187" i="8"/>
  <c r="U187" i="8"/>
  <c r="AB187" i="8"/>
  <c r="R188" i="9"/>
  <c r="Z187" i="9"/>
  <c r="Y187" i="9"/>
  <c r="X187" i="9"/>
  <c r="AA187" i="9"/>
  <c r="P69" i="10"/>
  <c r="D79" i="7"/>
  <c r="G79" i="7" s="1"/>
  <c r="C80" i="7" s="1"/>
  <c r="F80" i="7" s="1"/>
  <c r="L80" i="7"/>
  <c r="O80" i="7" s="1"/>
  <c r="M80" i="7"/>
  <c r="P80" i="7" s="1"/>
  <c r="R189" i="8" l="1"/>
  <c r="AA188" i="8"/>
  <c r="X188" i="8"/>
  <c r="U188" i="8"/>
  <c r="V188" i="8"/>
  <c r="T188" i="8"/>
  <c r="W188" i="8"/>
  <c r="Y188" i="8"/>
  <c r="Z188" i="8"/>
  <c r="AB188" i="8"/>
  <c r="R189" i="9"/>
  <c r="Z188" i="9"/>
  <c r="X188" i="9"/>
  <c r="Y188" i="9"/>
  <c r="AA188" i="9"/>
  <c r="Q69" i="10"/>
  <c r="N80" i="7"/>
  <c r="Q80" i="7" s="1"/>
  <c r="L81" i="7" s="1"/>
  <c r="O81" i="7" s="1"/>
  <c r="B80" i="7"/>
  <c r="D80" i="7" s="1"/>
  <c r="R190" i="8" l="1"/>
  <c r="AA189" i="8"/>
  <c r="Z189" i="8"/>
  <c r="X189" i="8"/>
  <c r="U189" i="8"/>
  <c r="Y189" i="8"/>
  <c r="T189" i="8"/>
  <c r="V189" i="8"/>
  <c r="W189" i="8"/>
  <c r="AB189" i="8"/>
  <c r="R190" i="9"/>
  <c r="Z189" i="9"/>
  <c r="X189" i="9"/>
  <c r="Y189" i="9"/>
  <c r="AA189" i="9"/>
  <c r="S70" i="10"/>
  <c r="T70" i="10" s="1"/>
  <c r="U69" i="10"/>
  <c r="M81" i="7"/>
  <c r="P81" i="7" s="1"/>
  <c r="E80" i="7"/>
  <c r="G80" i="7"/>
  <c r="C81" i="7" s="1"/>
  <c r="R191" i="8" l="1"/>
  <c r="AA190" i="8"/>
  <c r="X190" i="8"/>
  <c r="V190" i="8"/>
  <c r="Y190" i="8"/>
  <c r="T190" i="8"/>
  <c r="Z190" i="8"/>
  <c r="U190" i="8"/>
  <c r="W190" i="8"/>
  <c r="AB190" i="8"/>
  <c r="R191" i="9"/>
  <c r="Y190" i="9"/>
  <c r="Z190" i="9"/>
  <c r="X190" i="9"/>
  <c r="AA190" i="9"/>
  <c r="P70" i="10"/>
  <c r="N81" i="7"/>
  <c r="Q81" i="7" s="1"/>
  <c r="M82" i="7" s="1"/>
  <c r="P82" i="7" s="1"/>
  <c r="B81" i="7"/>
  <c r="D81" i="7" s="1"/>
  <c r="F81" i="7"/>
  <c r="R192" i="8" l="1"/>
  <c r="AA191" i="8"/>
  <c r="V191" i="8"/>
  <c r="W191" i="8"/>
  <c r="Y191" i="8"/>
  <c r="U191" i="8"/>
  <c r="Z191" i="8"/>
  <c r="T191" i="8"/>
  <c r="X191" i="8"/>
  <c r="AB191" i="8"/>
  <c r="R192" i="9"/>
  <c r="Z191" i="9"/>
  <c r="Y191" i="9"/>
  <c r="X191" i="9"/>
  <c r="AA191" i="9"/>
  <c r="Q70" i="10"/>
  <c r="L82" i="7"/>
  <c r="N82" i="7" s="1"/>
  <c r="Q82" i="7" s="1"/>
  <c r="M83" i="7" s="1"/>
  <c r="E81" i="7"/>
  <c r="G81" i="7"/>
  <c r="C82" i="7" s="1"/>
  <c r="F82" i="7" s="1"/>
  <c r="R193" i="8" l="1"/>
  <c r="AA192" i="8"/>
  <c r="Z192" i="8"/>
  <c r="Y192" i="8"/>
  <c r="W192" i="8"/>
  <c r="V192" i="8"/>
  <c r="X192" i="8"/>
  <c r="U192" i="8"/>
  <c r="T192" i="8"/>
  <c r="AB192" i="8"/>
  <c r="R193" i="9"/>
  <c r="Y192" i="9"/>
  <c r="X192" i="9"/>
  <c r="Z192" i="9"/>
  <c r="AA192" i="9"/>
  <c r="S71" i="10"/>
  <c r="T71" i="10" s="1"/>
  <c r="U70" i="10"/>
  <c r="O82" i="7"/>
  <c r="L83" i="7" s="1"/>
  <c r="O83" i="7" s="1"/>
  <c r="P83" i="7"/>
  <c r="B82" i="7"/>
  <c r="E82" i="7" s="1"/>
  <c r="R194" i="8" l="1"/>
  <c r="AA193" i="8"/>
  <c r="Z193" i="8"/>
  <c r="T193" i="8"/>
  <c r="W193" i="8"/>
  <c r="V193" i="8"/>
  <c r="U193" i="8"/>
  <c r="Y193" i="8"/>
  <c r="X193" i="8"/>
  <c r="AB193" i="8"/>
  <c r="R194" i="9"/>
  <c r="Z193" i="9"/>
  <c r="Y193" i="9"/>
  <c r="X193" i="9"/>
  <c r="AA193" i="9"/>
  <c r="P71" i="10"/>
  <c r="D82" i="7"/>
  <c r="G82" i="7" s="1"/>
  <c r="B83" i="7" s="1"/>
  <c r="N83" i="7"/>
  <c r="Q83" i="7" s="1"/>
  <c r="L84" i="7" s="1"/>
  <c r="R195" i="8" l="1"/>
  <c r="Z194" i="8"/>
  <c r="W194" i="8"/>
  <c r="Y194" i="8"/>
  <c r="T194" i="8"/>
  <c r="X194" i="8"/>
  <c r="U194" i="8"/>
  <c r="AA194" i="8"/>
  <c r="V194" i="8"/>
  <c r="AB194" i="8"/>
  <c r="R195" i="9"/>
  <c r="Z194" i="9"/>
  <c r="Y194" i="9"/>
  <c r="X194" i="9"/>
  <c r="AA194" i="9"/>
  <c r="Q71" i="10"/>
  <c r="M84" i="7"/>
  <c r="E83" i="7"/>
  <c r="C83" i="7"/>
  <c r="F83" i="7" s="1"/>
  <c r="R196" i="8" l="1"/>
  <c r="Z195" i="8"/>
  <c r="Y195" i="8"/>
  <c r="X195" i="8"/>
  <c r="W195" i="8"/>
  <c r="AA195" i="8"/>
  <c r="U195" i="8"/>
  <c r="V195" i="8"/>
  <c r="T195" i="8"/>
  <c r="AB195" i="8"/>
  <c r="R196" i="9"/>
  <c r="Z195" i="9"/>
  <c r="Y195" i="9"/>
  <c r="X195" i="9"/>
  <c r="AA195" i="9"/>
  <c r="S72" i="10"/>
  <c r="T72" i="10" s="1"/>
  <c r="U71" i="10"/>
  <c r="O84" i="7"/>
  <c r="P84" i="7"/>
  <c r="D83" i="7"/>
  <c r="G83" i="7" s="1"/>
  <c r="B84" i="7" s="1"/>
  <c r="R197" i="8" l="1"/>
  <c r="AA196" i="8"/>
  <c r="Z196" i="8"/>
  <c r="Y196" i="8"/>
  <c r="U196" i="8"/>
  <c r="X196" i="8"/>
  <c r="V196" i="8"/>
  <c r="W196" i="8"/>
  <c r="T196" i="8"/>
  <c r="AB196" i="8"/>
  <c r="R197" i="9"/>
  <c r="Z196" i="9"/>
  <c r="X196" i="9"/>
  <c r="Y196" i="9"/>
  <c r="AA196" i="9"/>
  <c r="P72" i="10"/>
  <c r="N84" i="7"/>
  <c r="Q84" i="7" s="1"/>
  <c r="L85" i="7" s="1"/>
  <c r="C84" i="7"/>
  <c r="F84" i="7" s="1"/>
  <c r="E84" i="7"/>
  <c r="R198" i="8" l="1"/>
  <c r="X197" i="8"/>
  <c r="Y197" i="8"/>
  <c r="AA197" i="8"/>
  <c r="Z197" i="8"/>
  <c r="U197" i="8"/>
  <c r="V197" i="8"/>
  <c r="T197" i="8"/>
  <c r="W197" i="8"/>
  <c r="AB197" i="8"/>
  <c r="Z197" i="9"/>
  <c r="X197" i="9"/>
  <c r="R198" i="9"/>
  <c r="Y197" i="9"/>
  <c r="AA197" i="9"/>
  <c r="Q72" i="10"/>
  <c r="M85" i="7"/>
  <c r="P85" i="7" s="1"/>
  <c r="D84" i="7"/>
  <c r="G84" i="7" s="1"/>
  <c r="R199" i="8" l="1"/>
  <c r="AA198" i="8"/>
  <c r="Z198" i="8"/>
  <c r="X198" i="8"/>
  <c r="Y198" i="8"/>
  <c r="T198" i="8"/>
  <c r="U198" i="8"/>
  <c r="W198" i="8"/>
  <c r="V198" i="8"/>
  <c r="AB198" i="8"/>
  <c r="Y198" i="9"/>
  <c r="Z198" i="9"/>
  <c r="X198" i="9"/>
  <c r="R199" i="9"/>
  <c r="AA198" i="9"/>
  <c r="S73" i="10"/>
  <c r="T73" i="10" s="1"/>
  <c r="U72" i="10"/>
  <c r="O85" i="7"/>
  <c r="N85" i="7"/>
  <c r="Q85" i="7" s="1"/>
  <c r="M86" i="7" s="1"/>
  <c r="B85" i="7"/>
  <c r="E85" i="7" s="1"/>
  <c r="C85" i="7"/>
  <c r="F85" i="7" s="1"/>
  <c r="R200" i="8" l="1"/>
  <c r="V199" i="8"/>
  <c r="AA199" i="8"/>
  <c r="X199" i="8"/>
  <c r="Z199" i="8"/>
  <c r="T199" i="8"/>
  <c r="Y199" i="8"/>
  <c r="U199" i="8"/>
  <c r="W199" i="8"/>
  <c r="AB199" i="8"/>
  <c r="R200" i="9"/>
  <c r="Z199" i="9"/>
  <c r="Y199" i="9"/>
  <c r="X199" i="9"/>
  <c r="AA199" i="9"/>
  <c r="P73" i="10"/>
  <c r="D85" i="7"/>
  <c r="G85" i="7" s="1"/>
  <c r="B86" i="7" s="1"/>
  <c r="L86" i="7"/>
  <c r="P86" i="7"/>
  <c r="R201" i="8" l="1"/>
  <c r="AA200" i="8"/>
  <c r="Z200" i="8"/>
  <c r="Y200" i="8"/>
  <c r="V200" i="8"/>
  <c r="X200" i="8"/>
  <c r="W200" i="8"/>
  <c r="T200" i="8"/>
  <c r="U200" i="8"/>
  <c r="AB200" i="8"/>
  <c r="R201" i="9"/>
  <c r="Y200" i="9"/>
  <c r="X200" i="9"/>
  <c r="Z200" i="9"/>
  <c r="AA200" i="9"/>
  <c r="Q73" i="10"/>
  <c r="N86" i="7"/>
  <c r="Q86" i="7" s="1"/>
  <c r="M87" i="7" s="1"/>
  <c r="O86" i="7"/>
  <c r="E86" i="7"/>
  <c r="C86" i="7"/>
  <c r="F86" i="7" s="1"/>
  <c r="R202" i="8" l="1"/>
  <c r="AA201" i="8"/>
  <c r="W201" i="8"/>
  <c r="T201" i="8"/>
  <c r="V201" i="8"/>
  <c r="X201" i="8"/>
  <c r="U201" i="8"/>
  <c r="Y201" i="8"/>
  <c r="Z201" i="8"/>
  <c r="AB201" i="8"/>
  <c r="R202" i="9"/>
  <c r="Z201" i="9"/>
  <c r="X201" i="9"/>
  <c r="Y201" i="9"/>
  <c r="AA201" i="9"/>
  <c r="S74" i="10"/>
  <c r="T74" i="10" s="1"/>
  <c r="U73" i="10"/>
  <c r="L87" i="7"/>
  <c r="O87" i="7" s="1"/>
  <c r="P87" i="7"/>
  <c r="D86" i="7"/>
  <c r="G86" i="7" s="1"/>
  <c r="B87" i="7" s="1"/>
  <c r="R203" i="8" l="1"/>
  <c r="AA202" i="8"/>
  <c r="W202" i="8"/>
  <c r="T202" i="8"/>
  <c r="Z202" i="8"/>
  <c r="V202" i="8"/>
  <c r="X202" i="8"/>
  <c r="U202" i="8"/>
  <c r="Y202" i="8"/>
  <c r="AB202" i="8"/>
  <c r="R203" i="9"/>
  <c r="Y202" i="9"/>
  <c r="Z202" i="9"/>
  <c r="X202" i="9"/>
  <c r="AA202" i="9"/>
  <c r="P74" i="10"/>
  <c r="N87" i="7"/>
  <c r="Q87" i="7" s="1"/>
  <c r="M88" i="7" s="1"/>
  <c r="E87" i="7"/>
  <c r="C87" i="7"/>
  <c r="F87" i="7" s="1"/>
  <c r="R204" i="8" l="1"/>
  <c r="AA203" i="8"/>
  <c r="Y203" i="8"/>
  <c r="W203" i="8"/>
  <c r="Z203" i="8"/>
  <c r="V203" i="8"/>
  <c r="T203" i="8"/>
  <c r="X203" i="8"/>
  <c r="U203" i="8"/>
  <c r="AB203" i="8"/>
  <c r="R204" i="9"/>
  <c r="Z203" i="9"/>
  <c r="Y203" i="9"/>
  <c r="X203" i="9"/>
  <c r="AA203" i="9"/>
  <c r="Q74" i="10"/>
  <c r="P88" i="7"/>
  <c r="L88" i="7"/>
  <c r="D87" i="7"/>
  <c r="R205" i="8" l="1"/>
  <c r="Z204" i="8"/>
  <c r="AA204" i="8"/>
  <c r="Y204" i="8"/>
  <c r="U204" i="8"/>
  <c r="W204" i="8"/>
  <c r="V204" i="8"/>
  <c r="T204" i="8"/>
  <c r="X204" i="8"/>
  <c r="AB204" i="8"/>
  <c r="R205" i="9"/>
  <c r="Z204" i="9"/>
  <c r="X204" i="9"/>
  <c r="Y204" i="9"/>
  <c r="AA204" i="9"/>
  <c r="S75" i="10"/>
  <c r="T75" i="10" s="1"/>
  <c r="U74" i="10"/>
  <c r="N88" i="7"/>
  <c r="Q88" i="7" s="1"/>
  <c r="M89" i="7" s="1"/>
  <c r="O88" i="7"/>
  <c r="G87" i="7"/>
  <c r="C88" i="7" s="1"/>
  <c r="F88" i="7" s="1"/>
  <c r="R206" i="8" l="1"/>
  <c r="X205" i="8"/>
  <c r="Z205" i="8"/>
  <c r="U205" i="8"/>
  <c r="AA205" i="8"/>
  <c r="W205" i="8"/>
  <c r="T205" i="8"/>
  <c r="Y205" i="8"/>
  <c r="V205" i="8"/>
  <c r="AB205" i="8"/>
  <c r="R206" i="9"/>
  <c r="Z205" i="9"/>
  <c r="X205" i="9"/>
  <c r="Y205" i="9"/>
  <c r="AA205" i="9"/>
  <c r="L89" i="7"/>
  <c r="O89" i="7" s="1"/>
  <c r="B88" i="7"/>
  <c r="E88" i="7" s="1"/>
  <c r="P89" i="7"/>
  <c r="R207" i="8" l="1"/>
  <c r="AA206" i="8"/>
  <c r="Z206" i="8"/>
  <c r="Y206" i="8"/>
  <c r="U206" i="8"/>
  <c r="W206" i="8"/>
  <c r="V206" i="8"/>
  <c r="T206" i="8"/>
  <c r="X206" i="8"/>
  <c r="AB206" i="8"/>
  <c r="R207" i="9"/>
  <c r="Y206" i="9"/>
  <c r="Z206" i="9"/>
  <c r="X206" i="9"/>
  <c r="AA206" i="9"/>
  <c r="P75" i="10"/>
  <c r="Q75" i="10" s="1"/>
  <c r="D88" i="7"/>
  <c r="G88" i="7" s="1"/>
  <c r="C89" i="7" s="1"/>
  <c r="F89" i="7" s="1"/>
  <c r="N89" i="7"/>
  <c r="Q89" i="7" s="1"/>
  <c r="R208" i="8" l="1"/>
  <c r="Z207" i="8"/>
  <c r="AA207" i="8"/>
  <c r="V207" i="8"/>
  <c r="X207" i="8"/>
  <c r="Y207" i="8"/>
  <c r="W207" i="8"/>
  <c r="U207" i="8"/>
  <c r="T207" i="8"/>
  <c r="AB207" i="8"/>
  <c r="R208" i="9"/>
  <c r="Z207" i="9"/>
  <c r="Y207" i="9"/>
  <c r="X207" i="9"/>
  <c r="AA207" i="9"/>
  <c r="S76" i="10"/>
  <c r="T76" i="10" s="1"/>
  <c r="U75" i="10"/>
  <c r="B89" i="7"/>
  <c r="E89" i="7" s="1"/>
  <c r="M90" i="7"/>
  <c r="P90" i="7" s="1"/>
  <c r="L90" i="7"/>
  <c r="R209" i="8" l="1"/>
  <c r="AA208" i="8"/>
  <c r="Z208" i="8"/>
  <c r="Y208" i="8"/>
  <c r="X208" i="8"/>
  <c r="T208" i="8"/>
  <c r="U208" i="8"/>
  <c r="V208" i="8"/>
  <c r="W208" i="8"/>
  <c r="AB208" i="8"/>
  <c r="R209" i="9"/>
  <c r="Y208" i="9"/>
  <c r="X208" i="9"/>
  <c r="Z208" i="9"/>
  <c r="AA208" i="9"/>
  <c r="P76" i="10"/>
  <c r="D89" i="7"/>
  <c r="G89" i="7" s="1"/>
  <c r="C90" i="7" s="1"/>
  <c r="F90" i="7" s="1"/>
  <c r="N90" i="7"/>
  <c r="Q90" i="7" s="1"/>
  <c r="M91" i="7" s="1"/>
  <c r="O90" i="7"/>
  <c r="R210" i="8" l="1"/>
  <c r="X209" i="8"/>
  <c r="V209" i="8"/>
  <c r="T209" i="8"/>
  <c r="Y209" i="8"/>
  <c r="Z209" i="8"/>
  <c r="W209" i="8"/>
  <c r="U209" i="8"/>
  <c r="AA209" i="8"/>
  <c r="AB209" i="8"/>
  <c r="R210" i="9"/>
  <c r="Z209" i="9"/>
  <c r="Y209" i="9"/>
  <c r="X209" i="9"/>
  <c r="AA209" i="9"/>
  <c r="Q76" i="10"/>
  <c r="L91" i="7"/>
  <c r="O91" i="7" s="1"/>
  <c r="P91" i="7"/>
  <c r="B90" i="7"/>
  <c r="D90" i="7" s="1"/>
  <c r="R211" i="8" l="1"/>
  <c r="W210" i="8"/>
  <c r="Y210" i="8"/>
  <c r="X210" i="8"/>
  <c r="V210" i="8"/>
  <c r="T210" i="8"/>
  <c r="U210" i="8"/>
  <c r="AA210" i="8"/>
  <c r="Z210" i="8"/>
  <c r="AB210" i="8"/>
  <c r="R211" i="9"/>
  <c r="Z210" i="9"/>
  <c r="Y210" i="9"/>
  <c r="X210" i="9"/>
  <c r="AA210" i="9"/>
  <c r="S77" i="10"/>
  <c r="T77" i="10" s="1"/>
  <c r="U76" i="10"/>
  <c r="E90" i="7"/>
  <c r="N91" i="7"/>
  <c r="Q91" i="7" s="1"/>
  <c r="L92" i="7" s="1"/>
  <c r="G90" i="7"/>
  <c r="R212" i="8" l="1"/>
  <c r="AA211" i="8"/>
  <c r="W211" i="8"/>
  <c r="Z211" i="8"/>
  <c r="X211" i="8"/>
  <c r="Y211" i="8"/>
  <c r="T211" i="8"/>
  <c r="V211" i="8"/>
  <c r="U211" i="8"/>
  <c r="AB211" i="8"/>
  <c r="R212" i="9"/>
  <c r="Z211" i="9"/>
  <c r="Y211" i="9"/>
  <c r="X211" i="9"/>
  <c r="AA211" i="9"/>
  <c r="P77" i="10"/>
  <c r="B91" i="7"/>
  <c r="E91" i="7" s="1"/>
  <c r="M92" i="7"/>
  <c r="C91" i="7"/>
  <c r="F91" i="7" s="1"/>
  <c r="R213" i="8" l="1"/>
  <c r="Y212" i="8"/>
  <c r="U212" i="8"/>
  <c r="Z212" i="8"/>
  <c r="T212" i="8"/>
  <c r="W212" i="8"/>
  <c r="AA212" i="8"/>
  <c r="V212" i="8"/>
  <c r="X212" i="8"/>
  <c r="AB212" i="8"/>
  <c r="R213" i="9"/>
  <c r="Z212" i="9"/>
  <c r="X212" i="9"/>
  <c r="Y212" i="9"/>
  <c r="AA212" i="9"/>
  <c r="Q77" i="10"/>
  <c r="O92" i="7"/>
  <c r="P92" i="7"/>
  <c r="D91" i="7"/>
  <c r="R214" i="8" l="1"/>
  <c r="AA213" i="8"/>
  <c r="X213" i="8"/>
  <c r="Y213" i="8"/>
  <c r="W213" i="8"/>
  <c r="Z213" i="8"/>
  <c r="U213" i="8"/>
  <c r="V213" i="8"/>
  <c r="T213" i="8"/>
  <c r="AB213" i="8"/>
  <c r="R214" i="9"/>
  <c r="Z213" i="9"/>
  <c r="X213" i="9"/>
  <c r="Y213" i="9"/>
  <c r="AA213" i="9"/>
  <c r="S78" i="10"/>
  <c r="T78" i="10" s="1"/>
  <c r="U77" i="10"/>
  <c r="N92" i="7"/>
  <c r="Q92" i="7" s="1"/>
  <c r="L93" i="7" s="1"/>
  <c r="G91" i="7"/>
  <c r="B92" i="7" s="1"/>
  <c r="R215" i="8" l="1"/>
  <c r="AA214" i="8"/>
  <c r="Z214" i="8"/>
  <c r="W214" i="8"/>
  <c r="Y214" i="8"/>
  <c r="V214" i="8"/>
  <c r="X214" i="8"/>
  <c r="U214" i="8"/>
  <c r="T214" i="8"/>
  <c r="AB214" i="8"/>
  <c r="R215" i="9"/>
  <c r="Y214" i="9"/>
  <c r="Z214" i="9"/>
  <c r="X214" i="9"/>
  <c r="AA214" i="9"/>
  <c r="P78" i="10"/>
  <c r="M93" i="7"/>
  <c r="E92" i="7"/>
  <c r="C92" i="7"/>
  <c r="R216" i="8" l="1"/>
  <c r="V215" i="8"/>
  <c r="W215" i="8"/>
  <c r="X215" i="8"/>
  <c r="T215" i="8"/>
  <c r="Y215" i="8"/>
  <c r="AA215" i="8"/>
  <c r="Z215" i="8"/>
  <c r="U215" i="8"/>
  <c r="AB215" i="8"/>
  <c r="R216" i="9"/>
  <c r="Z215" i="9"/>
  <c r="Y215" i="9"/>
  <c r="X215" i="9"/>
  <c r="AA215" i="9"/>
  <c r="Q78" i="10"/>
  <c r="P93" i="7"/>
  <c r="N93" i="7"/>
  <c r="Q93" i="7" s="1"/>
  <c r="O93" i="7"/>
  <c r="F92" i="7"/>
  <c r="D92" i="7"/>
  <c r="R217" i="8" l="1"/>
  <c r="Z216" i="8"/>
  <c r="Y216" i="8"/>
  <c r="X216" i="8"/>
  <c r="U216" i="8"/>
  <c r="V216" i="8"/>
  <c r="AA216" i="8"/>
  <c r="T216" i="8"/>
  <c r="W216" i="8"/>
  <c r="AB216" i="8"/>
  <c r="R217" i="9"/>
  <c r="Y216" i="9"/>
  <c r="X216" i="9"/>
  <c r="Z216" i="9"/>
  <c r="AA216" i="9"/>
  <c r="S79" i="10"/>
  <c r="T79" i="10" s="1"/>
  <c r="U78" i="10"/>
  <c r="L94" i="7"/>
  <c r="O94" i="7" s="1"/>
  <c r="M94" i="7"/>
  <c r="G92" i="7"/>
  <c r="B93" i="7" s="1"/>
  <c r="R218" i="8" l="1"/>
  <c r="Z217" i="8"/>
  <c r="AA217" i="8"/>
  <c r="X217" i="8"/>
  <c r="T217" i="8"/>
  <c r="U217" i="8"/>
  <c r="Y217" i="8"/>
  <c r="W217" i="8"/>
  <c r="V217" i="8"/>
  <c r="AB217" i="8"/>
  <c r="R218" i="9"/>
  <c r="Z217" i="9"/>
  <c r="Y217" i="9"/>
  <c r="X217" i="9"/>
  <c r="AA217" i="9"/>
  <c r="P79" i="10"/>
  <c r="E93" i="7"/>
  <c r="C93" i="7"/>
  <c r="R219" i="8" l="1"/>
  <c r="W218" i="8"/>
  <c r="Z218" i="8"/>
  <c r="AA218" i="8"/>
  <c r="V218" i="8"/>
  <c r="T218" i="8"/>
  <c r="X218" i="8"/>
  <c r="U218" i="8"/>
  <c r="Y218" i="8"/>
  <c r="AB218" i="8"/>
  <c r="R219" i="9"/>
  <c r="Y218" i="9"/>
  <c r="Z218" i="9"/>
  <c r="X218" i="9"/>
  <c r="AA218" i="9"/>
  <c r="Q79" i="10"/>
  <c r="F93" i="7"/>
  <c r="D93" i="7"/>
  <c r="R220" i="8" l="1"/>
  <c r="AA219" i="8"/>
  <c r="Z219" i="8"/>
  <c r="Y219" i="8"/>
  <c r="V219" i="8"/>
  <c r="W219" i="8"/>
  <c r="X219" i="8"/>
  <c r="U219" i="8"/>
  <c r="T219" i="8"/>
  <c r="AB219" i="8"/>
  <c r="R220" i="9"/>
  <c r="Z219" i="9"/>
  <c r="Y219" i="9"/>
  <c r="X219" i="9"/>
  <c r="AA219" i="9"/>
  <c r="S80" i="10"/>
  <c r="T80" i="10" s="1"/>
  <c r="U79" i="10"/>
  <c r="P94" i="7"/>
  <c r="N94" i="7"/>
  <c r="Q94" i="7" s="1"/>
  <c r="L95" i="7" s="1"/>
  <c r="G93" i="7"/>
  <c r="B94" i="7" s="1"/>
  <c r="R221" i="8" l="1"/>
  <c r="AA220" i="8"/>
  <c r="W220" i="8"/>
  <c r="X220" i="8"/>
  <c r="U220" i="8"/>
  <c r="Y220" i="8"/>
  <c r="T220" i="8"/>
  <c r="Z220" i="8"/>
  <c r="V220" i="8"/>
  <c r="AB220" i="8"/>
  <c r="R221" i="9"/>
  <c r="Z220" i="9"/>
  <c r="X220" i="9"/>
  <c r="Y220" i="9"/>
  <c r="AA220" i="9"/>
  <c r="P80" i="10"/>
  <c r="M95" i="7"/>
  <c r="E94" i="7"/>
  <c r="C94" i="7"/>
  <c r="D94" i="7" s="1"/>
  <c r="R222" i="8" l="1"/>
  <c r="X221" i="8"/>
  <c r="Y221" i="8"/>
  <c r="AA221" i="8"/>
  <c r="U221" i="8"/>
  <c r="T221" i="8"/>
  <c r="W221" i="8"/>
  <c r="Z221" i="8"/>
  <c r="V221" i="8"/>
  <c r="AB221" i="8"/>
  <c r="R222" i="9"/>
  <c r="Z221" i="9"/>
  <c r="X221" i="9"/>
  <c r="Y221" i="9"/>
  <c r="AA221" i="9"/>
  <c r="Q80" i="10"/>
  <c r="O95" i="7"/>
  <c r="P95" i="7"/>
  <c r="G94" i="7"/>
  <c r="B95" i="7" s="1"/>
  <c r="F94" i="7"/>
  <c r="R223" i="8" l="1"/>
  <c r="AA222" i="8"/>
  <c r="Y222" i="8"/>
  <c r="X222" i="8"/>
  <c r="W222" i="8"/>
  <c r="T222" i="8"/>
  <c r="V222" i="8"/>
  <c r="U222" i="8"/>
  <c r="Z222" i="8"/>
  <c r="AB222" i="8"/>
  <c r="R223" i="9"/>
  <c r="Y222" i="9"/>
  <c r="Z222" i="9"/>
  <c r="X222" i="9"/>
  <c r="AA222" i="9"/>
  <c r="S81" i="10"/>
  <c r="T81" i="10" s="1"/>
  <c r="U80" i="10"/>
  <c r="N95" i="7"/>
  <c r="Q95" i="7" s="1"/>
  <c r="L96" i="7" s="1"/>
  <c r="C95" i="7"/>
  <c r="F95" i="7" s="1"/>
  <c r="E95" i="7"/>
  <c r="R224" i="8" l="1"/>
  <c r="AA223" i="8"/>
  <c r="V223" i="8"/>
  <c r="W223" i="8"/>
  <c r="Y223" i="8"/>
  <c r="X223" i="8"/>
  <c r="Z223" i="8"/>
  <c r="U223" i="8"/>
  <c r="T223" i="8"/>
  <c r="AB223" i="8"/>
  <c r="R224" i="9"/>
  <c r="Z223" i="9"/>
  <c r="Y223" i="9"/>
  <c r="X223" i="9"/>
  <c r="AA223" i="9"/>
  <c r="D95" i="7"/>
  <c r="G95" i="7" s="1"/>
  <c r="C96" i="7" s="1"/>
  <c r="F96" i="7" s="1"/>
  <c r="M96" i="7"/>
  <c r="P96" i="7" s="1"/>
  <c r="R225" i="8" l="1"/>
  <c r="Z224" i="8"/>
  <c r="Y224" i="8"/>
  <c r="AA224" i="8"/>
  <c r="W224" i="8"/>
  <c r="V224" i="8"/>
  <c r="U224" i="8"/>
  <c r="T224" i="8"/>
  <c r="X224" i="8"/>
  <c r="AB224" i="8"/>
  <c r="R225" i="9"/>
  <c r="Y224" i="9"/>
  <c r="X224" i="9"/>
  <c r="Z224" i="9"/>
  <c r="AA224" i="9"/>
  <c r="P81" i="10"/>
  <c r="Q81" i="10" s="1"/>
  <c r="N96" i="7"/>
  <c r="Q96" i="7" s="1"/>
  <c r="O96" i="7"/>
  <c r="B96" i="7"/>
  <c r="D96" i="7" s="1"/>
  <c r="R226" i="8" l="1"/>
  <c r="Z225" i="8"/>
  <c r="X225" i="8"/>
  <c r="T225" i="8"/>
  <c r="AA225" i="8"/>
  <c r="W225" i="8"/>
  <c r="V225" i="8"/>
  <c r="U225" i="8"/>
  <c r="Y225" i="8"/>
  <c r="AB225" i="8"/>
  <c r="R226" i="9"/>
  <c r="Z225" i="9"/>
  <c r="X225" i="9"/>
  <c r="Y225" i="9"/>
  <c r="AA225" i="9"/>
  <c r="S82" i="10"/>
  <c r="T82" i="10" s="1"/>
  <c r="U81" i="10"/>
  <c r="L97" i="7"/>
  <c r="O97" i="7" s="1"/>
  <c r="M97" i="7"/>
  <c r="P97" i="7" s="1"/>
  <c r="E96" i="7"/>
  <c r="G96" i="7"/>
  <c r="R227" i="8" l="1"/>
  <c r="Z226" i="8"/>
  <c r="W226" i="8"/>
  <c r="T226" i="8"/>
  <c r="AA226" i="8"/>
  <c r="U226" i="8"/>
  <c r="V226" i="8"/>
  <c r="X226" i="8"/>
  <c r="Y226" i="8"/>
  <c r="AB226" i="8"/>
  <c r="R227" i="9"/>
  <c r="Z226" i="9"/>
  <c r="Y226" i="9"/>
  <c r="X226" i="9"/>
  <c r="AA226" i="9"/>
  <c r="P82" i="10"/>
  <c r="N97" i="7"/>
  <c r="Q97" i="7" s="1"/>
  <c r="M98" i="7" s="1"/>
  <c r="B97" i="7"/>
  <c r="E97" i="7" s="1"/>
  <c r="C97" i="7"/>
  <c r="F97" i="7" s="1"/>
  <c r="R228" i="8" l="1"/>
  <c r="AA227" i="8"/>
  <c r="Z227" i="8"/>
  <c r="V227" i="8"/>
  <c r="Y227" i="8"/>
  <c r="U227" i="8"/>
  <c r="X227" i="8"/>
  <c r="W227" i="8"/>
  <c r="T227" i="8"/>
  <c r="AB227" i="8"/>
  <c r="R228" i="9"/>
  <c r="Z227" i="9"/>
  <c r="Y227" i="9"/>
  <c r="X227" i="9"/>
  <c r="AA227" i="9"/>
  <c r="Q82" i="10"/>
  <c r="L98" i="7"/>
  <c r="O98" i="7" s="1"/>
  <c r="D97" i="7"/>
  <c r="G97" i="7" s="1"/>
  <c r="C98" i="7" s="1"/>
  <c r="F98" i="7" s="1"/>
  <c r="R229" i="8" l="1"/>
  <c r="U228" i="8"/>
  <c r="Z228" i="8"/>
  <c r="V228" i="8"/>
  <c r="AA228" i="8"/>
  <c r="Y228" i="8"/>
  <c r="W228" i="8"/>
  <c r="X228" i="8"/>
  <c r="T228" i="8"/>
  <c r="AB228" i="8"/>
  <c r="R229" i="9"/>
  <c r="Z228" i="9"/>
  <c r="X228" i="9"/>
  <c r="Y228" i="9"/>
  <c r="AA228" i="9"/>
  <c r="S83" i="10"/>
  <c r="T83" i="10" s="1"/>
  <c r="U82" i="10"/>
  <c r="P98" i="7"/>
  <c r="N98" i="7"/>
  <c r="Q98" i="7" s="1"/>
  <c r="L99" i="7" s="1"/>
  <c r="B98" i="7"/>
  <c r="D98" i="7" s="1"/>
  <c r="R230" i="8" l="1"/>
  <c r="X229" i="8"/>
  <c r="Z229" i="8"/>
  <c r="W229" i="8"/>
  <c r="U229" i="8"/>
  <c r="AA229" i="8"/>
  <c r="Y229" i="8"/>
  <c r="V229" i="8"/>
  <c r="T229" i="8"/>
  <c r="AB229" i="8"/>
  <c r="R230" i="9"/>
  <c r="Z229" i="9"/>
  <c r="X229" i="9"/>
  <c r="Y229" i="9"/>
  <c r="AA229" i="9"/>
  <c r="P83" i="10"/>
  <c r="M99" i="7"/>
  <c r="P99" i="7" s="1"/>
  <c r="E98" i="7"/>
  <c r="G98" i="7"/>
  <c r="C99" i="7" s="1"/>
  <c r="F99" i="7" s="1"/>
  <c r="R231" i="8" l="1"/>
  <c r="AA230" i="8"/>
  <c r="Y230" i="8"/>
  <c r="Z230" i="8"/>
  <c r="T230" i="8"/>
  <c r="U230" i="8"/>
  <c r="V230" i="8"/>
  <c r="X230" i="8"/>
  <c r="W230" i="8"/>
  <c r="AB230" i="8"/>
  <c r="R231" i="9"/>
  <c r="Y230" i="9"/>
  <c r="Z230" i="9"/>
  <c r="X230" i="9"/>
  <c r="AA230" i="9"/>
  <c r="Q83" i="10"/>
  <c r="N99" i="7"/>
  <c r="Q99" i="7" s="1"/>
  <c r="O99" i="7"/>
  <c r="B99" i="7"/>
  <c r="D99" i="7" s="1"/>
  <c r="R232" i="8" l="1"/>
  <c r="AA231" i="8"/>
  <c r="V231" i="8"/>
  <c r="Y231" i="8"/>
  <c r="X231" i="8"/>
  <c r="Z231" i="8"/>
  <c r="T231" i="8"/>
  <c r="W231" i="8"/>
  <c r="U231" i="8"/>
  <c r="AB231" i="8"/>
  <c r="R232" i="9"/>
  <c r="Z231" i="9"/>
  <c r="Y231" i="9"/>
  <c r="X231" i="9"/>
  <c r="AA231" i="9"/>
  <c r="S84" i="10"/>
  <c r="T84" i="10" s="1"/>
  <c r="U83" i="10"/>
  <c r="L100" i="7"/>
  <c r="O100" i="7" s="1"/>
  <c r="E99" i="7"/>
  <c r="M100" i="7"/>
  <c r="G99" i="7"/>
  <c r="R233" i="8" l="1"/>
  <c r="Z232" i="8"/>
  <c r="AA232" i="8"/>
  <c r="Y232" i="8"/>
  <c r="X232" i="8"/>
  <c r="T232" i="8"/>
  <c r="V232" i="8"/>
  <c r="U232" i="8"/>
  <c r="W232" i="8"/>
  <c r="AB232" i="8"/>
  <c r="R233" i="9"/>
  <c r="Y232" i="9"/>
  <c r="X232" i="9"/>
  <c r="Z232" i="9"/>
  <c r="AA232" i="9"/>
  <c r="P84" i="10"/>
  <c r="N100" i="7"/>
  <c r="Q100" i="7" s="1"/>
  <c r="L101" i="7" s="1"/>
  <c r="O101" i="7" s="1"/>
  <c r="B100" i="7"/>
  <c r="E100" i="7" s="1"/>
  <c r="P100" i="7"/>
  <c r="C100" i="7"/>
  <c r="F100" i="7" s="1"/>
  <c r="R234" i="8" l="1"/>
  <c r="AA233" i="8"/>
  <c r="Y233" i="8"/>
  <c r="W233" i="8"/>
  <c r="T233" i="8"/>
  <c r="X233" i="8"/>
  <c r="Z233" i="8"/>
  <c r="V233" i="8"/>
  <c r="U233" i="8"/>
  <c r="AB233" i="8"/>
  <c r="R234" i="9"/>
  <c r="Z233" i="9"/>
  <c r="Y233" i="9"/>
  <c r="X233" i="9"/>
  <c r="AA233" i="9"/>
  <c r="Q84" i="10"/>
  <c r="M101" i="7"/>
  <c r="D100" i="7"/>
  <c r="G100" i="7" s="1"/>
  <c r="B101" i="7" s="1"/>
  <c r="R235" i="8" l="1"/>
  <c r="W234" i="8"/>
  <c r="X234" i="8"/>
  <c r="AA234" i="8"/>
  <c r="Y234" i="8"/>
  <c r="T234" i="8"/>
  <c r="Z234" i="8"/>
  <c r="U234" i="8"/>
  <c r="V234" i="8"/>
  <c r="AB234" i="8"/>
  <c r="R235" i="9"/>
  <c r="Y234" i="9"/>
  <c r="Z234" i="9"/>
  <c r="X234" i="9"/>
  <c r="AA234" i="9"/>
  <c r="S85" i="10"/>
  <c r="T85" i="10" s="1"/>
  <c r="U84" i="10"/>
  <c r="P101" i="7"/>
  <c r="N101" i="7"/>
  <c r="Q101" i="7" s="1"/>
  <c r="L102" i="7" s="1"/>
  <c r="E101" i="7"/>
  <c r="C101" i="7"/>
  <c r="F101" i="7" s="1"/>
  <c r="R236" i="8" l="1"/>
  <c r="AA235" i="8"/>
  <c r="Z235" i="8"/>
  <c r="Y235" i="8"/>
  <c r="W235" i="8"/>
  <c r="X235" i="8"/>
  <c r="V235" i="8"/>
  <c r="T235" i="8"/>
  <c r="U235" i="8"/>
  <c r="AB235" i="8"/>
  <c r="R236" i="9"/>
  <c r="Z235" i="9"/>
  <c r="Y235" i="9"/>
  <c r="X235" i="9"/>
  <c r="AA235" i="9"/>
  <c r="P85" i="10"/>
  <c r="M102" i="7"/>
  <c r="P102" i="7" s="1"/>
  <c r="D101" i="7"/>
  <c r="R237" i="8" l="1"/>
  <c r="Z236" i="8"/>
  <c r="V236" i="8"/>
  <c r="U236" i="8"/>
  <c r="W236" i="8"/>
  <c r="X236" i="8"/>
  <c r="T236" i="8"/>
  <c r="Y236" i="8"/>
  <c r="AA236" i="8"/>
  <c r="AB236" i="8"/>
  <c r="Z236" i="9"/>
  <c r="R237" i="9"/>
  <c r="X236" i="9"/>
  <c r="Y236" i="9"/>
  <c r="AA236" i="9"/>
  <c r="Q85" i="10"/>
  <c r="O102" i="7"/>
  <c r="N102" i="7"/>
  <c r="Q102" i="7" s="1"/>
  <c r="M103" i="7" s="1"/>
  <c r="G101" i="7"/>
  <c r="B102" i="7" s="1"/>
  <c r="R238" i="8" l="1"/>
  <c r="X237" i="8"/>
  <c r="V237" i="8"/>
  <c r="U237" i="8"/>
  <c r="W237" i="8"/>
  <c r="Z237" i="8"/>
  <c r="AA237" i="8"/>
  <c r="T237" i="8"/>
  <c r="Y237" i="8"/>
  <c r="AB237" i="8"/>
  <c r="R238" i="9"/>
  <c r="Z237" i="9"/>
  <c r="X237" i="9"/>
  <c r="Y237" i="9"/>
  <c r="AA237" i="9"/>
  <c r="S86" i="10"/>
  <c r="T86" i="10" s="1"/>
  <c r="U85" i="10"/>
  <c r="L103" i="7"/>
  <c r="E102" i="7"/>
  <c r="C102" i="7"/>
  <c r="P103" i="7" s="1"/>
  <c r="R239" i="8" l="1"/>
  <c r="W238" i="8"/>
  <c r="AA238" i="8"/>
  <c r="V238" i="8"/>
  <c r="U238" i="8"/>
  <c r="X238" i="8"/>
  <c r="T238" i="8"/>
  <c r="Z238" i="8"/>
  <c r="Y238" i="8"/>
  <c r="AB238" i="8"/>
  <c r="R239" i="9"/>
  <c r="Y238" i="9"/>
  <c r="Z238" i="9"/>
  <c r="X238" i="9"/>
  <c r="AA238" i="9"/>
  <c r="P86" i="10"/>
  <c r="N103" i="7"/>
  <c r="Q103" i="7" s="1"/>
  <c r="M104" i="7" s="1"/>
  <c r="O103" i="7"/>
  <c r="F102" i="7"/>
  <c r="D102" i="7"/>
  <c r="R240" i="8" l="1"/>
  <c r="V239" i="8"/>
  <c r="Y239" i="8"/>
  <c r="AA239" i="8"/>
  <c r="W239" i="8"/>
  <c r="U239" i="8"/>
  <c r="T239" i="8"/>
  <c r="Z239" i="8"/>
  <c r="X239" i="8"/>
  <c r="AB239" i="8"/>
  <c r="R240" i="9"/>
  <c r="Z239" i="9"/>
  <c r="Y239" i="9"/>
  <c r="X239" i="9"/>
  <c r="AA239" i="9"/>
  <c r="Q86" i="10"/>
  <c r="L104" i="7"/>
  <c r="O104" i="7" s="1"/>
  <c r="G102" i="7"/>
  <c r="B103" i="7" s="1"/>
  <c r="R241" i="8" l="1"/>
  <c r="Z240" i="8"/>
  <c r="AA240" i="8"/>
  <c r="Y240" i="8"/>
  <c r="T240" i="8"/>
  <c r="W240" i="8"/>
  <c r="U240" i="8"/>
  <c r="V240" i="8"/>
  <c r="X240" i="8"/>
  <c r="AB240" i="8"/>
  <c r="R241" i="9"/>
  <c r="Y240" i="9"/>
  <c r="X240" i="9"/>
  <c r="Z240" i="9"/>
  <c r="AA240" i="9"/>
  <c r="S87" i="10"/>
  <c r="T87" i="10" s="1"/>
  <c r="U86" i="10"/>
  <c r="E103" i="7"/>
  <c r="C103" i="7"/>
  <c r="R242" i="8" l="1"/>
  <c r="AA241" i="8"/>
  <c r="Z241" i="8"/>
  <c r="Y241" i="8"/>
  <c r="X241" i="8"/>
  <c r="T241" i="8"/>
  <c r="V241" i="8"/>
  <c r="W241" i="8"/>
  <c r="U241" i="8"/>
  <c r="AB241" i="8"/>
  <c r="R242" i="9"/>
  <c r="Z241" i="9"/>
  <c r="X241" i="9"/>
  <c r="Y241" i="9"/>
  <c r="AA241" i="9"/>
  <c r="P87" i="10"/>
  <c r="P104" i="7"/>
  <c r="N104" i="7"/>
  <c r="Q104" i="7" s="1"/>
  <c r="L105" i="7" s="1"/>
  <c r="F103" i="7"/>
  <c r="D103" i="7"/>
  <c r="R243" i="8" l="1"/>
  <c r="W242" i="8"/>
  <c r="Z242" i="8"/>
  <c r="X242" i="8"/>
  <c r="AA242" i="8"/>
  <c r="T242" i="8"/>
  <c r="U242" i="8"/>
  <c r="V242" i="8"/>
  <c r="Y242" i="8"/>
  <c r="AB242" i="8"/>
  <c r="R243" i="9"/>
  <c r="Z242" i="9"/>
  <c r="Y242" i="9"/>
  <c r="X242" i="9"/>
  <c r="AA242" i="9"/>
  <c r="Q87" i="10"/>
  <c r="M105" i="7"/>
  <c r="G103" i="7"/>
  <c r="B104" i="7" s="1"/>
  <c r="R244" i="8" l="1"/>
  <c r="AA243" i="8"/>
  <c r="X243" i="8"/>
  <c r="Z243" i="8"/>
  <c r="T243" i="8"/>
  <c r="Y243" i="8"/>
  <c r="U243" i="8"/>
  <c r="V243" i="8"/>
  <c r="W243" i="8"/>
  <c r="AB243" i="8"/>
  <c r="R244" i="9"/>
  <c r="Z243" i="9"/>
  <c r="Y243" i="9"/>
  <c r="X243" i="9"/>
  <c r="AA243" i="9"/>
  <c r="S88" i="10"/>
  <c r="T88" i="10" s="1"/>
  <c r="U87" i="10"/>
  <c r="O105" i="7"/>
  <c r="C104" i="7"/>
  <c r="E104" i="7"/>
  <c r="R245" i="8" l="1"/>
  <c r="Z244" i="8"/>
  <c r="Y244" i="8"/>
  <c r="W244" i="8"/>
  <c r="U244" i="8"/>
  <c r="X244" i="8"/>
  <c r="T244" i="8"/>
  <c r="AA244" i="8"/>
  <c r="V244" i="8"/>
  <c r="AB244" i="8"/>
  <c r="R245" i="9"/>
  <c r="Z244" i="9"/>
  <c r="X244" i="9"/>
  <c r="Y244" i="9"/>
  <c r="AA244" i="9"/>
  <c r="P88" i="10"/>
  <c r="F104" i="7"/>
  <c r="D104" i="7"/>
  <c r="G104" i="7" s="1"/>
  <c r="R246" i="8" l="1"/>
  <c r="AA245" i="8"/>
  <c r="X245" i="8"/>
  <c r="V245" i="8"/>
  <c r="Z245" i="8"/>
  <c r="Y245" i="8"/>
  <c r="W245" i="8"/>
  <c r="U245" i="8"/>
  <c r="T245" i="8"/>
  <c r="AB245" i="8"/>
  <c r="R246" i="9"/>
  <c r="Z245" i="9"/>
  <c r="X245" i="9"/>
  <c r="Y245" i="9"/>
  <c r="AA245" i="9"/>
  <c r="Q88" i="10"/>
  <c r="C105" i="7"/>
  <c r="F105" i="7" s="1"/>
  <c r="P105" i="7"/>
  <c r="N105" i="7"/>
  <c r="Q105" i="7" s="1"/>
  <c r="L106" i="7" s="1"/>
  <c r="B105" i="7"/>
  <c r="R247" i="8" l="1"/>
  <c r="Z246" i="8"/>
  <c r="AA246" i="8"/>
  <c r="V246" i="8"/>
  <c r="Y246" i="8"/>
  <c r="W246" i="8"/>
  <c r="X246" i="8"/>
  <c r="T246" i="8"/>
  <c r="U246" i="8"/>
  <c r="AB246" i="8"/>
  <c r="R247" i="9"/>
  <c r="Y246" i="9"/>
  <c r="Z246" i="9"/>
  <c r="X246" i="9"/>
  <c r="AA246" i="9"/>
  <c r="S89" i="10"/>
  <c r="T89" i="10" s="1"/>
  <c r="U88" i="10"/>
  <c r="M106" i="7"/>
  <c r="P106" i="7" s="1"/>
  <c r="D105" i="7"/>
  <c r="E105" i="7"/>
  <c r="R248" i="8" l="1"/>
  <c r="V247" i="8"/>
  <c r="W247" i="8"/>
  <c r="AA247" i="8"/>
  <c r="Z247" i="8"/>
  <c r="Y247" i="8"/>
  <c r="X247" i="8"/>
  <c r="U247" i="8"/>
  <c r="T247" i="8"/>
  <c r="AB247" i="8"/>
  <c r="R248" i="9"/>
  <c r="Z247" i="9"/>
  <c r="Y247" i="9"/>
  <c r="X247" i="9"/>
  <c r="AA247" i="9"/>
  <c r="P89" i="10"/>
  <c r="N106" i="7"/>
  <c r="Q106" i="7" s="1"/>
  <c r="M107" i="7" s="1"/>
  <c r="O106" i="7"/>
  <c r="G105" i="7"/>
  <c r="B106" i="7" s="1"/>
  <c r="R249" i="8" l="1"/>
  <c r="Z248" i="8"/>
  <c r="Y248" i="8"/>
  <c r="U248" i="8"/>
  <c r="T248" i="8"/>
  <c r="AA248" i="8"/>
  <c r="V248" i="8"/>
  <c r="X248" i="8"/>
  <c r="W248" i="8"/>
  <c r="AB248" i="8"/>
  <c r="R249" i="9"/>
  <c r="Y248" i="9"/>
  <c r="X248" i="9"/>
  <c r="Z248" i="9"/>
  <c r="AA248" i="9"/>
  <c r="Q89" i="10"/>
  <c r="L107" i="7"/>
  <c r="O107" i="7" s="1"/>
  <c r="E106" i="7"/>
  <c r="C106" i="7"/>
  <c r="F106" i="7" s="1"/>
  <c r="R250" i="8" l="1"/>
  <c r="AA249" i="8"/>
  <c r="Y249" i="8"/>
  <c r="T249" i="8"/>
  <c r="X249" i="8"/>
  <c r="U249" i="8"/>
  <c r="Z249" i="8"/>
  <c r="V249" i="8"/>
  <c r="W249" i="8"/>
  <c r="AB249" i="8"/>
  <c r="R250" i="9"/>
  <c r="Z249" i="9"/>
  <c r="X249" i="9"/>
  <c r="Y249" i="9"/>
  <c r="AA249" i="9"/>
  <c r="S90" i="10"/>
  <c r="T90" i="10" s="1"/>
  <c r="U89" i="10"/>
  <c r="D106" i="7"/>
  <c r="R251" i="8" l="1"/>
  <c r="AA250" i="8"/>
  <c r="W250" i="8"/>
  <c r="Y250" i="8"/>
  <c r="T250" i="8"/>
  <c r="V250" i="8"/>
  <c r="X250" i="8"/>
  <c r="U250" i="8"/>
  <c r="Z250" i="8"/>
  <c r="AB250" i="8"/>
  <c r="Y250" i="9"/>
  <c r="Z250" i="9"/>
  <c r="X250" i="9"/>
  <c r="R251" i="9"/>
  <c r="AA250" i="9"/>
  <c r="P90" i="10"/>
  <c r="Q90" i="10" s="1"/>
  <c r="P107" i="7"/>
  <c r="N107" i="7"/>
  <c r="Q107" i="7" s="1"/>
  <c r="L108" i="7" s="1"/>
  <c r="G106" i="7"/>
  <c r="C107" i="7" s="1"/>
  <c r="F107" i="7" s="1"/>
  <c r="K28" i="21" l="1"/>
  <c r="K25" i="21"/>
  <c r="R252" i="8"/>
  <c r="AA251" i="8"/>
  <c r="X251" i="8"/>
  <c r="Z251" i="8"/>
  <c r="Y251" i="8"/>
  <c r="V251" i="8"/>
  <c r="W251" i="8"/>
  <c r="T251" i="8"/>
  <c r="U251" i="8"/>
  <c r="AB251" i="8"/>
  <c r="R252" i="9"/>
  <c r="Z251" i="9"/>
  <c r="Y251" i="9"/>
  <c r="X251" i="9"/>
  <c r="AA251" i="9"/>
  <c r="U90" i="10"/>
  <c r="S91" i="10"/>
  <c r="T91" i="10" s="1"/>
  <c r="M108" i="7"/>
  <c r="P108" i="7" s="1"/>
  <c r="B107" i="7"/>
  <c r="R253" i="8" l="1"/>
  <c r="Z252" i="8"/>
  <c r="X252" i="8"/>
  <c r="U252" i="8"/>
  <c r="W252" i="8"/>
  <c r="T252" i="8"/>
  <c r="Y252" i="8"/>
  <c r="V252" i="8"/>
  <c r="AA252" i="8"/>
  <c r="AB252" i="8"/>
  <c r="R253" i="9"/>
  <c r="Z252" i="9"/>
  <c r="X252" i="9"/>
  <c r="Y252" i="9"/>
  <c r="AA252" i="9"/>
  <c r="P91" i="10"/>
  <c r="Q91" i="10" s="1"/>
  <c r="N108" i="7"/>
  <c r="Q108" i="7" s="1"/>
  <c r="M109" i="7" s="1"/>
  <c r="O108" i="7"/>
  <c r="E107" i="7"/>
  <c r="D107" i="7"/>
  <c r="G107" i="7" s="1"/>
  <c r="R254" i="8" l="1"/>
  <c r="Z253" i="8"/>
  <c r="X253" i="8"/>
  <c r="U253" i="8"/>
  <c r="AA253" i="8"/>
  <c r="W253" i="8"/>
  <c r="T253" i="8"/>
  <c r="Y253" i="8"/>
  <c r="V253" i="8"/>
  <c r="AB253" i="8"/>
  <c r="R254" i="9"/>
  <c r="Z253" i="9"/>
  <c r="X253" i="9"/>
  <c r="Y253" i="9"/>
  <c r="AA253" i="9"/>
  <c r="S92" i="10"/>
  <c r="T92" i="10" s="1"/>
  <c r="U91" i="10"/>
  <c r="P92" i="10" s="1"/>
  <c r="Q92" i="10" s="1"/>
  <c r="B108" i="7"/>
  <c r="E108" i="7" s="1"/>
  <c r="L109" i="7"/>
  <c r="O109" i="7" s="1"/>
  <c r="C108" i="7"/>
  <c r="F108" i="7" s="1"/>
  <c r="P109" i="7"/>
  <c r="R255" i="8" l="1"/>
  <c r="Z254" i="8"/>
  <c r="W254" i="8"/>
  <c r="V254" i="8"/>
  <c r="X254" i="8"/>
  <c r="AA254" i="8"/>
  <c r="T254" i="8"/>
  <c r="U254" i="8"/>
  <c r="Y254" i="8"/>
  <c r="AB254" i="8"/>
  <c r="R255" i="9"/>
  <c r="Y254" i="9"/>
  <c r="Z254" i="9"/>
  <c r="X254" i="9"/>
  <c r="AA254" i="9"/>
  <c r="S93" i="10"/>
  <c r="T93" i="10" s="1"/>
  <c r="U92" i="10"/>
  <c r="P93" i="10" s="1"/>
  <c r="Q93" i="10" s="1"/>
  <c r="N109" i="7"/>
  <c r="Q109" i="7" s="1"/>
  <c r="M110" i="7" s="1"/>
  <c r="D108" i="7"/>
  <c r="G108" i="7" s="1"/>
  <c r="B109" i="7" s="1"/>
  <c r="E109" i="7" s="1"/>
  <c r="R256" i="8" l="1"/>
  <c r="V255" i="8"/>
  <c r="AA255" i="8"/>
  <c r="Y255" i="8"/>
  <c r="W255" i="8"/>
  <c r="X255" i="8"/>
  <c r="Z255" i="8"/>
  <c r="U255" i="8"/>
  <c r="T255" i="8"/>
  <c r="AB255" i="8"/>
  <c r="R256" i="9"/>
  <c r="Z255" i="9"/>
  <c r="Y255" i="9"/>
  <c r="X255" i="9"/>
  <c r="AA255" i="9"/>
  <c r="U93" i="10"/>
  <c r="P94" i="10" s="1"/>
  <c r="Q94" i="10" s="1"/>
  <c r="S94" i="10"/>
  <c r="T94" i="10" s="1"/>
  <c r="C109" i="7"/>
  <c r="F109" i="7" s="1"/>
  <c r="L110" i="7"/>
  <c r="P110" i="7"/>
  <c r="R257" i="8" l="1"/>
  <c r="Z256" i="8"/>
  <c r="AA256" i="8"/>
  <c r="Y256" i="8"/>
  <c r="W256" i="8"/>
  <c r="V256" i="8"/>
  <c r="X256" i="8"/>
  <c r="U256" i="8"/>
  <c r="T256" i="8"/>
  <c r="AB256" i="8"/>
  <c r="R257" i="9"/>
  <c r="Y256" i="9"/>
  <c r="X256" i="9"/>
  <c r="Z256" i="9"/>
  <c r="AA256" i="9"/>
  <c r="S95" i="10"/>
  <c r="T95" i="10" s="1"/>
  <c r="U94" i="10"/>
  <c r="P95" i="10" s="1"/>
  <c r="Q95" i="10" s="1"/>
  <c r="D109" i="7"/>
  <c r="G109" i="7" s="1"/>
  <c r="C110" i="7" s="1"/>
  <c r="F110" i="7" s="1"/>
  <c r="N110" i="7"/>
  <c r="Q110" i="7" s="1"/>
  <c r="O110" i="7"/>
  <c r="R258" i="8" l="1"/>
  <c r="Z257" i="8"/>
  <c r="T257" i="8"/>
  <c r="AA257" i="8"/>
  <c r="W257" i="8"/>
  <c r="Y257" i="8"/>
  <c r="U257" i="8"/>
  <c r="X257" i="8"/>
  <c r="V257" i="8"/>
  <c r="AB257" i="8"/>
  <c r="R258" i="9"/>
  <c r="Z257" i="9"/>
  <c r="Y257" i="9"/>
  <c r="X257" i="9"/>
  <c r="AA257" i="9"/>
  <c r="S96" i="10"/>
  <c r="T96" i="10" s="1"/>
  <c r="U95" i="10"/>
  <c r="P96" i="10" s="1"/>
  <c r="Q96" i="10" s="1"/>
  <c r="B110" i="7"/>
  <c r="D110" i="7" s="1"/>
  <c r="G110" i="7" s="1"/>
  <c r="C111" i="7" s="1"/>
  <c r="F111" i="7" s="1"/>
  <c r="M111" i="7"/>
  <c r="P111" i="7" s="1"/>
  <c r="L111" i="7"/>
  <c r="R259" i="8" l="1"/>
  <c r="AA258" i="8"/>
  <c r="W258" i="8"/>
  <c r="Y258" i="8"/>
  <c r="T258" i="8"/>
  <c r="U258" i="8"/>
  <c r="Z258" i="8"/>
  <c r="V258" i="8"/>
  <c r="X258" i="8"/>
  <c r="AB258" i="8"/>
  <c r="R259" i="9"/>
  <c r="Z258" i="9"/>
  <c r="Y258" i="9"/>
  <c r="X258" i="9"/>
  <c r="AA258" i="9"/>
  <c r="S97" i="10"/>
  <c r="T97" i="10" s="1"/>
  <c r="U96" i="10"/>
  <c r="P97" i="10" s="1"/>
  <c r="Q97" i="10" s="1"/>
  <c r="N111" i="7"/>
  <c r="Q111" i="7" s="1"/>
  <c r="M112" i="7" s="1"/>
  <c r="P112" i="7" s="1"/>
  <c r="E110" i="7"/>
  <c r="B111" i="7" s="1"/>
  <c r="O111" i="7"/>
  <c r="R260" i="8" l="1"/>
  <c r="AA259" i="8"/>
  <c r="Y259" i="8"/>
  <c r="Z259" i="8"/>
  <c r="U259" i="8"/>
  <c r="W259" i="8"/>
  <c r="X259" i="8"/>
  <c r="V259" i="8"/>
  <c r="T259" i="8"/>
  <c r="AB259" i="8"/>
  <c r="R260" i="9"/>
  <c r="Z259" i="9"/>
  <c r="Y259" i="9"/>
  <c r="X259" i="9"/>
  <c r="AA259" i="9"/>
  <c r="S98" i="10"/>
  <c r="T98" i="10" s="1"/>
  <c r="U97" i="10"/>
  <c r="P98" i="10" s="1"/>
  <c r="Q98" i="10" s="1"/>
  <c r="L112" i="7"/>
  <c r="O112" i="7" s="1"/>
  <c r="D111" i="7"/>
  <c r="E111" i="7"/>
  <c r="R261" i="8" l="1"/>
  <c r="AA260" i="8"/>
  <c r="U260" i="8"/>
  <c r="Y260" i="8"/>
  <c r="Z260" i="8"/>
  <c r="V260" i="8"/>
  <c r="X260" i="8"/>
  <c r="W260" i="8"/>
  <c r="T260" i="8"/>
  <c r="AB260" i="8"/>
  <c r="R261" i="9"/>
  <c r="Z260" i="9"/>
  <c r="X260" i="9"/>
  <c r="Y260" i="9"/>
  <c r="AA260" i="9"/>
  <c r="S99" i="10"/>
  <c r="T99" i="10" s="1"/>
  <c r="U98" i="10"/>
  <c r="P99" i="10" s="1"/>
  <c r="Q99" i="10" s="1"/>
  <c r="N112" i="7"/>
  <c r="Q112" i="7" s="1"/>
  <c r="L113" i="7" s="1"/>
  <c r="G111" i="7"/>
  <c r="B112" i="7" s="1"/>
  <c r="R262" i="8" l="1"/>
  <c r="X261" i="8"/>
  <c r="AA261" i="8"/>
  <c r="Z261" i="8"/>
  <c r="U261" i="8"/>
  <c r="V261" i="8"/>
  <c r="Y261" i="8"/>
  <c r="W261" i="8"/>
  <c r="T261" i="8"/>
  <c r="AB261" i="8"/>
  <c r="R262" i="9"/>
  <c r="Z261" i="9"/>
  <c r="X261" i="9"/>
  <c r="Y261" i="9"/>
  <c r="AA261" i="9"/>
  <c r="S100" i="10"/>
  <c r="T100" i="10" s="1"/>
  <c r="U99" i="10"/>
  <c r="P100" i="10" s="1"/>
  <c r="Q100" i="10" s="1"/>
  <c r="M113" i="7"/>
  <c r="O113" i="7"/>
  <c r="E112" i="7"/>
  <c r="C112" i="7"/>
  <c r="R263" i="8" l="1"/>
  <c r="Z262" i="8"/>
  <c r="X262" i="8"/>
  <c r="AA262" i="8"/>
  <c r="T262" i="8"/>
  <c r="U262" i="8"/>
  <c r="V262" i="8"/>
  <c r="W262" i="8"/>
  <c r="Y262" i="8"/>
  <c r="AB262" i="8"/>
  <c r="R263" i="9"/>
  <c r="Y262" i="9"/>
  <c r="Z262" i="9"/>
  <c r="X262" i="9"/>
  <c r="AA262" i="9"/>
  <c r="S101" i="10"/>
  <c r="T101" i="10" s="1"/>
  <c r="U100" i="10"/>
  <c r="P101" i="10" s="1"/>
  <c r="Q101" i="10" s="1"/>
  <c r="F112" i="7"/>
  <c r="D112" i="7"/>
  <c r="R264" i="8" l="1"/>
  <c r="V263" i="8"/>
  <c r="X263" i="8"/>
  <c r="AA263" i="8"/>
  <c r="T263" i="8"/>
  <c r="Z263" i="8"/>
  <c r="W263" i="8"/>
  <c r="U263" i="8"/>
  <c r="Y263" i="8"/>
  <c r="AB263" i="8"/>
  <c r="R264" i="9"/>
  <c r="Z263" i="9"/>
  <c r="Y263" i="9"/>
  <c r="X263" i="9"/>
  <c r="AA263" i="9"/>
  <c r="U101" i="10"/>
  <c r="P102" i="10" s="1"/>
  <c r="Q102" i="10" s="1"/>
  <c r="S102" i="10"/>
  <c r="T102" i="10" s="1"/>
  <c r="P113" i="7"/>
  <c r="N113" i="7"/>
  <c r="Q113" i="7" s="1"/>
  <c r="L114" i="7" s="1"/>
  <c r="G112" i="7"/>
  <c r="B113" i="7" s="1"/>
  <c r="R265" i="8" l="1"/>
  <c r="Z264" i="8"/>
  <c r="Y264" i="8"/>
  <c r="W264" i="8"/>
  <c r="V264" i="8"/>
  <c r="X264" i="8"/>
  <c r="AA264" i="8"/>
  <c r="T264" i="8"/>
  <c r="U264" i="8"/>
  <c r="AB264" i="8"/>
  <c r="R265" i="9"/>
  <c r="Y264" i="9"/>
  <c r="X264" i="9"/>
  <c r="Z264" i="9"/>
  <c r="AA264" i="9"/>
  <c r="U102" i="10"/>
  <c r="P103" i="10" s="1"/>
  <c r="Q103" i="10" s="1"/>
  <c r="S103" i="10"/>
  <c r="T103" i="10" s="1"/>
  <c r="M114" i="7"/>
  <c r="C113" i="7"/>
  <c r="F113" i="7" s="1"/>
  <c r="E113" i="7"/>
  <c r="R266" i="8" l="1"/>
  <c r="Z265" i="8"/>
  <c r="W265" i="8"/>
  <c r="T265" i="8"/>
  <c r="V265" i="8"/>
  <c r="X265" i="8"/>
  <c r="Y265" i="8"/>
  <c r="AA265" i="8"/>
  <c r="U265" i="8"/>
  <c r="AB265" i="8"/>
  <c r="R266" i="9"/>
  <c r="Z265" i="9"/>
  <c r="X265" i="9"/>
  <c r="Y265" i="9"/>
  <c r="AA265" i="9"/>
  <c r="S104" i="10"/>
  <c r="T104" i="10" s="1"/>
  <c r="U103" i="10"/>
  <c r="P104" i="10" s="1"/>
  <c r="Q104" i="10" s="1"/>
  <c r="O114" i="7"/>
  <c r="P114" i="7"/>
  <c r="D113" i="7"/>
  <c r="G113" i="7" s="1"/>
  <c r="B114" i="7" s="1"/>
  <c r="R267" i="8" l="1"/>
  <c r="W266" i="8"/>
  <c r="Z266" i="8"/>
  <c r="T266" i="8"/>
  <c r="Y266" i="8"/>
  <c r="V266" i="8"/>
  <c r="AA266" i="8"/>
  <c r="U266" i="8"/>
  <c r="X266" i="8"/>
  <c r="AB266" i="8"/>
  <c r="R267" i="9"/>
  <c r="Y266" i="9"/>
  <c r="Z266" i="9"/>
  <c r="X266" i="9"/>
  <c r="AA266" i="9"/>
  <c r="S105" i="10"/>
  <c r="T105" i="10" s="1"/>
  <c r="U104" i="10"/>
  <c r="P105" i="10" s="1"/>
  <c r="Q105" i="10" s="1"/>
  <c r="N114" i="7"/>
  <c r="Q114" i="7" s="1"/>
  <c r="L115" i="7" s="1"/>
  <c r="C114" i="7"/>
  <c r="F114" i="7" s="1"/>
  <c r="E114" i="7"/>
  <c r="R268" i="8" l="1"/>
  <c r="AA267" i="8"/>
  <c r="Z267" i="8"/>
  <c r="Y267" i="8"/>
  <c r="W267" i="8"/>
  <c r="X267" i="8"/>
  <c r="U267" i="8"/>
  <c r="V267" i="8"/>
  <c r="T267" i="8"/>
  <c r="AB267" i="8"/>
  <c r="R268" i="9"/>
  <c r="Z267" i="9"/>
  <c r="Y267" i="9"/>
  <c r="X267" i="9"/>
  <c r="AA267" i="9"/>
  <c r="U105" i="10"/>
  <c r="P106" i="10" s="1"/>
  <c r="Q106" i="10" s="1"/>
  <c r="S106" i="10"/>
  <c r="T106" i="10" s="1"/>
  <c r="M115" i="7"/>
  <c r="P115" i="7" s="1"/>
  <c r="D114" i="7"/>
  <c r="G114" i="7" s="1"/>
  <c r="B115" i="7" s="1"/>
  <c r="R269" i="8" l="1"/>
  <c r="AA268" i="8"/>
  <c r="Y268" i="8"/>
  <c r="U268" i="8"/>
  <c r="W268" i="8"/>
  <c r="X268" i="8"/>
  <c r="T268" i="8"/>
  <c r="V268" i="8"/>
  <c r="Z268" i="8"/>
  <c r="AB268" i="8"/>
  <c r="R269" i="9"/>
  <c r="Z268" i="9"/>
  <c r="X268" i="9"/>
  <c r="Y268" i="9"/>
  <c r="AA268" i="9"/>
  <c r="S107" i="10"/>
  <c r="T107" i="10" s="1"/>
  <c r="U106" i="10"/>
  <c r="P107" i="10" s="1"/>
  <c r="Q107" i="10" s="1"/>
  <c r="N115" i="7"/>
  <c r="Q115" i="7" s="1"/>
  <c r="M116" i="7" s="1"/>
  <c r="O115" i="7"/>
  <c r="E115" i="7"/>
  <c r="C115" i="7"/>
  <c r="F115" i="7" s="1"/>
  <c r="R270" i="8" l="1"/>
  <c r="AA269" i="8"/>
  <c r="X269" i="8"/>
  <c r="Y269" i="8"/>
  <c r="U269" i="8"/>
  <c r="W269" i="8"/>
  <c r="V269" i="8"/>
  <c r="T269" i="8"/>
  <c r="Z269" i="8"/>
  <c r="AB269" i="8"/>
  <c r="R270" i="9"/>
  <c r="Z269" i="9"/>
  <c r="X269" i="9"/>
  <c r="Y269" i="9"/>
  <c r="AA269" i="9"/>
  <c r="U107" i="10"/>
  <c r="P108" i="10" s="1"/>
  <c r="Q108" i="10" s="1"/>
  <c r="S108" i="10"/>
  <c r="T108" i="10" s="1"/>
  <c r="L116" i="7"/>
  <c r="O116" i="7" s="1"/>
  <c r="P116" i="7"/>
  <c r="D115" i="7"/>
  <c r="R271" i="8" l="1"/>
  <c r="AA270" i="8"/>
  <c r="Y270" i="8"/>
  <c r="W270" i="8"/>
  <c r="U270" i="8"/>
  <c r="X270" i="8"/>
  <c r="T270" i="8"/>
  <c r="V270" i="8"/>
  <c r="Z270" i="8"/>
  <c r="AB270" i="8"/>
  <c r="R271" i="9"/>
  <c r="Y270" i="9"/>
  <c r="Z270" i="9"/>
  <c r="X270" i="9"/>
  <c r="AA270" i="9"/>
  <c r="S109" i="10"/>
  <c r="T109" i="10" s="1"/>
  <c r="U108" i="10"/>
  <c r="P109" i="10" s="1"/>
  <c r="Q109" i="10" s="1"/>
  <c r="N116" i="7"/>
  <c r="Q116" i="7" s="1"/>
  <c r="L117" i="7" s="1"/>
  <c r="G115" i="7"/>
  <c r="B116" i="7" s="1"/>
  <c r="R272" i="8" l="1"/>
  <c r="Z271" i="8"/>
  <c r="V271" i="8"/>
  <c r="X271" i="8"/>
  <c r="Y271" i="8"/>
  <c r="W271" i="8"/>
  <c r="U271" i="8"/>
  <c r="AA271" i="8"/>
  <c r="T271" i="8"/>
  <c r="AB271" i="8"/>
  <c r="R272" i="9"/>
  <c r="Z271" i="9"/>
  <c r="Y271" i="9"/>
  <c r="X271" i="9"/>
  <c r="AA271" i="9"/>
  <c r="U109" i="10"/>
  <c r="P110" i="10" s="1"/>
  <c r="Q110" i="10" s="1"/>
  <c r="S110" i="10"/>
  <c r="T110" i="10" s="1"/>
  <c r="M117" i="7"/>
  <c r="E116" i="7"/>
  <c r="C116" i="7"/>
  <c r="R273" i="8" l="1"/>
  <c r="Z272" i="8"/>
  <c r="Y272" i="8"/>
  <c r="T272" i="8"/>
  <c r="W272" i="8"/>
  <c r="U272" i="8"/>
  <c r="X272" i="8"/>
  <c r="V272" i="8"/>
  <c r="AA272" i="8"/>
  <c r="AB272" i="8"/>
  <c r="R273" i="9"/>
  <c r="Y272" i="9"/>
  <c r="X272" i="9"/>
  <c r="Z272" i="9"/>
  <c r="AA272" i="9"/>
  <c r="U110" i="10"/>
  <c r="P111" i="10" s="1"/>
  <c r="Q111" i="10" s="1"/>
  <c r="S111" i="10"/>
  <c r="T111" i="10" s="1"/>
  <c r="P117" i="7"/>
  <c r="N117" i="7"/>
  <c r="Q117" i="7" s="1"/>
  <c r="O117" i="7"/>
  <c r="F116" i="7"/>
  <c r="D116" i="7"/>
  <c r="R274" i="8" l="1"/>
  <c r="AA273" i="8"/>
  <c r="X273" i="8"/>
  <c r="V273" i="8"/>
  <c r="T273" i="8"/>
  <c r="Y273" i="8"/>
  <c r="Z273" i="8"/>
  <c r="W273" i="8"/>
  <c r="U273" i="8"/>
  <c r="AB273" i="8"/>
  <c r="R274" i="9"/>
  <c r="Z273" i="9"/>
  <c r="X273" i="9"/>
  <c r="Y273" i="9"/>
  <c r="AA273" i="9"/>
  <c r="S112" i="10"/>
  <c r="T112" i="10" s="1"/>
  <c r="U111" i="10"/>
  <c r="P112" i="10" s="1"/>
  <c r="Q112" i="10" s="1"/>
  <c r="M118" i="7"/>
  <c r="L118" i="7"/>
  <c r="O118" i="7" s="1"/>
  <c r="G116" i="7"/>
  <c r="B117" i="7" s="1"/>
  <c r="R275" i="8" l="1"/>
  <c r="W274" i="8"/>
  <c r="AA274" i="8"/>
  <c r="Z274" i="8"/>
  <c r="V274" i="8"/>
  <c r="T274" i="8"/>
  <c r="X274" i="8"/>
  <c r="U274" i="8"/>
  <c r="Y274" i="8"/>
  <c r="AB274" i="8"/>
  <c r="R275" i="9"/>
  <c r="Z274" i="9"/>
  <c r="Y274" i="9"/>
  <c r="X274" i="9"/>
  <c r="AA274" i="9"/>
  <c r="S113" i="10"/>
  <c r="T113" i="10" s="1"/>
  <c r="U112" i="10"/>
  <c r="P113" i="10" s="1"/>
  <c r="Q113" i="10" s="1"/>
  <c r="E117" i="7"/>
  <c r="C117" i="7"/>
  <c r="R276" i="8" l="1"/>
  <c r="AA275" i="8"/>
  <c r="W275" i="8"/>
  <c r="Z275" i="8"/>
  <c r="X275" i="8"/>
  <c r="V275" i="8"/>
  <c r="T275" i="8"/>
  <c r="U275" i="8"/>
  <c r="Y275" i="8"/>
  <c r="AB275" i="8"/>
  <c r="R276" i="9"/>
  <c r="Z275" i="9"/>
  <c r="Y275" i="9"/>
  <c r="X275" i="9"/>
  <c r="AA275" i="9"/>
  <c r="U113" i="10"/>
  <c r="P114" i="10" s="1"/>
  <c r="Q114" i="10" s="1"/>
  <c r="S114" i="10"/>
  <c r="T114" i="10" s="1"/>
  <c r="P118" i="7"/>
  <c r="N118" i="7"/>
  <c r="Q118" i="7" s="1"/>
  <c r="L119" i="7" s="1"/>
  <c r="F117" i="7"/>
  <c r="D117" i="7"/>
  <c r="R277" i="8" l="1"/>
  <c r="Z276" i="8"/>
  <c r="Y276" i="8"/>
  <c r="AA276" i="8"/>
  <c r="W276" i="8"/>
  <c r="U276" i="8"/>
  <c r="V276" i="8"/>
  <c r="T276" i="8"/>
  <c r="X276" i="8"/>
  <c r="AB276" i="8"/>
  <c r="R277" i="9"/>
  <c r="Z276" i="9"/>
  <c r="X276" i="9"/>
  <c r="Y276" i="9"/>
  <c r="AA276" i="9"/>
  <c r="S115" i="10"/>
  <c r="T115" i="10" s="1"/>
  <c r="U114" i="10"/>
  <c r="P115" i="10" s="1"/>
  <c r="Q115" i="10" s="1"/>
  <c r="M119" i="7"/>
  <c r="G117" i="7"/>
  <c r="B118" i="7" s="1"/>
  <c r="R278" i="8" l="1"/>
  <c r="AA277" i="8"/>
  <c r="Z277" i="8"/>
  <c r="X277" i="8"/>
  <c r="Y277" i="8"/>
  <c r="W277" i="8"/>
  <c r="U277" i="8"/>
  <c r="V277" i="8"/>
  <c r="T277" i="8"/>
  <c r="AB277" i="8"/>
  <c r="R278" i="9"/>
  <c r="Z277" i="9"/>
  <c r="Y277" i="9"/>
  <c r="X277" i="9"/>
  <c r="AA277" i="9"/>
  <c r="S116" i="10"/>
  <c r="T116" i="10" s="1"/>
  <c r="U115" i="10"/>
  <c r="P116" i="10" s="1"/>
  <c r="Q116" i="10" s="1"/>
  <c r="O119" i="7"/>
  <c r="E118" i="7"/>
  <c r="C118" i="7"/>
  <c r="P119" i="7" s="1"/>
  <c r="R279" i="8" l="1"/>
  <c r="AA278" i="8"/>
  <c r="Z278" i="8"/>
  <c r="W278" i="8"/>
  <c r="Y278" i="8"/>
  <c r="V278" i="8"/>
  <c r="X278" i="8"/>
  <c r="U278" i="8"/>
  <c r="T278" i="8"/>
  <c r="AB278" i="8"/>
  <c r="R279" i="9"/>
  <c r="Y278" i="9"/>
  <c r="Z278" i="9"/>
  <c r="X278" i="9"/>
  <c r="AA278" i="9"/>
  <c r="U116" i="10"/>
  <c r="P117" i="10" s="1"/>
  <c r="Q117" i="10" s="1"/>
  <c r="S117" i="10"/>
  <c r="T117" i="10" s="1"/>
  <c r="N119" i="7"/>
  <c r="Q119" i="7" s="1"/>
  <c r="L120" i="7" s="1"/>
  <c r="F118" i="7"/>
  <c r="D118" i="7"/>
  <c r="R280" i="8" l="1"/>
  <c r="V279" i="8"/>
  <c r="AA279" i="8"/>
  <c r="Z279" i="8"/>
  <c r="X279" i="8"/>
  <c r="T279" i="8"/>
  <c r="W279" i="8"/>
  <c r="Y279" i="8"/>
  <c r="U279" i="8"/>
  <c r="AB279" i="8"/>
  <c r="R280" i="9"/>
  <c r="Z279" i="9"/>
  <c r="Y279" i="9"/>
  <c r="X279" i="9"/>
  <c r="AA279" i="9"/>
  <c r="U117" i="10"/>
  <c r="P118" i="10" s="1"/>
  <c r="Q118" i="10" s="1"/>
  <c r="S118" i="10"/>
  <c r="T118" i="10" s="1"/>
  <c r="M120" i="7"/>
  <c r="G118" i="7"/>
  <c r="B119" i="7" s="1"/>
  <c r="R281" i="8" l="1"/>
  <c r="Z280" i="8"/>
  <c r="Y280" i="8"/>
  <c r="X280" i="8"/>
  <c r="AA280" i="8"/>
  <c r="U280" i="8"/>
  <c r="W280" i="8"/>
  <c r="V280" i="8"/>
  <c r="T280" i="8"/>
  <c r="AB280" i="8"/>
  <c r="R281" i="9"/>
  <c r="Y280" i="9"/>
  <c r="X280" i="9"/>
  <c r="Z280" i="9"/>
  <c r="AA280" i="9"/>
  <c r="U118" i="10"/>
  <c r="P119" i="10" s="1"/>
  <c r="Q119" i="10" s="1"/>
  <c r="S119" i="10"/>
  <c r="T119" i="10" s="1"/>
  <c r="O120" i="7"/>
  <c r="E119" i="7"/>
  <c r="C119" i="7"/>
  <c r="R282" i="8" l="1"/>
  <c r="Z281" i="8"/>
  <c r="AA281" i="8"/>
  <c r="Y281" i="8"/>
  <c r="T281" i="8"/>
  <c r="U281" i="8"/>
  <c r="X281" i="8"/>
  <c r="W281" i="8"/>
  <c r="V281" i="8"/>
  <c r="AB281" i="8"/>
  <c r="R282" i="9"/>
  <c r="Z281" i="9"/>
  <c r="X281" i="9"/>
  <c r="Y281" i="9"/>
  <c r="AA281" i="9"/>
  <c r="S120" i="10"/>
  <c r="T120" i="10" s="1"/>
  <c r="U119" i="10"/>
  <c r="P120" i="10" s="1"/>
  <c r="Q120" i="10" s="1"/>
  <c r="F119" i="7"/>
  <c r="D119" i="7"/>
  <c r="R283" i="8" l="1"/>
  <c r="W282" i="8"/>
  <c r="V282" i="8"/>
  <c r="Y282" i="8"/>
  <c r="T282" i="8"/>
  <c r="Z282" i="8"/>
  <c r="X282" i="8"/>
  <c r="U282" i="8"/>
  <c r="AA282" i="8"/>
  <c r="AB282" i="8"/>
  <c r="R283" i="9"/>
  <c r="Y282" i="9"/>
  <c r="Z282" i="9"/>
  <c r="X282" i="9"/>
  <c r="AA282" i="9"/>
  <c r="S121" i="10"/>
  <c r="T121" i="10" s="1"/>
  <c r="U120" i="10"/>
  <c r="P121" i="10" s="1"/>
  <c r="Q121" i="10" s="1"/>
  <c r="P120" i="7"/>
  <c r="N120" i="7"/>
  <c r="Q120" i="7" s="1"/>
  <c r="L121" i="7" s="1"/>
  <c r="G119" i="7"/>
  <c r="B120" i="7" s="1"/>
  <c r="R284" i="8" l="1"/>
  <c r="AA283" i="8"/>
  <c r="X283" i="8"/>
  <c r="Y283" i="8"/>
  <c r="V283" i="8"/>
  <c r="Z283" i="8"/>
  <c r="T283" i="8"/>
  <c r="W283" i="8"/>
  <c r="U283" i="8"/>
  <c r="AB283" i="8"/>
  <c r="R284" i="9"/>
  <c r="Z283" i="9"/>
  <c r="Y283" i="9"/>
  <c r="X283" i="9"/>
  <c r="AA283" i="9"/>
  <c r="S122" i="10"/>
  <c r="T122" i="10" s="1"/>
  <c r="U121" i="10"/>
  <c r="P122" i="10" s="1"/>
  <c r="Q122" i="10" s="1"/>
  <c r="M121" i="7"/>
  <c r="E120" i="7"/>
  <c r="C120" i="7"/>
  <c r="F120" i="7" s="1"/>
  <c r="R285" i="8" l="1"/>
  <c r="W284" i="8"/>
  <c r="U284" i="8"/>
  <c r="X284" i="8"/>
  <c r="AA284" i="8"/>
  <c r="T284" i="8"/>
  <c r="Z284" i="8"/>
  <c r="Y284" i="8"/>
  <c r="V284" i="8"/>
  <c r="AB284" i="8"/>
  <c r="R285" i="9"/>
  <c r="Z284" i="9"/>
  <c r="X284" i="9"/>
  <c r="Y284" i="9"/>
  <c r="AA284" i="9"/>
  <c r="S123" i="10"/>
  <c r="T123" i="10" s="1"/>
  <c r="U122" i="10"/>
  <c r="P123" i="10" s="1"/>
  <c r="Q123" i="10" s="1"/>
  <c r="O121" i="7"/>
  <c r="P121" i="7"/>
  <c r="D120" i="7"/>
  <c r="R286" i="8" l="1"/>
  <c r="X285" i="8"/>
  <c r="Y285" i="8"/>
  <c r="U285" i="8"/>
  <c r="W285" i="8"/>
  <c r="T285" i="8"/>
  <c r="AA285" i="8"/>
  <c r="V285" i="8"/>
  <c r="Z285" i="8"/>
  <c r="AB285" i="8"/>
  <c r="R286" i="9"/>
  <c r="Z285" i="9"/>
  <c r="Y285" i="9"/>
  <c r="X285" i="9"/>
  <c r="AA285" i="9"/>
  <c r="S124" i="10"/>
  <c r="T124" i="10" s="1"/>
  <c r="U123" i="10"/>
  <c r="P124" i="10" s="1"/>
  <c r="Q124" i="10" s="1"/>
  <c r="N121" i="7"/>
  <c r="Q121" i="7" s="1"/>
  <c r="L122" i="7" s="1"/>
  <c r="G120" i="7"/>
  <c r="B121" i="7" s="1"/>
  <c r="R287" i="8" l="1"/>
  <c r="AA286" i="8"/>
  <c r="Y286" i="8"/>
  <c r="W286" i="8"/>
  <c r="X286" i="8"/>
  <c r="V286" i="8"/>
  <c r="T286" i="8"/>
  <c r="Z286" i="8"/>
  <c r="U286" i="8"/>
  <c r="AB286" i="8"/>
  <c r="R287" i="9"/>
  <c r="Y286" i="9"/>
  <c r="Z286" i="9"/>
  <c r="X286" i="9"/>
  <c r="AA286" i="9"/>
  <c r="S125" i="10"/>
  <c r="T125" i="10" s="1"/>
  <c r="U124" i="10"/>
  <c r="P125" i="10" s="1"/>
  <c r="Q125" i="10" s="1"/>
  <c r="M122" i="7"/>
  <c r="C121" i="7"/>
  <c r="F121" i="7" s="1"/>
  <c r="E121" i="7"/>
  <c r="R288" i="8" l="1"/>
  <c r="AA287" i="8"/>
  <c r="Z287" i="8"/>
  <c r="V287" i="8"/>
  <c r="W287" i="8"/>
  <c r="Y287" i="8"/>
  <c r="X287" i="8"/>
  <c r="U287" i="8"/>
  <c r="T287" i="8"/>
  <c r="AB287" i="8"/>
  <c r="R288" i="9"/>
  <c r="Z287" i="9"/>
  <c r="Y287" i="9"/>
  <c r="X287" i="9"/>
  <c r="AA287" i="9"/>
  <c r="U125" i="10"/>
  <c r="P126" i="10" s="1"/>
  <c r="Q126" i="10" s="1"/>
  <c r="S126" i="10"/>
  <c r="T126" i="10" s="1"/>
  <c r="D121" i="7"/>
  <c r="G121" i="7" s="1"/>
  <c r="C122" i="7" s="1"/>
  <c r="F122" i="7" s="1"/>
  <c r="O122" i="7"/>
  <c r="P122" i="7"/>
  <c r="R289" i="8" l="1"/>
  <c r="Z288" i="8"/>
  <c r="Y288" i="8"/>
  <c r="AA288" i="8"/>
  <c r="W288" i="8"/>
  <c r="V288" i="8"/>
  <c r="X288" i="8"/>
  <c r="U288" i="8"/>
  <c r="T288" i="8"/>
  <c r="AB288" i="8"/>
  <c r="R289" i="9"/>
  <c r="Y288" i="9"/>
  <c r="X288" i="9"/>
  <c r="Z288" i="9"/>
  <c r="AA288" i="9"/>
  <c r="U126" i="10"/>
  <c r="P127" i="10" s="1"/>
  <c r="Q127" i="10" s="1"/>
  <c r="S127" i="10"/>
  <c r="T127" i="10" s="1"/>
  <c r="N122" i="7"/>
  <c r="Q122" i="7" s="1"/>
  <c r="B122" i="7"/>
  <c r="R290" i="8" l="1"/>
  <c r="Z289" i="8"/>
  <c r="X289" i="8"/>
  <c r="AA289" i="8"/>
  <c r="T289" i="8"/>
  <c r="Y289" i="8"/>
  <c r="W289" i="8"/>
  <c r="V289" i="8"/>
  <c r="U289" i="8"/>
  <c r="AB289" i="8"/>
  <c r="R290" i="9"/>
  <c r="Z289" i="9"/>
  <c r="X289" i="9"/>
  <c r="Y289" i="9"/>
  <c r="AA289" i="9"/>
  <c r="S128" i="10"/>
  <c r="T128" i="10" s="1"/>
  <c r="U127" i="10"/>
  <c r="P128" i="10" s="1"/>
  <c r="Q128" i="10" s="1"/>
  <c r="M123" i="7"/>
  <c r="P123" i="7" s="1"/>
  <c r="L123" i="7"/>
  <c r="O123" i="7" s="1"/>
  <c r="E122" i="7"/>
  <c r="D122" i="7"/>
  <c r="R291" i="8" l="1"/>
  <c r="Z290" i="8"/>
  <c r="W290" i="8"/>
  <c r="T290" i="8"/>
  <c r="U290" i="8"/>
  <c r="Y290" i="8"/>
  <c r="AA290" i="8"/>
  <c r="X290" i="8"/>
  <c r="V290" i="8"/>
  <c r="AB290" i="8"/>
  <c r="R291" i="9"/>
  <c r="Z290" i="9"/>
  <c r="Y290" i="9"/>
  <c r="X290" i="9"/>
  <c r="AA290" i="9"/>
  <c r="S129" i="10"/>
  <c r="T129" i="10" s="1"/>
  <c r="U128" i="10"/>
  <c r="P129" i="10" s="1"/>
  <c r="Q129" i="10" s="1"/>
  <c r="N123" i="7"/>
  <c r="Q123" i="7" s="1"/>
  <c r="M124" i="7" s="1"/>
  <c r="G122" i="7"/>
  <c r="B123" i="7" s="1"/>
  <c r="R292" i="8" l="1"/>
  <c r="AA291" i="8"/>
  <c r="Z291" i="8"/>
  <c r="V291" i="8"/>
  <c r="U291" i="8"/>
  <c r="W291" i="8"/>
  <c r="T291" i="8"/>
  <c r="Y291" i="8"/>
  <c r="X291" i="8"/>
  <c r="AB291" i="8"/>
  <c r="R292" i="9"/>
  <c r="Z291" i="9"/>
  <c r="Y291" i="9"/>
  <c r="X291" i="9"/>
  <c r="AA291" i="9"/>
  <c r="S130" i="10"/>
  <c r="T130" i="10" s="1"/>
  <c r="U129" i="10"/>
  <c r="P130" i="10" s="1"/>
  <c r="Q130" i="10" s="1"/>
  <c r="L124" i="7"/>
  <c r="O124" i="7" s="1"/>
  <c r="E123" i="7"/>
  <c r="C123" i="7"/>
  <c r="R293" i="8" l="1"/>
  <c r="Z292" i="8"/>
  <c r="Y292" i="8"/>
  <c r="U292" i="8"/>
  <c r="V292" i="8"/>
  <c r="T292" i="8"/>
  <c r="X292" i="8"/>
  <c r="AA292" i="8"/>
  <c r="W292" i="8"/>
  <c r="AB292" i="8"/>
  <c r="R293" i="9"/>
  <c r="Z292" i="9"/>
  <c r="X292" i="9"/>
  <c r="Y292" i="9"/>
  <c r="AA292" i="9"/>
  <c r="S131" i="10"/>
  <c r="T131" i="10" s="1"/>
  <c r="U130" i="10"/>
  <c r="P131" i="10" s="1"/>
  <c r="Q131" i="10" s="1"/>
  <c r="F123" i="7"/>
  <c r="D123" i="7"/>
  <c r="R294" i="8" l="1"/>
  <c r="AA293" i="8"/>
  <c r="X293" i="8"/>
  <c r="W293" i="8"/>
  <c r="Y293" i="8"/>
  <c r="U293" i="8"/>
  <c r="Z293" i="8"/>
  <c r="T293" i="8"/>
  <c r="V293" i="8"/>
  <c r="AB293" i="8"/>
  <c r="R294" i="9"/>
  <c r="Z293" i="9"/>
  <c r="X293" i="9"/>
  <c r="Y293" i="9"/>
  <c r="AA293" i="9"/>
  <c r="U131" i="10"/>
  <c r="P132" i="10" s="1"/>
  <c r="Q132" i="10" s="1"/>
  <c r="S132" i="10"/>
  <c r="T132" i="10" s="1"/>
  <c r="P124" i="7"/>
  <c r="N124" i="7"/>
  <c r="Q124" i="7" s="1"/>
  <c r="L125" i="7" s="1"/>
  <c r="G123" i="7"/>
  <c r="B124" i="7" s="1"/>
  <c r="R295" i="8" l="1"/>
  <c r="Y294" i="8"/>
  <c r="AA294" i="8"/>
  <c r="X294" i="8"/>
  <c r="Z294" i="8"/>
  <c r="T294" i="8"/>
  <c r="U294" i="8"/>
  <c r="W294" i="8"/>
  <c r="V294" i="8"/>
  <c r="AB294" i="8"/>
  <c r="R295" i="9"/>
  <c r="Y294" i="9"/>
  <c r="Z294" i="9"/>
  <c r="X294" i="9"/>
  <c r="AA294" i="9"/>
  <c r="U132" i="10"/>
  <c r="P133" i="10" s="1"/>
  <c r="Q133" i="10" s="1"/>
  <c r="S133" i="10"/>
  <c r="T133" i="10" s="1"/>
  <c r="M125" i="7"/>
  <c r="E124" i="7"/>
  <c r="C124" i="7"/>
  <c r="F124" i="7" s="1"/>
  <c r="R296" i="8" l="1"/>
  <c r="AA295" i="8"/>
  <c r="V295" i="8"/>
  <c r="Y295" i="8"/>
  <c r="X295" i="8"/>
  <c r="T295" i="8"/>
  <c r="U295" i="8"/>
  <c r="W295" i="8"/>
  <c r="Z295" i="8"/>
  <c r="AB295" i="8"/>
  <c r="R296" i="9"/>
  <c r="Z295" i="9"/>
  <c r="Y295" i="9"/>
  <c r="X295" i="9"/>
  <c r="AA295" i="9"/>
  <c r="U133" i="10"/>
  <c r="P134" i="10" s="1"/>
  <c r="Q134" i="10" s="1"/>
  <c r="S134" i="10"/>
  <c r="T134" i="10" s="1"/>
  <c r="O125" i="7"/>
  <c r="P125" i="7"/>
  <c r="D124" i="7"/>
  <c r="R297" i="8" l="1"/>
  <c r="Z296" i="8"/>
  <c r="AA296" i="8"/>
  <c r="Y296" i="8"/>
  <c r="W296" i="8"/>
  <c r="X296" i="8"/>
  <c r="T296" i="8"/>
  <c r="V296" i="8"/>
  <c r="U296" i="8"/>
  <c r="AB296" i="8"/>
  <c r="R297" i="9"/>
  <c r="Y296" i="9"/>
  <c r="Z296" i="9"/>
  <c r="X296" i="9"/>
  <c r="AA296" i="9"/>
  <c r="S135" i="10"/>
  <c r="T135" i="10" s="1"/>
  <c r="U134" i="10"/>
  <c r="P135" i="10" s="1"/>
  <c r="Q135" i="10" s="1"/>
  <c r="N125" i="7"/>
  <c r="Q125" i="7" s="1"/>
  <c r="L126" i="7" s="1"/>
  <c r="G124" i="7"/>
  <c r="B125" i="7" s="1"/>
  <c r="R298" i="8" l="1"/>
  <c r="T297" i="8"/>
  <c r="AA297" i="8"/>
  <c r="W297" i="8"/>
  <c r="Y297" i="8"/>
  <c r="Z297" i="8"/>
  <c r="X297" i="8"/>
  <c r="U297" i="8"/>
  <c r="V297" i="8"/>
  <c r="AB297" i="8"/>
  <c r="R298" i="9"/>
  <c r="Z297" i="9"/>
  <c r="Y297" i="9"/>
  <c r="X297" i="9"/>
  <c r="AA297" i="9"/>
  <c r="S136" i="10"/>
  <c r="T136" i="10" s="1"/>
  <c r="U135" i="10"/>
  <c r="P136" i="10" s="1"/>
  <c r="Q136" i="10" s="1"/>
  <c r="M126" i="7"/>
  <c r="E125" i="7"/>
  <c r="C125" i="7"/>
  <c r="F125" i="7" s="1"/>
  <c r="R299" i="8" l="1"/>
  <c r="Z298" i="8"/>
  <c r="W298" i="8"/>
  <c r="X298" i="8"/>
  <c r="T298" i="8"/>
  <c r="AA298" i="8"/>
  <c r="V298" i="8"/>
  <c r="Y298" i="8"/>
  <c r="U298" i="8"/>
  <c r="AB298" i="8"/>
  <c r="R299" i="9"/>
  <c r="Y298" i="9"/>
  <c r="Z298" i="9"/>
  <c r="X298" i="9"/>
  <c r="AA298" i="9"/>
  <c r="S137" i="10"/>
  <c r="T137" i="10" s="1"/>
  <c r="U136" i="10"/>
  <c r="P137" i="10" s="1"/>
  <c r="Q137" i="10" s="1"/>
  <c r="O126" i="7"/>
  <c r="P126" i="7"/>
  <c r="D125" i="7"/>
  <c r="R300" i="8" l="1"/>
  <c r="AA299" i="8"/>
  <c r="Z299" i="8"/>
  <c r="W299" i="8"/>
  <c r="V299" i="8"/>
  <c r="U299" i="8"/>
  <c r="X299" i="8"/>
  <c r="Y299" i="8"/>
  <c r="T299" i="8"/>
  <c r="AB299" i="8"/>
  <c r="R300" i="9"/>
  <c r="Z299" i="9"/>
  <c r="Y299" i="9"/>
  <c r="X299" i="9"/>
  <c r="AA299" i="9"/>
  <c r="S138" i="10"/>
  <c r="T138" i="10" s="1"/>
  <c r="U137" i="10"/>
  <c r="P138" i="10" s="1"/>
  <c r="Q138" i="10" s="1"/>
  <c r="N126" i="7"/>
  <c r="Q126" i="7" s="1"/>
  <c r="L127" i="7" s="1"/>
  <c r="G125" i="7"/>
  <c r="B126" i="7" s="1"/>
  <c r="R301" i="8" l="1"/>
  <c r="V300" i="8"/>
  <c r="U300" i="8"/>
  <c r="X300" i="8"/>
  <c r="AA300" i="8"/>
  <c r="T300" i="8"/>
  <c r="Z300" i="8"/>
  <c r="Y300" i="8"/>
  <c r="W300" i="8"/>
  <c r="AB300" i="8"/>
  <c r="Z300" i="9"/>
  <c r="R301" i="9"/>
  <c r="X300" i="9"/>
  <c r="Y300" i="9"/>
  <c r="AA300" i="9"/>
  <c r="S139" i="10"/>
  <c r="T139" i="10" s="1"/>
  <c r="U138" i="10"/>
  <c r="P139" i="10" s="1"/>
  <c r="Q139" i="10" s="1"/>
  <c r="M127" i="7"/>
  <c r="E126" i="7"/>
  <c r="C126" i="7"/>
  <c r="F126" i="7" s="1"/>
  <c r="R302" i="8" l="1"/>
  <c r="X301" i="8"/>
  <c r="AA301" i="8"/>
  <c r="Z301" i="8"/>
  <c r="V301" i="8"/>
  <c r="U301" i="8"/>
  <c r="T301" i="8"/>
  <c r="Y301" i="8"/>
  <c r="W301" i="8"/>
  <c r="AB301" i="8"/>
  <c r="R302" i="9"/>
  <c r="Z301" i="9"/>
  <c r="X301" i="9"/>
  <c r="Y301" i="9"/>
  <c r="AA301" i="9"/>
  <c r="S140" i="10"/>
  <c r="T140" i="10" s="1"/>
  <c r="U139" i="10"/>
  <c r="P140" i="10" s="1"/>
  <c r="Q140" i="10" s="1"/>
  <c r="O127" i="7"/>
  <c r="P127" i="7"/>
  <c r="D126" i="7"/>
  <c r="R303" i="8" l="1"/>
  <c r="W302" i="8"/>
  <c r="AA302" i="8"/>
  <c r="Z302" i="8"/>
  <c r="Y302" i="8"/>
  <c r="U302" i="8"/>
  <c r="X302" i="8"/>
  <c r="V302" i="8"/>
  <c r="T302" i="8"/>
  <c r="AB302" i="8"/>
  <c r="R303" i="9"/>
  <c r="Y302" i="9"/>
  <c r="X302" i="9"/>
  <c r="Z302" i="9"/>
  <c r="AA302" i="9"/>
  <c r="S141" i="10"/>
  <c r="T141" i="10" s="1"/>
  <c r="U140" i="10"/>
  <c r="P141" i="10" s="1"/>
  <c r="Q141" i="10" s="1"/>
  <c r="N127" i="7"/>
  <c r="Q127" i="7" s="1"/>
  <c r="L128" i="7" s="1"/>
  <c r="G126" i="7"/>
  <c r="B127" i="7" s="1"/>
  <c r="R304" i="8" l="1"/>
  <c r="V303" i="8"/>
  <c r="Y303" i="8"/>
  <c r="Z303" i="8"/>
  <c r="W303" i="8"/>
  <c r="X303" i="8"/>
  <c r="U303" i="8"/>
  <c r="T303" i="8"/>
  <c r="AA303" i="8"/>
  <c r="AB303" i="8"/>
  <c r="R304" i="9"/>
  <c r="Z303" i="9"/>
  <c r="Y303" i="9"/>
  <c r="X303" i="9"/>
  <c r="AA303" i="9"/>
  <c r="U141" i="10"/>
  <c r="P142" i="10" s="1"/>
  <c r="Q142" i="10" s="1"/>
  <c r="S142" i="10"/>
  <c r="T142" i="10" s="1"/>
  <c r="M128" i="7"/>
  <c r="E127" i="7"/>
  <c r="C127" i="7"/>
  <c r="F127" i="7" s="1"/>
  <c r="R305" i="8" l="1"/>
  <c r="Z304" i="8"/>
  <c r="AA304" i="8"/>
  <c r="Y304" i="8"/>
  <c r="X304" i="8"/>
  <c r="T304" i="8"/>
  <c r="U304" i="8"/>
  <c r="W304" i="8"/>
  <c r="V304" i="8"/>
  <c r="AB304" i="8"/>
  <c r="R305" i="9"/>
  <c r="Y304" i="9"/>
  <c r="X304" i="9"/>
  <c r="Z304" i="9"/>
  <c r="AA304" i="9"/>
  <c r="U142" i="10"/>
  <c r="P143" i="10" s="1"/>
  <c r="Q143" i="10" s="1"/>
  <c r="S143" i="10"/>
  <c r="T143" i="10" s="1"/>
  <c r="O128" i="7"/>
  <c r="P128" i="7"/>
  <c r="D127" i="7"/>
  <c r="R306" i="8" l="1"/>
  <c r="AA305" i="8"/>
  <c r="Y305" i="8"/>
  <c r="T305" i="8"/>
  <c r="X305" i="8"/>
  <c r="W305" i="8"/>
  <c r="Z305" i="8"/>
  <c r="U305" i="8"/>
  <c r="V305" i="8"/>
  <c r="AB305" i="8"/>
  <c r="R306" i="9"/>
  <c r="Z305" i="9"/>
  <c r="Y305" i="9"/>
  <c r="X305" i="9"/>
  <c r="AA305" i="9"/>
  <c r="S144" i="10"/>
  <c r="T144" i="10" s="1"/>
  <c r="U143" i="10"/>
  <c r="P144" i="10" s="1"/>
  <c r="Q144" i="10" s="1"/>
  <c r="N128" i="7"/>
  <c r="Q128" i="7" s="1"/>
  <c r="L129" i="7" s="1"/>
  <c r="G127" i="7"/>
  <c r="B128" i="7" s="1"/>
  <c r="R307" i="8" l="1"/>
  <c r="AA306" i="8"/>
  <c r="W306" i="8"/>
  <c r="Z306" i="8"/>
  <c r="Y306" i="8"/>
  <c r="T306" i="8"/>
  <c r="X306" i="8"/>
  <c r="V306" i="8"/>
  <c r="U306" i="8"/>
  <c r="AB306" i="8"/>
  <c r="R307" i="9"/>
  <c r="Z306" i="9"/>
  <c r="Y306" i="9"/>
  <c r="X306" i="9"/>
  <c r="AA306" i="9"/>
  <c r="S145" i="10"/>
  <c r="T145" i="10" s="1"/>
  <c r="U144" i="10"/>
  <c r="P145" i="10" s="1"/>
  <c r="Q145" i="10" s="1"/>
  <c r="M129" i="7"/>
  <c r="O129" i="7"/>
  <c r="E128" i="7"/>
  <c r="C128" i="7"/>
  <c r="F128" i="7" s="1"/>
  <c r="R308" i="8" l="1"/>
  <c r="AA307" i="8"/>
  <c r="X307" i="8"/>
  <c r="W307" i="8"/>
  <c r="Z307" i="8"/>
  <c r="Y307" i="8"/>
  <c r="T307" i="8"/>
  <c r="U307" i="8"/>
  <c r="V307" i="8"/>
  <c r="AB307" i="8"/>
  <c r="R308" i="9"/>
  <c r="Z307" i="9"/>
  <c r="Y307" i="9"/>
  <c r="X307" i="9"/>
  <c r="AA307" i="9"/>
  <c r="U145" i="10"/>
  <c r="P146" i="10" s="1"/>
  <c r="Q146" i="10" s="1"/>
  <c r="S146" i="10"/>
  <c r="T146" i="10" s="1"/>
  <c r="D128" i="7"/>
  <c r="R309" i="8" l="1"/>
  <c r="Z308" i="8"/>
  <c r="U308" i="8"/>
  <c r="W308" i="8"/>
  <c r="Y308" i="8"/>
  <c r="T308" i="8"/>
  <c r="X308" i="8"/>
  <c r="V308" i="8"/>
  <c r="AA308" i="8"/>
  <c r="AB308" i="8"/>
  <c r="R309" i="9"/>
  <c r="Z308" i="9"/>
  <c r="X308" i="9"/>
  <c r="Y308" i="9"/>
  <c r="AA308" i="9"/>
  <c r="S147" i="10"/>
  <c r="T147" i="10" s="1"/>
  <c r="U146" i="10"/>
  <c r="P147" i="10" s="1"/>
  <c r="Q147" i="10" s="1"/>
  <c r="P129" i="7"/>
  <c r="N129" i="7"/>
  <c r="Q129" i="7" s="1"/>
  <c r="L130" i="7" s="1"/>
  <c r="G128" i="7"/>
  <c r="B129" i="7" s="1"/>
  <c r="R310" i="8" l="1"/>
  <c r="Z309" i="8"/>
  <c r="X309" i="8"/>
  <c r="V309" i="8"/>
  <c r="U309" i="8"/>
  <c r="W309" i="8"/>
  <c r="Y309" i="8"/>
  <c r="T309" i="8"/>
  <c r="AA309" i="8"/>
  <c r="AB309" i="8"/>
  <c r="R310" i="9"/>
  <c r="Z309" i="9"/>
  <c r="X309" i="9"/>
  <c r="Y309" i="9"/>
  <c r="AA309" i="9"/>
  <c r="S148" i="10"/>
  <c r="T148" i="10" s="1"/>
  <c r="U147" i="10"/>
  <c r="P148" i="10" s="1"/>
  <c r="Q148" i="10" s="1"/>
  <c r="M130" i="7"/>
  <c r="E129" i="7"/>
  <c r="C129" i="7"/>
  <c r="F129" i="7" s="1"/>
  <c r="R311" i="8" l="1"/>
  <c r="V310" i="8"/>
  <c r="Z310" i="8"/>
  <c r="AA310" i="8"/>
  <c r="Y310" i="8"/>
  <c r="W310" i="8"/>
  <c r="U310" i="8"/>
  <c r="T310" i="8"/>
  <c r="X310" i="8"/>
  <c r="AB310" i="8"/>
  <c r="R311" i="9"/>
  <c r="Y310" i="9"/>
  <c r="Z310" i="9"/>
  <c r="X310" i="9"/>
  <c r="AA310" i="9"/>
  <c r="S149" i="10"/>
  <c r="T149" i="10" s="1"/>
  <c r="U148" i="10"/>
  <c r="P149" i="10" s="1"/>
  <c r="Q149" i="10" s="1"/>
  <c r="O130" i="7"/>
  <c r="P130" i="7"/>
  <c r="D129" i="7"/>
  <c r="R312" i="8" l="1"/>
  <c r="V311" i="8"/>
  <c r="W311" i="8"/>
  <c r="AA311" i="8"/>
  <c r="Z311" i="8"/>
  <c r="Y311" i="8"/>
  <c r="X311" i="8"/>
  <c r="U311" i="8"/>
  <c r="T311" i="8"/>
  <c r="AB311" i="8"/>
  <c r="R312" i="9"/>
  <c r="Z311" i="9"/>
  <c r="Y311" i="9"/>
  <c r="X311" i="9"/>
  <c r="AA311" i="9"/>
  <c r="U149" i="10"/>
  <c r="P150" i="10" s="1"/>
  <c r="Q150" i="10" s="1"/>
  <c r="S150" i="10"/>
  <c r="T150" i="10" s="1"/>
  <c r="N130" i="7"/>
  <c r="Q130" i="7" s="1"/>
  <c r="L131" i="7" s="1"/>
  <c r="G129" i="7"/>
  <c r="B130" i="7" s="1"/>
  <c r="R313" i="8" l="1"/>
  <c r="Z312" i="8"/>
  <c r="Y312" i="8"/>
  <c r="AA312" i="8"/>
  <c r="V312" i="8"/>
  <c r="U312" i="8"/>
  <c r="X312" i="8"/>
  <c r="T312" i="8"/>
  <c r="W312" i="8"/>
  <c r="AB312" i="8"/>
  <c r="R313" i="9"/>
  <c r="Y312" i="9"/>
  <c r="X312" i="9"/>
  <c r="Z312" i="9"/>
  <c r="AA312" i="9"/>
  <c r="U150" i="10"/>
  <c r="P151" i="10" s="1"/>
  <c r="Q151" i="10" s="1"/>
  <c r="S151" i="10"/>
  <c r="T151" i="10" s="1"/>
  <c r="M131" i="7"/>
  <c r="E130" i="7"/>
  <c r="C130" i="7"/>
  <c r="R314" i="8" l="1"/>
  <c r="AA313" i="8"/>
  <c r="Z313" i="8"/>
  <c r="Y313" i="8"/>
  <c r="T313" i="8"/>
  <c r="V313" i="8"/>
  <c r="U313" i="8"/>
  <c r="W313" i="8"/>
  <c r="X313" i="8"/>
  <c r="AB313" i="8"/>
  <c r="R314" i="9"/>
  <c r="Z313" i="9"/>
  <c r="X313" i="9"/>
  <c r="Y313" i="9"/>
  <c r="AA313" i="9"/>
  <c r="S152" i="10"/>
  <c r="T152" i="10" s="1"/>
  <c r="U151" i="10"/>
  <c r="P152" i="10" s="1"/>
  <c r="Q152" i="10" s="1"/>
  <c r="P131" i="7"/>
  <c r="N131" i="7"/>
  <c r="Q131" i="7" s="1"/>
  <c r="O131" i="7"/>
  <c r="F130" i="7"/>
  <c r="D130" i="7"/>
  <c r="R315" i="8" l="1"/>
  <c r="AA314" i="8"/>
  <c r="W314" i="8"/>
  <c r="Z314" i="8"/>
  <c r="Y314" i="8"/>
  <c r="X314" i="8"/>
  <c r="T314" i="8"/>
  <c r="V314" i="8"/>
  <c r="U314" i="8"/>
  <c r="AB314" i="8"/>
  <c r="R315" i="9"/>
  <c r="Y314" i="9"/>
  <c r="Z314" i="9"/>
  <c r="X314" i="9"/>
  <c r="AA314" i="9"/>
  <c r="S153" i="10"/>
  <c r="T153" i="10" s="1"/>
  <c r="U152" i="10"/>
  <c r="P153" i="10" s="1"/>
  <c r="Q153" i="10" s="1"/>
  <c r="M132" i="7"/>
  <c r="L132" i="7"/>
  <c r="O132" i="7" s="1"/>
  <c r="G130" i="7"/>
  <c r="B131" i="7" s="1"/>
  <c r="R316" i="8" l="1"/>
  <c r="AA315" i="8"/>
  <c r="X315" i="8"/>
  <c r="W315" i="8"/>
  <c r="V315" i="8"/>
  <c r="Y315" i="8"/>
  <c r="Z315" i="8"/>
  <c r="U315" i="8"/>
  <c r="T315" i="8"/>
  <c r="AB315" i="8"/>
  <c r="R316" i="9"/>
  <c r="Z315" i="9"/>
  <c r="Y315" i="9"/>
  <c r="X315" i="9"/>
  <c r="AA315" i="9"/>
  <c r="S154" i="10"/>
  <c r="T154" i="10" s="1"/>
  <c r="U153" i="10"/>
  <c r="E131" i="7"/>
  <c r="C131" i="7"/>
  <c r="R317" i="8" l="1"/>
  <c r="AA316" i="8"/>
  <c r="X316" i="8"/>
  <c r="U316" i="8"/>
  <c r="T316" i="8"/>
  <c r="V316" i="8"/>
  <c r="Z316" i="8"/>
  <c r="W316" i="8"/>
  <c r="Y316" i="8"/>
  <c r="AB316" i="8"/>
  <c r="R317" i="9"/>
  <c r="Z316" i="9"/>
  <c r="X316" i="9"/>
  <c r="Y316" i="9"/>
  <c r="AA316" i="9"/>
  <c r="P154" i="10"/>
  <c r="Q154" i="10" s="1"/>
  <c r="F131" i="7"/>
  <c r="D131" i="7"/>
  <c r="R318" i="8" l="1"/>
  <c r="Z317" i="8"/>
  <c r="X317" i="8"/>
  <c r="AA317" i="8"/>
  <c r="Y317" i="8"/>
  <c r="W317" i="8"/>
  <c r="U317" i="8"/>
  <c r="T317" i="8"/>
  <c r="V317" i="8"/>
  <c r="AB317" i="8"/>
  <c r="R318" i="9"/>
  <c r="Z317" i="9"/>
  <c r="Y317" i="9"/>
  <c r="X317" i="9"/>
  <c r="AA317" i="9"/>
  <c r="S155" i="10"/>
  <c r="T155" i="10" s="1"/>
  <c r="U154" i="10"/>
  <c r="P132" i="7"/>
  <c r="N132" i="7"/>
  <c r="Q132" i="7" s="1"/>
  <c r="L133" i="7" s="1"/>
  <c r="G131" i="7"/>
  <c r="B132" i="7" s="1"/>
  <c r="R319" i="8" l="1"/>
  <c r="AA318" i="8"/>
  <c r="V318" i="8"/>
  <c r="Y318" i="8"/>
  <c r="X318" i="8"/>
  <c r="W318" i="8"/>
  <c r="T318" i="8"/>
  <c r="Z318" i="8"/>
  <c r="U318" i="8"/>
  <c r="AB318" i="8"/>
  <c r="R319" i="9"/>
  <c r="Y318" i="9"/>
  <c r="X318" i="9"/>
  <c r="Z318" i="9"/>
  <c r="AA318" i="9"/>
  <c r="P155" i="10"/>
  <c r="Q155" i="10" s="1"/>
  <c r="M133" i="7"/>
  <c r="E132" i="7"/>
  <c r="C132" i="7"/>
  <c r="R320" i="8" l="1"/>
  <c r="Z319" i="8"/>
  <c r="V319" i="8"/>
  <c r="W319" i="8"/>
  <c r="AA319" i="8"/>
  <c r="Y319" i="8"/>
  <c r="X319" i="8"/>
  <c r="T319" i="8"/>
  <c r="U319" i="8"/>
  <c r="AB319" i="8"/>
  <c r="R320" i="9"/>
  <c r="Z319" i="9"/>
  <c r="Y319" i="9"/>
  <c r="X319" i="9"/>
  <c r="AA319" i="9"/>
  <c r="S156" i="10"/>
  <c r="T156" i="10" s="1"/>
  <c r="U155" i="10"/>
  <c r="P133" i="7"/>
  <c r="N133" i="7"/>
  <c r="Q133" i="7" s="1"/>
  <c r="O133" i="7"/>
  <c r="F132" i="7"/>
  <c r="D132" i="7"/>
  <c r="R321" i="8" l="1"/>
  <c r="Z320" i="8"/>
  <c r="Y320" i="8"/>
  <c r="W320" i="8"/>
  <c r="V320" i="8"/>
  <c r="AA320" i="8"/>
  <c r="X320" i="8"/>
  <c r="U320" i="8"/>
  <c r="T320" i="8"/>
  <c r="AB320" i="8"/>
  <c r="R321" i="9"/>
  <c r="Y320" i="9"/>
  <c r="Z320" i="9"/>
  <c r="X320" i="9"/>
  <c r="AA320" i="9"/>
  <c r="P156" i="10"/>
  <c r="Q156" i="10" s="1"/>
  <c r="M134" i="7"/>
  <c r="L134" i="7"/>
  <c r="O134" i="7" s="1"/>
  <c r="G132" i="7"/>
  <c r="B133" i="7" s="1"/>
  <c r="R322" i="8" l="1"/>
  <c r="T321" i="8"/>
  <c r="W321" i="8"/>
  <c r="AA321" i="8"/>
  <c r="X321" i="8"/>
  <c r="Y321" i="8"/>
  <c r="U321" i="8"/>
  <c r="V321" i="8"/>
  <c r="Z321" i="8"/>
  <c r="AB321" i="8"/>
  <c r="R322" i="9"/>
  <c r="Z321" i="9"/>
  <c r="X321" i="9"/>
  <c r="Y321" i="9"/>
  <c r="AA321" i="9"/>
  <c r="S157" i="10"/>
  <c r="T157" i="10" s="1"/>
  <c r="U156" i="10"/>
  <c r="P157" i="10" s="1"/>
  <c r="Q157" i="10" s="1"/>
  <c r="E133" i="7"/>
  <c r="C133" i="7"/>
  <c r="R323" i="8" l="1"/>
  <c r="AA322" i="8"/>
  <c r="W322" i="8"/>
  <c r="Y322" i="8"/>
  <c r="Z322" i="8"/>
  <c r="T322" i="8"/>
  <c r="U322" i="8"/>
  <c r="V322" i="8"/>
  <c r="X322" i="8"/>
  <c r="AB322" i="8"/>
  <c r="R323" i="9"/>
  <c r="Z322" i="9"/>
  <c r="Y322" i="9"/>
  <c r="X322" i="9"/>
  <c r="AA322" i="9"/>
  <c r="U157" i="10"/>
  <c r="S158" i="10"/>
  <c r="T158" i="10" s="1"/>
  <c r="P134" i="7"/>
  <c r="N134" i="7"/>
  <c r="Q134" i="7" s="1"/>
  <c r="L135" i="7" s="1"/>
  <c r="F133" i="7"/>
  <c r="D133" i="7"/>
  <c r="R324" i="8" l="1"/>
  <c r="AA323" i="8"/>
  <c r="Y323" i="8"/>
  <c r="Z323" i="8"/>
  <c r="V323" i="8"/>
  <c r="W323" i="8"/>
  <c r="U323" i="8"/>
  <c r="X323" i="8"/>
  <c r="T323" i="8"/>
  <c r="AB323" i="8"/>
  <c r="R324" i="9"/>
  <c r="Z323" i="9"/>
  <c r="Y323" i="9"/>
  <c r="X323" i="9"/>
  <c r="AA323" i="9"/>
  <c r="M135" i="7"/>
  <c r="G133" i="7"/>
  <c r="B134" i="7" s="1"/>
  <c r="R325" i="8" l="1"/>
  <c r="AA324" i="8"/>
  <c r="Z324" i="8"/>
  <c r="X324" i="8"/>
  <c r="U324" i="8"/>
  <c r="V324" i="8"/>
  <c r="W324" i="8"/>
  <c r="T324" i="8"/>
  <c r="Y324" i="8"/>
  <c r="AB324" i="8"/>
  <c r="R325" i="9"/>
  <c r="Z324" i="9"/>
  <c r="X324" i="9"/>
  <c r="Y324" i="9"/>
  <c r="AA324" i="9"/>
  <c r="P158" i="10"/>
  <c r="Q158" i="10" s="1"/>
  <c r="O135" i="7"/>
  <c r="C134" i="7"/>
  <c r="D134" i="7" s="1"/>
  <c r="E134" i="7"/>
  <c r="R326" i="8" l="1"/>
  <c r="X325" i="8"/>
  <c r="Z325" i="8"/>
  <c r="U325" i="8"/>
  <c r="Y325" i="8"/>
  <c r="V325" i="8"/>
  <c r="AA325" i="8"/>
  <c r="T325" i="8"/>
  <c r="W325" i="8"/>
  <c r="AB325" i="8"/>
  <c r="R326" i="9"/>
  <c r="Z325" i="9"/>
  <c r="X325" i="9"/>
  <c r="Y325" i="9"/>
  <c r="AA325" i="9"/>
  <c r="S159" i="10"/>
  <c r="T159" i="10" s="1"/>
  <c r="U158" i="10"/>
  <c r="F134" i="7"/>
  <c r="G134" i="7"/>
  <c r="R327" i="8" l="1"/>
  <c r="Z326" i="8"/>
  <c r="X326" i="8"/>
  <c r="T326" i="8"/>
  <c r="U326" i="8"/>
  <c r="Y326" i="8"/>
  <c r="V326" i="8"/>
  <c r="W326" i="8"/>
  <c r="AA326" i="8"/>
  <c r="AB326" i="8"/>
  <c r="R327" i="9"/>
  <c r="Y326" i="9"/>
  <c r="Z326" i="9"/>
  <c r="X326" i="9"/>
  <c r="AA326" i="9"/>
  <c r="P159" i="10"/>
  <c r="Q159" i="10" s="1"/>
  <c r="C135" i="7"/>
  <c r="F135" i="7" s="1"/>
  <c r="P135" i="7"/>
  <c r="N135" i="7"/>
  <c r="Q135" i="7" s="1"/>
  <c r="L136" i="7" s="1"/>
  <c r="B135" i="7"/>
  <c r="R328" i="8" l="1"/>
  <c r="V327" i="8"/>
  <c r="W327" i="8"/>
  <c r="X327" i="8"/>
  <c r="Z327" i="8"/>
  <c r="T327" i="8"/>
  <c r="Y327" i="8"/>
  <c r="AA327" i="8"/>
  <c r="U327" i="8"/>
  <c r="AB327" i="8"/>
  <c r="R328" i="9"/>
  <c r="Z327" i="9"/>
  <c r="Y327" i="9"/>
  <c r="X327" i="9"/>
  <c r="AA327" i="9"/>
  <c r="S160" i="10"/>
  <c r="T160" i="10" s="1"/>
  <c r="U159" i="10"/>
  <c r="M136" i="7"/>
  <c r="P136" i="7" s="1"/>
  <c r="E135" i="7"/>
  <c r="D135" i="7"/>
  <c r="R329" i="8" l="1"/>
  <c r="Z328" i="8"/>
  <c r="Y328" i="8"/>
  <c r="AA328" i="8"/>
  <c r="V328" i="8"/>
  <c r="W328" i="8"/>
  <c r="X328" i="8"/>
  <c r="T328" i="8"/>
  <c r="U328" i="8"/>
  <c r="AB328" i="8"/>
  <c r="R329" i="9"/>
  <c r="Y328" i="9"/>
  <c r="Z328" i="9"/>
  <c r="X328" i="9"/>
  <c r="AA328" i="9"/>
  <c r="P160" i="10"/>
  <c r="Q160" i="10" s="1"/>
  <c r="N136" i="7"/>
  <c r="Q136" i="7" s="1"/>
  <c r="M137" i="7" s="1"/>
  <c r="O136" i="7"/>
  <c r="G135" i="7"/>
  <c r="B136" i="7" s="1"/>
  <c r="R330" i="8" l="1"/>
  <c r="AA329" i="8"/>
  <c r="W329" i="8"/>
  <c r="Y329" i="8"/>
  <c r="T329" i="8"/>
  <c r="V329" i="8"/>
  <c r="U329" i="8"/>
  <c r="Z329" i="8"/>
  <c r="X329" i="8"/>
  <c r="AB329" i="8"/>
  <c r="R330" i="9"/>
  <c r="Z329" i="9"/>
  <c r="X329" i="9"/>
  <c r="Y329" i="9"/>
  <c r="AA329" i="9"/>
  <c r="S161" i="10"/>
  <c r="T161" i="10" s="1"/>
  <c r="U160" i="10"/>
  <c r="L137" i="7"/>
  <c r="O137" i="7" s="1"/>
  <c r="E136" i="7"/>
  <c r="C136" i="7"/>
  <c r="F136" i="7" s="1"/>
  <c r="Z330" i="8" l="1"/>
  <c r="W330" i="8"/>
  <c r="AA330" i="8"/>
  <c r="T330" i="8"/>
  <c r="Y330" i="8"/>
  <c r="U330" i="8"/>
  <c r="R331" i="8"/>
  <c r="X330" i="8"/>
  <c r="V330" i="8"/>
  <c r="AB330" i="8"/>
  <c r="R331" i="9"/>
  <c r="Y330" i="9"/>
  <c r="Z330" i="9"/>
  <c r="X330" i="9"/>
  <c r="AA330" i="9"/>
  <c r="P161" i="10"/>
  <c r="Q161" i="10" s="1"/>
  <c r="D136" i="7"/>
  <c r="AA331" i="8" l="1"/>
  <c r="Y331" i="8"/>
  <c r="W331" i="8"/>
  <c r="Z331" i="8"/>
  <c r="R332" i="8"/>
  <c r="X331" i="8"/>
  <c r="U331" i="8"/>
  <c r="T331" i="8"/>
  <c r="V331" i="8"/>
  <c r="AB331" i="8"/>
  <c r="R332" i="9"/>
  <c r="Z331" i="9"/>
  <c r="Y331" i="9"/>
  <c r="X331" i="9"/>
  <c r="AA331" i="9"/>
  <c r="S162" i="10"/>
  <c r="T162" i="10" s="1"/>
  <c r="U161" i="10"/>
  <c r="P137" i="7"/>
  <c r="N137" i="7"/>
  <c r="Q137" i="7" s="1"/>
  <c r="L138" i="7" s="1"/>
  <c r="G136" i="7"/>
  <c r="B137" i="7" s="1"/>
  <c r="AA332" i="8" l="1"/>
  <c r="Y332" i="8"/>
  <c r="U332" i="8"/>
  <c r="R333" i="8"/>
  <c r="X332" i="8"/>
  <c r="Z332" i="8"/>
  <c r="W332" i="8"/>
  <c r="T332" i="8"/>
  <c r="V332" i="8"/>
  <c r="AB332" i="8"/>
  <c r="R333" i="9"/>
  <c r="Z332" i="9"/>
  <c r="X332" i="9"/>
  <c r="Y332" i="9"/>
  <c r="AA332" i="9"/>
  <c r="P162" i="10"/>
  <c r="Q162" i="10" s="1"/>
  <c r="M138" i="7"/>
  <c r="E137" i="7"/>
  <c r="C137" i="7"/>
  <c r="F137" i="7" s="1"/>
  <c r="AA333" i="8" l="1"/>
  <c r="X333" i="8"/>
  <c r="Y333" i="8"/>
  <c r="U333" i="8"/>
  <c r="R334" i="8"/>
  <c r="Z333" i="8"/>
  <c r="W333" i="8"/>
  <c r="V333" i="8"/>
  <c r="T333" i="8"/>
  <c r="AB333" i="8"/>
  <c r="R334" i="9"/>
  <c r="Z333" i="9"/>
  <c r="X333" i="9"/>
  <c r="Y333" i="9"/>
  <c r="AA333" i="9"/>
  <c r="S163" i="10"/>
  <c r="T163" i="10" s="1"/>
  <c r="U162" i="10"/>
  <c r="O138" i="7"/>
  <c r="P138" i="7"/>
  <c r="D137" i="7"/>
  <c r="AA334" i="8" l="1"/>
  <c r="V334" i="8"/>
  <c r="U334" i="8"/>
  <c r="X334" i="8"/>
  <c r="T334" i="8"/>
  <c r="Y334" i="8"/>
  <c r="Z334" i="8"/>
  <c r="W334" i="8"/>
  <c r="R335" i="8"/>
  <c r="AB334" i="8"/>
  <c r="R335" i="9"/>
  <c r="Y334" i="9"/>
  <c r="Z334" i="9"/>
  <c r="X334" i="9"/>
  <c r="AA334" i="9"/>
  <c r="P163" i="10"/>
  <c r="Q163" i="10" s="1"/>
  <c r="N138" i="7"/>
  <c r="Q138" i="7" s="1"/>
  <c r="L139" i="7" s="1"/>
  <c r="G137" i="7"/>
  <c r="B138" i="7" s="1"/>
  <c r="Z335" i="8" l="1"/>
  <c r="V335" i="8"/>
  <c r="X335" i="8"/>
  <c r="AA335" i="8"/>
  <c r="W335" i="8"/>
  <c r="R336" i="8"/>
  <c r="U335" i="8"/>
  <c r="T335" i="8"/>
  <c r="Y335" i="8"/>
  <c r="AB335" i="8"/>
  <c r="R336" i="9"/>
  <c r="Z335" i="9"/>
  <c r="Y335" i="9"/>
  <c r="X335" i="9"/>
  <c r="AA335" i="9"/>
  <c r="S164" i="10"/>
  <c r="T164" i="10" s="1"/>
  <c r="U163" i="10"/>
  <c r="M139" i="7"/>
  <c r="C138" i="7"/>
  <c r="F138" i="7" s="1"/>
  <c r="E138" i="7"/>
  <c r="Z336" i="8" l="1"/>
  <c r="Y336" i="8"/>
  <c r="X336" i="8"/>
  <c r="AA336" i="8"/>
  <c r="T336" i="8"/>
  <c r="W336" i="8"/>
  <c r="V336" i="8"/>
  <c r="R337" i="8"/>
  <c r="U336" i="8"/>
  <c r="AB336" i="8"/>
  <c r="R337" i="9"/>
  <c r="Y336" i="9"/>
  <c r="Z336" i="9"/>
  <c r="X336" i="9"/>
  <c r="AA336" i="9"/>
  <c r="P164" i="10"/>
  <c r="Q164" i="10" s="1"/>
  <c r="O139" i="7"/>
  <c r="P139" i="7"/>
  <c r="D138" i="7"/>
  <c r="Z337" i="8" l="1"/>
  <c r="W337" i="8"/>
  <c r="V337" i="8"/>
  <c r="T337" i="8"/>
  <c r="X337" i="8"/>
  <c r="R338" i="8"/>
  <c r="AA337" i="8"/>
  <c r="Y337" i="8"/>
  <c r="U337" i="8"/>
  <c r="AB337" i="8"/>
  <c r="R338" i="9"/>
  <c r="Z337" i="9"/>
  <c r="Y337" i="9"/>
  <c r="X337" i="9"/>
  <c r="AA337" i="9"/>
  <c r="S165" i="10"/>
  <c r="T165" i="10" s="1"/>
  <c r="U164" i="10"/>
  <c r="N139" i="7"/>
  <c r="Q139" i="7" s="1"/>
  <c r="L140" i="7" s="1"/>
  <c r="G138" i="7"/>
  <c r="C139" i="7" s="1"/>
  <c r="F139" i="7" s="1"/>
  <c r="R339" i="8" l="1"/>
  <c r="W338" i="8"/>
  <c r="Z338" i="8"/>
  <c r="X338" i="8"/>
  <c r="V338" i="8"/>
  <c r="T338" i="8"/>
  <c r="Y338" i="8"/>
  <c r="U338" i="8"/>
  <c r="AA338" i="8"/>
  <c r="AB338" i="8"/>
  <c r="Z338" i="9"/>
  <c r="R339" i="9"/>
  <c r="Y338" i="9"/>
  <c r="X338" i="9"/>
  <c r="AA338" i="9"/>
  <c r="P165" i="10"/>
  <c r="Q165" i="10" s="1"/>
  <c r="M140" i="7"/>
  <c r="P140" i="7" s="1"/>
  <c r="B139" i="7"/>
  <c r="E139" i="7" s="1"/>
  <c r="R340" i="8" l="1"/>
  <c r="AA339" i="8"/>
  <c r="W339" i="8"/>
  <c r="Z339" i="8"/>
  <c r="X339" i="8"/>
  <c r="T339" i="8"/>
  <c r="V339" i="8"/>
  <c r="Y339" i="8"/>
  <c r="U339" i="8"/>
  <c r="AB339" i="8"/>
  <c r="R340" i="9"/>
  <c r="Z339" i="9"/>
  <c r="Y339" i="9"/>
  <c r="X339" i="9"/>
  <c r="AA339" i="9"/>
  <c r="U165" i="10"/>
  <c r="S166" i="10"/>
  <c r="T166" i="10" s="1"/>
  <c r="D139" i="7"/>
  <c r="G139" i="7" s="1"/>
  <c r="C140" i="7" s="1"/>
  <c r="F140" i="7" s="1"/>
  <c r="N140" i="7"/>
  <c r="Q140" i="7" s="1"/>
  <c r="O140" i="7"/>
  <c r="R341" i="8" l="1"/>
  <c r="Z340" i="8"/>
  <c r="Y340" i="8"/>
  <c r="U340" i="8"/>
  <c r="W340" i="8"/>
  <c r="AA340" i="8"/>
  <c r="T340" i="8"/>
  <c r="X340" i="8"/>
  <c r="V340" i="8"/>
  <c r="AB340" i="8"/>
  <c r="R341" i="9"/>
  <c r="Z340" i="9"/>
  <c r="X340" i="9"/>
  <c r="Y340" i="9"/>
  <c r="AA340" i="9"/>
  <c r="P166" i="10"/>
  <c r="Q166" i="10" s="1"/>
  <c r="B140" i="7"/>
  <c r="D140" i="7" s="1"/>
  <c r="M141" i="7"/>
  <c r="P141" i="7" s="1"/>
  <c r="L141" i="7"/>
  <c r="R342" i="8" l="1"/>
  <c r="AA341" i="8"/>
  <c r="X341" i="8"/>
  <c r="Y341" i="8"/>
  <c r="Z341" i="8"/>
  <c r="U341" i="8"/>
  <c r="W341" i="8"/>
  <c r="T341" i="8"/>
  <c r="V341" i="8"/>
  <c r="AB341" i="8"/>
  <c r="R342" i="9"/>
  <c r="Z341" i="9"/>
  <c r="Y341" i="9"/>
  <c r="X341" i="9"/>
  <c r="AA341" i="9"/>
  <c r="U166" i="10"/>
  <c r="S167" i="10"/>
  <c r="T167" i="10" s="1"/>
  <c r="N141" i="7"/>
  <c r="Q141" i="7" s="1"/>
  <c r="M142" i="7" s="1"/>
  <c r="O141" i="7"/>
  <c r="E140" i="7"/>
  <c r="G140" i="7"/>
  <c r="R343" i="8" l="1"/>
  <c r="AA342" i="8"/>
  <c r="Y342" i="8"/>
  <c r="Z342" i="8"/>
  <c r="W342" i="8"/>
  <c r="V342" i="8"/>
  <c r="T342" i="8"/>
  <c r="U342" i="8"/>
  <c r="X342" i="8"/>
  <c r="AB342" i="8"/>
  <c r="R343" i="9"/>
  <c r="Z342" i="9"/>
  <c r="X342" i="9"/>
  <c r="Y342" i="9"/>
  <c r="AA342" i="9"/>
  <c r="P167" i="10"/>
  <c r="Q167" i="10" s="1"/>
  <c r="L142" i="7"/>
  <c r="O142" i="7" s="1"/>
  <c r="B141" i="7"/>
  <c r="E141" i="7" s="1"/>
  <c r="C141" i="7"/>
  <c r="R344" i="8" l="1"/>
  <c r="AA343" i="8"/>
  <c r="V343" i="8"/>
  <c r="Y343" i="8"/>
  <c r="Z343" i="8"/>
  <c r="U343" i="8"/>
  <c r="X343" i="8"/>
  <c r="W343" i="8"/>
  <c r="T343" i="8"/>
  <c r="AB343" i="8"/>
  <c r="R344" i="9"/>
  <c r="Z343" i="9"/>
  <c r="Y343" i="9"/>
  <c r="X343" i="9"/>
  <c r="AA343" i="9"/>
  <c r="S168" i="10"/>
  <c r="T168" i="10" s="1"/>
  <c r="U167" i="10"/>
  <c r="F141" i="7"/>
  <c r="D141" i="7"/>
  <c r="R345" i="8" l="1"/>
  <c r="Z344" i="8"/>
  <c r="Y344" i="8"/>
  <c r="AA344" i="8"/>
  <c r="X344" i="8"/>
  <c r="U344" i="8"/>
  <c r="V344" i="8"/>
  <c r="T344" i="8"/>
  <c r="W344" i="8"/>
  <c r="AB344" i="8"/>
  <c r="R345" i="9"/>
  <c r="Y344" i="9"/>
  <c r="X344" i="9"/>
  <c r="Z344" i="9"/>
  <c r="AA344" i="9"/>
  <c r="P168" i="10"/>
  <c r="Q168" i="10" s="1"/>
  <c r="P142" i="7"/>
  <c r="N142" i="7"/>
  <c r="Q142" i="7" s="1"/>
  <c r="L143" i="7" s="1"/>
  <c r="G141" i="7"/>
  <c r="B142" i="7" s="1"/>
  <c r="R346" i="8" l="1"/>
  <c r="Z345" i="8"/>
  <c r="AA345" i="8"/>
  <c r="T345" i="8"/>
  <c r="Y345" i="8"/>
  <c r="U345" i="8"/>
  <c r="W345" i="8"/>
  <c r="V345" i="8"/>
  <c r="X345" i="8"/>
  <c r="AB345" i="8"/>
  <c r="R346" i="9"/>
  <c r="Z345" i="9"/>
  <c r="Y345" i="9"/>
  <c r="X345" i="9"/>
  <c r="AA345" i="9"/>
  <c r="S169" i="10"/>
  <c r="T169" i="10" s="1"/>
  <c r="U168" i="10"/>
  <c r="M143" i="7"/>
  <c r="E142" i="7"/>
  <c r="C142" i="7"/>
  <c r="R347" i="8" l="1"/>
  <c r="W346" i="8"/>
  <c r="X346" i="8"/>
  <c r="V346" i="8"/>
  <c r="T346" i="8"/>
  <c r="Y346" i="8"/>
  <c r="AA346" i="8"/>
  <c r="U346" i="8"/>
  <c r="Z346" i="8"/>
  <c r="AB346" i="8"/>
  <c r="R347" i="9"/>
  <c r="Y346" i="9"/>
  <c r="Z346" i="9"/>
  <c r="X346" i="9"/>
  <c r="AA346" i="9"/>
  <c r="P169" i="10"/>
  <c r="Q169" i="10" s="1"/>
  <c r="P143" i="7"/>
  <c r="N143" i="7"/>
  <c r="Q143" i="7" s="1"/>
  <c r="O143" i="7"/>
  <c r="F142" i="7"/>
  <c r="D142" i="7"/>
  <c r="R348" i="8" l="1"/>
  <c r="AA347" i="8"/>
  <c r="X347" i="8"/>
  <c r="V347" i="8"/>
  <c r="Y347" i="8"/>
  <c r="U347" i="8"/>
  <c r="T347" i="8"/>
  <c r="Z347" i="8"/>
  <c r="W347" i="8"/>
  <c r="AB347" i="8"/>
  <c r="R348" i="9"/>
  <c r="Z347" i="9"/>
  <c r="Y347" i="9"/>
  <c r="X347" i="9"/>
  <c r="AA347" i="9"/>
  <c r="U169" i="10"/>
  <c r="S170" i="10"/>
  <c r="T170" i="10" s="1"/>
  <c r="M144" i="7"/>
  <c r="L144" i="7"/>
  <c r="O144" i="7" s="1"/>
  <c r="G142" i="7"/>
  <c r="B143" i="7" s="1"/>
  <c r="R349" i="8" l="1"/>
  <c r="Z348" i="8"/>
  <c r="W348" i="8"/>
  <c r="U348" i="8"/>
  <c r="X348" i="8"/>
  <c r="V348" i="8"/>
  <c r="T348" i="8"/>
  <c r="AA348" i="8"/>
  <c r="Y348" i="8"/>
  <c r="AB348" i="8"/>
  <c r="R349" i="9"/>
  <c r="Z348" i="9"/>
  <c r="X348" i="9"/>
  <c r="Y348" i="9"/>
  <c r="AA348" i="9"/>
  <c r="P170" i="10"/>
  <c r="Q170" i="10" s="1"/>
  <c r="C143" i="7"/>
  <c r="E143" i="7"/>
  <c r="R350" i="8" l="1"/>
  <c r="X349" i="8"/>
  <c r="Y349" i="8"/>
  <c r="Z349" i="8"/>
  <c r="AA349" i="8"/>
  <c r="W349" i="8"/>
  <c r="U349" i="8"/>
  <c r="T349" i="8"/>
  <c r="V349" i="8"/>
  <c r="AB349" i="8"/>
  <c r="R350" i="9"/>
  <c r="Z349" i="9"/>
  <c r="X349" i="9"/>
  <c r="Y349" i="9"/>
  <c r="AA349" i="9"/>
  <c r="S171" i="10"/>
  <c r="T171" i="10" s="1"/>
  <c r="U170" i="10"/>
  <c r="F143" i="7"/>
  <c r="D143" i="7"/>
  <c r="R351" i="8" l="1"/>
  <c r="AA350" i="8"/>
  <c r="Z350" i="8"/>
  <c r="Y350" i="8"/>
  <c r="W350" i="8"/>
  <c r="V350" i="8"/>
  <c r="T350" i="8"/>
  <c r="X350" i="8"/>
  <c r="U350" i="8"/>
  <c r="AB350" i="8"/>
  <c r="R351" i="9"/>
  <c r="Y350" i="9"/>
  <c r="X350" i="9"/>
  <c r="Z350" i="9"/>
  <c r="AA350" i="9"/>
  <c r="P171" i="10"/>
  <c r="Q171" i="10" s="1"/>
  <c r="P144" i="7"/>
  <c r="N144" i="7"/>
  <c r="Q144" i="7" s="1"/>
  <c r="L145" i="7" s="1"/>
  <c r="G143" i="7"/>
  <c r="C144" i="7" s="1"/>
  <c r="F144" i="7" s="1"/>
  <c r="R352" i="8" l="1"/>
  <c r="AA351" i="8"/>
  <c r="V351" i="8"/>
  <c r="W351" i="8"/>
  <c r="X351" i="8"/>
  <c r="Y351" i="8"/>
  <c r="Z351" i="8"/>
  <c r="U351" i="8"/>
  <c r="T351" i="8"/>
  <c r="AB351" i="8"/>
  <c r="R352" i="9"/>
  <c r="Z351" i="9"/>
  <c r="Y351" i="9"/>
  <c r="X351" i="9"/>
  <c r="AA351" i="9"/>
  <c r="U171" i="10"/>
  <c r="S172" i="10"/>
  <c r="T172" i="10" s="1"/>
  <c r="M145" i="7"/>
  <c r="P145" i="7" s="1"/>
  <c r="B144" i="7"/>
  <c r="R353" i="8" l="1"/>
  <c r="Z352" i="8"/>
  <c r="Y352" i="8"/>
  <c r="AA352" i="8"/>
  <c r="X352" i="8"/>
  <c r="T352" i="8"/>
  <c r="V352" i="8"/>
  <c r="W352" i="8"/>
  <c r="U352" i="8"/>
  <c r="AB352" i="8"/>
  <c r="R353" i="9"/>
  <c r="Y352" i="9"/>
  <c r="X352" i="9"/>
  <c r="Z352" i="9"/>
  <c r="AA352" i="9"/>
  <c r="P172" i="10"/>
  <c r="Q172" i="10" s="1"/>
  <c r="O145" i="7"/>
  <c r="N145" i="7"/>
  <c r="Q145" i="7" s="1"/>
  <c r="M146" i="7" s="1"/>
  <c r="D144" i="7"/>
  <c r="E144" i="7"/>
  <c r="R354" i="8" l="1"/>
  <c r="X353" i="8"/>
  <c r="T353" i="8"/>
  <c r="AA353" i="8"/>
  <c r="Z353" i="8"/>
  <c r="W353" i="8"/>
  <c r="U353" i="8"/>
  <c r="V353" i="8"/>
  <c r="Y353" i="8"/>
  <c r="AB353" i="8"/>
  <c r="R354" i="9"/>
  <c r="Z353" i="9"/>
  <c r="X353" i="9"/>
  <c r="Y353" i="9"/>
  <c r="AA353" i="9"/>
  <c r="S173" i="10"/>
  <c r="T173" i="10" s="1"/>
  <c r="U172" i="10"/>
  <c r="L146" i="7"/>
  <c r="G144" i="7"/>
  <c r="R355" i="8" l="1"/>
  <c r="Z354" i="8"/>
  <c r="AA354" i="8"/>
  <c r="W354" i="8"/>
  <c r="Y354" i="8"/>
  <c r="T354" i="8"/>
  <c r="U354" i="8"/>
  <c r="X354" i="8"/>
  <c r="V354" i="8"/>
  <c r="AB354" i="8"/>
  <c r="R355" i="9"/>
  <c r="Z354" i="9"/>
  <c r="Y354" i="9"/>
  <c r="X354" i="9"/>
  <c r="AA354" i="9"/>
  <c r="P173" i="10"/>
  <c r="Q173" i="10" s="1"/>
  <c r="O146" i="7"/>
  <c r="C145" i="7"/>
  <c r="B145" i="7"/>
  <c r="R356" i="8" l="1"/>
  <c r="AA355" i="8"/>
  <c r="Z355" i="8"/>
  <c r="V355" i="8"/>
  <c r="Y355" i="8"/>
  <c r="W355" i="8"/>
  <c r="U355" i="8"/>
  <c r="X355" i="8"/>
  <c r="T355" i="8"/>
  <c r="AB355" i="8"/>
  <c r="R356" i="9"/>
  <c r="Z355" i="9"/>
  <c r="Y355" i="9"/>
  <c r="X355" i="9"/>
  <c r="AA355" i="9"/>
  <c r="U173" i="10"/>
  <c r="S174" i="10"/>
  <c r="T174" i="10" s="1"/>
  <c r="F145" i="7"/>
  <c r="D145" i="7"/>
  <c r="G145" i="7" s="1"/>
  <c r="E145" i="7"/>
  <c r="R357" i="8" l="1"/>
  <c r="X356" i="8"/>
  <c r="U356" i="8"/>
  <c r="Z356" i="8"/>
  <c r="V356" i="8"/>
  <c r="Y356" i="8"/>
  <c r="W356" i="8"/>
  <c r="T356" i="8"/>
  <c r="AA356" i="8"/>
  <c r="AB356" i="8"/>
  <c r="R357" i="9"/>
  <c r="Z356" i="9"/>
  <c r="X356" i="9"/>
  <c r="Y356" i="9"/>
  <c r="AA356" i="9"/>
  <c r="P174" i="10"/>
  <c r="Q174" i="10" s="1"/>
  <c r="C146" i="7"/>
  <c r="F146" i="7" s="1"/>
  <c r="P146" i="7"/>
  <c r="N146" i="7"/>
  <c r="Q146" i="7" s="1"/>
  <c r="L147" i="7" s="1"/>
  <c r="B146" i="7"/>
  <c r="E146" i="7" s="1"/>
  <c r="R358" i="8" l="1"/>
  <c r="X357" i="8"/>
  <c r="AA357" i="8"/>
  <c r="W357" i="8"/>
  <c r="U357" i="8"/>
  <c r="Z357" i="8"/>
  <c r="T357" i="8"/>
  <c r="Y357" i="8"/>
  <c r="V357" i="8"/>
  <c r="AB357" i="8"/>
  <c r="R358" i="9"/>
  <c r="Z357" i="9"/>
  <c r="Y357" i="9"/>
  <c r="X357" i="9"/>
  <c r="AA357" i="9"/>
  <c r="U174" i="10"/>
  <c r="S175" i="10"/>
  <c r="T175" i="10" s="1"/>
  <c r="M147" i="7"/>
  <c r="P147" i="7" s="1"/>
  <c r="D146" i="7"/>
  <c r="G146" i="7" s="1"/>
  <c r="B147" i="7" s="1"/>
  <c r="R359" i="8" l="1"/>
  <c r="Y358" i="8"/>
  <c r="AA358" i="8"/>
  <c r="X358" i="8"/>
  <c r="T358" i="8"/>
  <c r="U358" i="8"/>
  <c r="Z358" i="8"/>
  <c r="V358" i="8"/>
  <c r="W358" i="8"/>
  <c r="AB358" i="8"/>
  <c r="R359" i="9"/>
  <c r="Z358" i="9"/>
  <c r="Y358" i="9"/>
  <c r="X358" i="9"/>
  <c r="AA358" i="9"/>
  <c r="P175" i="10"/>
  <c r="Q175" i="10" s="1"/>
  <c r="N147" i="7"/>
  <c r="Q147" i="7" s="1"/>
  <c r="M148" i="7" s="1"/>
  <c r="O147" i="7"/>
  <c r="E147" i="7"/>
  <c r="C147" i="7"/>
  <c r="R360" i="8" l="1"/>
  <c r="AA359" i="8"/>
  <c r="V359" i="8"/>
  <c r="Z359" i="8"/>
  <c r="Y359" i="8"/>
  <c r="W359" i="8"/>
  <c r="X359" i="8"/>
  <c r="T359" i="8"/>
  <c r="U359" i="8"/>
  <c r="AB359" i="8"/>
  <c r="R360" i="9"/>
  <c r="Z359" i="9"/>
  <c r="Y359" i="9"/>
  <c r="X359" i="9"/>
  <c r="AA359" i="9"/>
  <c r="S176" i="10"/>
  <c r="T176" i="10" s="1"/>
  <c r="U175" i="10"/>
  <c r="L148" i="7"/>
  <c r="O148" i="7" s="1"/>
  <c r="P148" i="7"/>
  <c r="F147" i="7"/>
  <c r="D147" i="7"/>
  <c r="R361" i="8" l="1"/>
  <c r="Z360" i="8"/>
  <c r="AA360" i="8"/>
  <c r="Y360" i="8"/>
  <c r="W360" i="8"/>
  <c r="V360" i="8"/>
  <c r="T360" i="8"/>
  <c r="X360" i="8"/>
  <c r="U360" i="8"/>
  <c r="AB360" i="8"/>
  <c r="R361" i="9"/>
  <c r="Y360" i="9"/>
  <c r="Z360" i="9"/>
  <c r="X360" i="9"/>
  <c r="AA360" i="9"/>
  <c r="P176" i="10"/>
  <c r="Q176" i="10" s="1"/>
  <c r="N148" i="7"/>
  <c r="Q148" i="7" s="1"/>
  <c r="L149" i="7" s="1"/>
  <c r="G147" i="7"/>
  <c r="B148" i="7" s="1"/>
  <c r="R362" i="8" l="1"/>
  <c r="Z361" i="8"/>
  <c r="T361" i="8"/>
  <c r="W361" i="8"/>
  <c r="V361" i="8"/>
  <c r="U361" i="8"/>
  <c r="AA361" i="8"/>
  <c r="X361" i="8"/>
  <c r="Y361" i="8"/>
  <c r="AB361" i="8"/>
  <c r="R362" i="9"/>
  <c r="Z361" i="9"/>
  <c r="Y361" i="9"/>
  <c r="X361" i="9"/>
  <c r="AA361" i="9"/>
  <c r="S177" i="10"/>
  <c r="T177" i="10" s="1"/>
  <c r="U176" i="10"/>
  <c r="P177" i="10" s="1"/>
  <c r="Q177" i="10" s="1"/>
  <c r="M149" i="7"/>
  <c r="E148" i="7"/>
  <c r="C148" i="7"/>
  <c r="F148" i="7" s="1"/>
  <c r="R363" i="8" l="1"/>
  <c r="W362" i="8"/>
  <c r="X362" i="8"/>
  <c r="Z362" i="8"/>
  <c r="T362" i="8"/>
  <c r="V362" i="8"/>
  <c r="U362" i="8"/>
  <c r="AA362" i="8"/>
  <c r="Y362" i="8"/>
  <c r="AB362" i="8"/>
  <c r="R363" i="9"/>
  <c r="Y362" i="9"/>
  <c r="Z362" i="9"/>
  <c r="X362" i="9"/>
  <c r="AA362" i="9"/>
  <c r="U177" i="10"/>
  <c r="S178" i="10"/>
  <c r="T178" i="10" s="1"/>
  <c r="O149" i="7"/>
  <c r="P149" i="7"/>
  <c r="D148" i="7"/>
  <c r="R364" i="8" l="1"/>
  <c r="AA363" i="8"/>
  <c r="Z363" i="8"/>
  <c r="Y363" i="8"/>
  <c r="W363" i="8"/>
  <c r="V363" i="8"/>
  <c r="X363" i="8"/>
  <c r="T363" i="8"/>
  <c r="U363" i="8"/>
  <c r="AB363" i="8"/>
  <c r="R364" i="9"/>
  <c r="Z363" i="9"/>
  <c r="Y363" i="9"/>
  <c r="X363" i="9"/>
  <c r="AA363" i="9"/>
  <c r="N149" i="7"/>
  <c r="Q149" i="7" s="1"/>
  <c r="L150" i="7" s="1"/>
  <c r="G148" i="7"/>
  <c r="B149" i="7" s="1"/>
  <c r="R365" i="8" l="1"/>
  <c r="V364" i="8"/>
  <c r="U364" i="8"/>
  <c r="Z364" i="8"/>
  <c r="Y364" i="8"/>
  <c r="AA364" i="8"/>
  <c r="X364" i="8"/>
  <c r="W364" i="8"/>
  <c r="T364" i="8"/>
  <c r="AB364" i="8"/>
  <c r="R365" i="9"/>
  <c r="Z364" i="9"/>
  <c r="X364" i="9"/>
  <c r="Y364" i="9"/>
  <c r="AA364" i="9"/>
  <c r="P178" i="10"/>
  <c r="Q178" i="10" s="1"/>
  <c r="M150" i="7"/>
  <c r="E149" i="7"/>
  <c r="C149" i="7"/>
  <c r="F149" i="7" s="1"/>
  <c r="R366" i="8" l="1"/>
  <c r="X365" i="8"/>
  <c r="Y365" i="8"/>
  <c r="U365" i="8"/>
  <c r="V365" i="8"/>
  <c r="W365" i="8"/>
  <c r="Z365" i="8"/>
  <c r="AA365" i="8"/>
  <c r="T365" i="8"/>
  <c r="AB365" i="8"/>
  <c r="Z365" i="9"/>
  <c r="R366" i="9"/>
  <c r="X365" i="9"/>
  <c r="Y365" i="9"/>
  <c r="AA365" i="9"/>
  <c r="S179" i="10"/>
  <c r="T179" i="10" s="1"/>
  <c r="U178" i="10"/>
  <c r="O150" i="7"/>
  <c r="P150" i="7"/>
  <c r="D149" i="7"/>
  <c r="R367" i="8" l="1"/>
  <c r="AA366" i="8"/>
  <c r="W366" i="8"/>
  <c r="Y366" i="8"/>
  <c r="X366" i="8"/>
  <c r="U366" i="8"/>
  <c r="V366" i="8"/>
  <c r="T366" i="8"/>
  <c r="Z366" i="8"/>
  <c r="AB366" i="8"/>
  <c r="R367" i="9"/>
  <c r="X366" i="9"/>
  <c r="Z366" i="9"/>
  <c r="Y366" i="9"/>
  <c r="AA366" i="9"/>
  <c r="P179" i="10"/>
  <c r="Q179" i="10" s="1"/>
  <c r="N150" i="7"/>
  <c r="Q150" i="7" s="1"/>
  <c r="L151" i="7" s="1"/>
  <c r="G149" i="7"/>
  <c r="B150" i="7" s="1"/>
  <c r="R368" i="8" l="1"/>
  <c r="V367" i="8"/>
  <c r="Y367" i="8"/>
  <c r="AA367" i="8"/>
  <c r="X367" i="8"/>
  <c r="U367" i="8"/>
  <c r="T367" i="8"/>
  <c r="W367" i="8"/>
  <c r="Z367" i="8"/>
  <c r="AB367" i="8"/>
  <c r="R368" i="9"/>
  <c r="Z367" i="9"/>
  <c r="Y367" i="9"/>
  <c r="X367" i="9"/>
  <c r="AA367" i="9"/>
  <c r="S180" i="10"/>
  <c r="T180" i="10" s="1"/>
  <c r="U179" i="10"/>
  <c r="M151" i="7"/>
  <c r="E150" i="7"/>
  <c r="C150" i="7"/>
  <c r="F150" i="7" s="1"/>
  <c r="R369" i="8" l="1"/>
  <c r="Z368" i="8"/>
  <c r="AA368" i="8"/>
  <c r="Y368" i="8"/>
  <c r="X368" i="8"/>
  <c r="W368" i="8"/>
  <c r="T368" i="8"/>
  <c r="U368" i="8"/>
  <c r="V368" i="8"/>
  <c r="AB368" i="8"/>
  <c r="R369" i="9"/>
  <c r="Y368" i="9"/>
  <c r="Z368" i="9"/>
  <c r="X368" i="9"/>
  <c r="AA368" i="9"/>
  <c r="P180" i="10"/>
  <c r="Q180" i="10" s="1"/>
  <c r="O151" i="7"/>
  <c r="P151" i="7"/>
  <c r="D150" i="7"/>
  <c r="R370" i="8" l="1"/>
  <c r="AA369" i="8"/>
  <c r="Y369" i="8"/>
  <c r="Z369" i="8"/>
  <c r="W369" i="8"/>
  <c r="T369" i="8"/>
  <c r="X369" i="8"/>
  <c r="U369" i="8"/>
  <c r="V369" i="8"/>
  <c r="AB369" i="8"/>
  <c r="R370" i="9"/>
  <c r="Z369" i="9"/>
  <c r="X369" i="9"/>
  <c r="Y369" i="9"/>
  <c r="AA369" i="9"/>
  <c r="S181" i="10"/>
  <c r="T181" i="10" s="1"/>
  <c r="U180" i="10"/>
  <c r="N151" i="7"/>
  <c r="Q151" i="7" s="1"/>
  <c r="L152" i="7" s="1"/>
  <c r="G150" i="7"/>
  <c r="B151" i="7" s="1"/>
  <c r="R371" i="8" l="1"/>
  <c r="W370" i="8"/>
  <c r="AA370" i="8"/>
  <c r="T370" i="8"/>
  <c r="Z370" i="8"/>
  <c r="Y370" i="8"/>
  <c r="X370" i="8"/>
  <c r="U370" i="8"/>
  <c r="V370" i="8"/>
  <c r="AB370" i="8"/>
  <c r="R371" i="9"/>
  <c r="Z370" i="9"/>
  <c r="Y370" i="9"/>
  <c r="X370" i="9"/>
  <c r="AA370" i="9"/>
  <c r="P181" i="10"/>
  <c r="Q181" i="10" s="1"/>
  <c r="M152" i="7"/>
  <c r="E151" i="7"/>
  <c r="C151" i="7"/>
  <c r="F151" i="7" s="1"/>
  <c r="R372" i="8" l="1"/>
  <c r="AA371" i="8"/>
  <c r="Z371" i="8"/>
  <c r="X371" i="8"/>
  <c r="W371" i="8"/>
  <c r="V371" i="8"/>
  <c r="Y371" i="8"/>
  <c r="T371" i="8"/>
  <c r="U371" i="8"/>
  <c r="AB371" i="8"/>
  <c r="R372" i="9"/>
  <c r="Z371" i="9"/>
  <c r="Y371" i="9"/>
  <c r="X371" i="9"/>
  <c r="AA371" i="9"/>
  <c r="U181" i="10"/>
  <c r="S182" i="10"/>
  <c r="T182" i="10" s="1"/>
  <c r="O152" i="7"/>
  <c r="P152" i="7"/>
  <c r="D151" i="7"/>
  <c r="R373" i="8" l="1"/>
  <c r="Z372" i="8"/>
  <c r="AA372" i="8"/>
  <c r="U372" i="8"/>
  <c r="W372" i="8"/>
  <c r="X372" i="8"/>
  <c r="V372" i="8"/>
  <c r="T372" i="8"/>
  <c r="Y372" i="8"/>
  <c r="AB372" i="8"/>
  <c r="R373" i="9"/>
  <c r="Z372" i="9"/>
  <c r="X372" i="9"/>
  <c r="Y372" i="9"/>
  <c r="AA372" i="9"/>
  <c r="P182" i="10"/>
  <c r="Q182" i="10" s="1"/>
  <c r="N152" i="7"/>
  <c r="Q152" i="7" s="1"/>
  <c r="L153" i="7" s="1"/>
  <c r="G151" i="7"/>
  <c r="B152" i="7" s="1"/>
  <c r="R374" i="8" l="1"/>
  <c r="X373" i="8"/>
  <c r="Z373" i="8"/>
  <c r="AA373" i="8"/>
  <c r="V373" i="8"/>
  <c r="U373" i="8"/>
  <c r="W373" i="8"/>
  <c r="Y373" i="8"/>
  <c r="T373" i="8"/>
  <c r="AB373" i="8"/>
  <c r="R374" i="9"/>
  <c r="Z373" i="9"/>
  <c r="Y373" i="9"/>
  <c r="X373" i="9"/>
  <c r="AA373" i="9"/>
  <c r="U182" i="10"/>
  <c r="S183" i="10"/>
  <c r="T183" i="10" s="1"/>
  <c r="M153" i="7"/>
  <c r="E152" i="7"/>
  <c r="C152" i="7"/>
  <c r="F152" i="7" s="1"/>
  <c r="Z374" i="8" l="1"/>
  <c r="V374" i="8"/>
  <c r="AA374" i="8"/>
  <c r="W374" i="8"/>
  <c r="Y374" i="8"/>
  <c r="U374" i="8"/>
  <c r="T374" i="8"/>
  <c r="X374" i="8"/>
  <c r="R375" i="8"/>
  <c r="AB374" i="8"/>
  <c r="X374" i="9"/>
  <c r="Z374" i="9"/>
  <c r="Y374" i="9"/>
  <c r="R375" i="9"/>
  <c r="AA374" i="9"/>
  <c r="P183" i="10"/>
  <c r="Q183" i="10" s="1"/>
  <c r="O153" i="7"/>
  <c r="P153" i="7"/>
  <c r="D152" i="7"/>
  <c r="R376" i="8" l="1"/>
  <c r="V375" i="8"/>
  <c r="W375" i="8"/>
  <c r="Z375" i="8"/>
  <c r="AA375" i="8"/>
  <c r="Y375" i="8"/>
  <c r="T375" i="8"/>
  <c r="X375" i="8"/>
  <c r="U375" i="8"/>
  <c r="AB375" i="8"/>
  <c r="R376" i="9"/>
  <c r="Y375" i="9"/>
  <c r="Z375" i="9"/>
  <c r="X375" i="9"/>
  <c r="AA375" i="9"/>
  <c r="S184" i="10"/>
  <c r="T184" i="10" s="1"/>
  <c r="U183" i="10"/>
  <c r="N153" i="7"/>
  <c r="Q153" i="7" s="1"/>
  <c r="L154" i="7" s="1"/>
  <c r="G152" i="7"/>
  <c r="B153" i="7" s="1"/>
  <c r="R377" i="8" l="1"/>
  <c r="Z376" i="8"/>
  <c r="Y376" i="8"/>
  <c r="U376" i="8"/>
  <c r="V376" i="8"/>
  <c r="AA376" i="8"/>
  <c r="X376" i="8"/>
  <c r="W376" i="8"/>
  <c r="T376" i="8"/>
  <c r="AB376" i="8"/>
  <c r="R377" i="9"/>
  <c r="Y376" i="9"/>
  <c r="Z376" i="9"/>
  <c r="X376" i="9"/>
  <c r="AA376" i="9"/>
  <c r="P184" i="10"/>
  <c r="Q184" i="10" s="1"/>
  <c r="M154" i="7"/>
  <c r="E153" i="7"/>
  <c r="C153" i="7"/>
  <c r="D153" i="7" s="1"/>
  <c r="R378" i="8" l="1"/>
  <c r="AA377" i="8"/>
  <c r="Y377" i="8"/>
  <c r="X377" i="8"/>
  <c r="T377" i="8"/>
  <c r="U377" i="8"/>
  <c r="V377" i="8"/>
  <c r="W377" i="8"/>
  <c r="Z377" i="8"/>
  <c r="AB377" i="8"/>
  <c r="R378" i="9"/>
  <c r="Y377" i="9"/>
  <c r="Z377" i="9"/>
  <c r="X377" i="9"/>
  <c r="AA377" i="9"/>
  <c r="S185" i="10"/>
  <c r="T185" i="10" s="1"/>
  <c r="U184" i="10"/>
  <c r="O154" i="7"/>
  <c r="P154" i="7"/>
  <c r="G153" i="7"/>
  <c r="B154" i="7" s="1"/>
  <c r="F153" i="7"/>
  <c r="R379" i="8" l="1"/>
  <c r="AA378" i="8"/>
  <c r="W378" i="8"/>
  <c r="Y378" i="8"/>
  <c r="X378" i="8"/>
  <c r="T378" i="8"/>
  <c r="U378" i="8"/>
  <c r="Z378" i="8"/>
  <c r="V378" i="8"/>
  <c r="AB378" i="8"/>
  <c r="R379" i="9"/>
  <c r="Y378" i="9"/>
  <c r="Z378" i="9"/>
  <c r="X378" i="9"/>
  <c r="AA378" i="9"/>
  <c r="P185" i="10"/>
  <c r="Q185" i="10" s="1"/>
  <c r="C154" i="7"/>
  <c r="F154" i="7" s="1"/>
  <c r="N154" i="7"/>
  <c r="Q154" i="7" s="1"/>
  <c r="E154" i="7"/>
  <c r="R380" i="8" l="1"/>
  <c r="AA379" i="8"/>
  <c r="Y379" i="8"/>
  <c r="X379" i="8"/>
  <c r="Z379" i="8"/>
  <c r="U379" i="8"/>
  <c r="T379" i="8"/>
  <c r="W379" i="8"/>
  <c r="V379" i="8"/>
  <c r="AB379" i="8"/>
  <c r="R380" i="9"/>
  <c r="Z379" i="9"/>
  <c r="Y379" i="9"/>
  <c r="X379" i="9"/>
  <c r="AA379" i="9"/>
  <c r="S186" i="10"/>
  <c r="T186" i="10" s="1"/>
  <c r="U185" i="10"/>
  <c r="D154" i="7"/>
  <c r="G154" i="7" s="1"/>
  <c r="B155" i="7" s="1"/>
  <c r="L155" i="7"/>
  <c r="M155" i="7"/>
  <c r="P155" i="7" s="1"/>
  <c r="R381" i="8" l="1"/>
  <c r="AA380" i="8"/>
  <c r="X380" i="8"/>
  <c r="W380" i="8"/>
  <c r="U380" i="8"/>
  <c r="Y380" i="8"/>
  <c r="T380" i="8"/>
  <c r="Z380" i="8"/>
  <c r="V380" i="8"/>
  <c r="AB380" i="8"/>
  <c r="R381" i="9"/>
  <c r="Z380" i="9"/>
  <c r="X380" i="9"/>
  <c r="Y380" i="9"/>
  <c r="AA380" i="9"/>
  <c r="P186" i="10"/>
  <c r="Q186" i="10" s="1"/>
  <c r="N155" i="7"/>
  <c r="Q155" i="7" s="1"/>
  <c r="M156" i="7" s="1"/>
  <c r="O155" i="7"/>
  <c r="E155" i="7"/>
  <c r="C155" i="7"/>
  <c r="F155" i="7" s="1"/>
  <c r="R382" i="8" l="1"/>
  <c r="Z381" i="8"/>
  <c r="X381" i="8"/>
  <c r="U381" i="8"/>
  <c r="Y381" i="8"/>
  <c r="W381" i="8"/>
  <c r="T381" i="8"/>
  <c r="AA381" i="8"/>
  <c r="V381" i="8"/>
  <c r="AB381" i="8"/>
  <c r="R382" i="9"/>
  <c r="Z381" i="9"/>
  <c r="X381" i="9"/>
  <c r="Y381" i="9"/>
  <c r="AA381" i="9"/>
  <c r="S187" i="10"/>
  <c r="T187" i="10" s="1"/>
  <c r="U186" i="10"/>
  <c r="L156" i="7"/>
  <c r="O156" i="7" s="1"/>
  <c r="P156" i="7"/>
  <c r="D155" i="7"/>
  <c r="R383" i="8" l="1"/>
  <c r="Z382" i="8"/>
  <c r="V382" i="8"/>
  <c r="W382" i="8"/>
  <c r="T382" i="8"/>
  <c r="Y382" i="8"/>
  <c r="U382" i="8"/>
  <c r="X382" i="8"/>
  <c r="AA382" i="8"/>
  <c r="AB382" i="8"/>
  <c r="R383" i="9"/>
  <c r="Z382" i="9"/>
  <c r="X382" i="9"/>
  <c r="Y382" i="9"/>
  <c r="AA382" i="9"/>
  <c r="P187" i="10"/>
  <c r="Q187" i="10" s="1"/>
  <c r="N156" i="7"/>
  <c r="Q156" i="7" s="1"/>
  <c r="M157" i="7" s="1"/>
  <c r="G155" i="7"/>
  <c r="B156" i="7" s="1"/>
  <c r="R384" i="8" l="1"/>
  <c r="V383" i="8"/>
  <c r="Y383" i="8"/>
  <c r="Z383" i="8"/>
  <c r="AA383" i="8"/>
  <c r="T383" i="8"/>
  <c r="X383" i="8"/>
  <c r="U383" i="8"/>
  <c r="W383" i="8"/>
  <c r="AB383" i="8"/>
  <c r="R384" i="9"/>
  <c r="Y383" i="9"/>
  <c r="Z383" i="9"/>
  <c r="X383" i="9"/>
  <c r="AA383" i="9"/>
  <c r="S188" i="10"/>
  <c r="T188" i="10" s="1"/>
  <c r="U187" i="10"/>
  <c r="L157" i="7"/>
  <c r="E156" i="7"/>
  <c r="C156" i="7"/>
  <c r="F156" i="7" s="1"/>
  <c r="R385" i="8" l="1"/>
  <c r="Z384" i="8"/>
  <c r="Y384" i="8"/>
  <c r="AA384" i="8"/>
  <c r="W384" i="8"/>
  <c r="V384" i="8"/>
  <c r="X384" i="8"/>
  <c r="U384" i="8"/>
  <c r="T384" i="8"/>
  <c r="AB384" i="8"/>
  <c r="R385" i="9"/>
  <c r="Y384" i="9"/>
  <c r="X384" i="9"/>
  <c r="Z384" i="9"/>
  <c r="AA384" i="9"/>
  <c r="P188" i="10"/>
  <c r="Q188" i="10" s="1"/>
  <c r="O157" i="7"/>
  <c r="P157" i="7"/>
  <c r="D156" i="7"/>
  <c r="R386" i="8" l="1"/>
  <c r="Z385" i="8"/>
  <c r="AA385" i="8"/>
  <c r="T385" i="8"/>
  <c r="V385" i="8"/>
  <c r="Y385" i="8"/>
  <c r="X385" i="8"/>
  <c r="W385" i="8"/>
  <c r="U385" i="8"/>
  <c r="AB385" i="8"/>
  <c r="R386" i="9"/>
  <c r="Z385" i="9"/>
  <c r="X385" i="9"/>
  <c r="Y385" i="9"/>
  <c r="AA385" i="9"/>
  <c r="S189" i="10"/>
  <c r="T189" i="10" s="1"/>
  <c r="U188" i="10"/>
  <c r="N157" i="7"/>
  <c r="Q157" i="7" s="1"/>
  <c r="M158" i="7" s="1"/>
  <c r="G156" i="7"/>
  <c r="B157" i="7" s="1"/>
  <c r="R387" i="8" l="1"/>
  <c r="AA386" i="8"/>
  <c r="W386" i="8"/>
  <c r="Y386" i="8"/>
  <c r="Z386" i="8"/>
  <c r="T386" i="8"/>
  <c r="U386" i="8"/>
  <c r="X386" i="8"/>
  <c r="V386" i="8"/>
  <c r="AB386" i="8"/>
  <c r="R387" i="9"/>
  <c r="Y386" i="9"/>
  <c r="Z386" i="9"/>
  <c r="X386" i="9"/>
  <c r="AA386" i="9"/>
  <c r="P189" i="10"/>
  <c r="Q189" i="10" s="1"/>
  <c r="L158" i="7"/>
  <c r="C157" i="7"/>
  <c r="F157" i="7" s="1"/>
  <c r="E157" i="7"/>
  <c r="R388" i="8" l="1"/>
  <c r="AA387" i="8"/>
  <c r="Y387" i="8"/>
  <c r="Z387" i="8"/>
  <c r="X387" i="8"/>
  <c r="W387" i="8"/>
  <c r="U387" i="8"/>
  <c r="V387" i="8"/>
  <c r="T387" i="8"/>
  <c r="AB387" i="8"/>
  <c r="R388" i="9"/>
  <c r="Z387" i="9"/>
  <c r="Y387" i="9"/>
  <c r="X387" i="9"/>
  <c r="AA387" i="9"/>
  <c r="U189" i="10"/>
  <c r="P190" i="10" s="1"/>
  <c r="Q190" i="10" s="1"/>
  <c r="S190" i="10"/>
  <c r="T190" i="10" s="1"/>
  <c r="O158" i="7"/>
  <c r="P158" i="7"/>
  <c r="D157" i="7"/>
  <c r="R389" i="8" l="1"/>
  <c r="AA388" i="8"/>
  <c r="U388" i="8"/>
  <c r="X388" i="8"/>
  <c r="Z388" i="8"/>
  <c r="Y388" i="8"/>
  <c r="W388" i="8"/>
  <c r="T388" i="8"/>
  <c r="V388" i="8"/>
  <c r="AB388" i="8"/>
  <c r="R389" i="9"/>
  <c r="Z388" i="9"/>
  <c r="X388" i="9"/>
  <c r="Y388" i="9"/>
  <c r="AA388" i="9"/>
  <c r="U190" i="10"/>
  <c r="S191" i="10"/>
  <c r="T191" i="10" s="1"/>
  <c r="N158" i="7"/>
  <c r="Q158" i="7" s="1"/>
  <c r="M159" i="7" s="1"/>
  <c r="G157" i="7"/>
  <c r="C158" i="7" s="1"/>
  <c r="F158" i="7" s="1"/>
  <c r="R390" i="8" l="1"/>
  <c r="X389" i="8"/>
  <c r="AA389" i="8"/>
  <c r="U389" i="8"/>
  <c r="Z389" i="8"/>
  <c r="W389" i="8"/>
  <c r="T389" i="8"/>
  <c r="Y389" i="8"/>
  <c r="V389" i="8"/>
  <c r="AB389" i="8"/>
  <c r="R390" i="9"/>
  <c r="Y389" i="9"/>
  <c r="X389" i="9"/>
  <c r="Z389" i="9"/>
  <c r="AA389" i="9"/>
  <c r="L159" i="7"/>
  <c r="B158" i="7"/>
  <c r="E158" i="7" s="1"/>
  <c r="P159" i="7"/>
  <c r="R391" i="8" l="1"/>
  <c r="Z390" i="8"/>
  <c r="X390" i="8"/>
  <c r="Y390" i="8"/>
  <c r="W390" i="8"/>
  <c r="AA390" i="8"/>
  <c r="T390" i="8"/>
  <c r="U390" i="8"/>
  <c r="V390" i="8"/>
  <c r="AB390" i="8"/>
  <c r="R391" i="9"/>
  <c r="Y390" i="9"/>
  <c r="Z390" i="9"/>
  <c r="X390" i="9"/>
  <c r="AA390" i="9"/>
  <c r="P191" i="10"/>
  <c r="Q191" i="10" s="1"/>
  <c r="D158" i="7"/>
  <c r="G158" i="7" s="1"/>
  <c r="B159" i="7" s="1"/>
  <c r="E159" i="7" s="1"/>
  <c r="N159" i="7"/>
  <c r="Q159" i="7" s="1"/>
  <c r="M160" i="7" s="1"/>
  <c r="O159" i="7"/>
  <c r="R392" i="8" l="1"/>
  <c r="AA391" i="8"/>
  <c r="V391" i="8"/>
  <c r="Y391" i="8"/>
  <c r="W391" i="8"/>
  <c r="X391" i="8"/>
  <c r="T391" i="8"/>
  <c r="U391" i="8"/>
  <c r="Z391" i="8"/>
  <c r="AB391" i="8"/>
  <c r="R392" i="9"/>
  <c r="Z391" i="9"/>
  <c r="Y391" i="9"/>
  <c r="X391" i="9"/>
  <c r="AA391" i="9"/>
  <c r="S192" i="10"/>
  <c r="T192" i="10" s="1"/>
  <c r="U191" i="10"/>
  <c r="C159" i="7"/>
  <c r="F159" i="7" s="1"/>
  <c r="L160" i="7"/>
  <c r="O160" i="7" s="1"/>
  <c r="P160" i="7"/>
  <c r="R393" i="8" l="1"/>
  <c r="Z392" i="8"/>
  <c r="Y392" i="8"/>
  <c r="V392" i="8"/>
  <c r="W392" i="8"/>
  <c r="AA392" i="8"/>
  <c r="T392" i="8"/>
  <c r="X392" i="8"/>
  <c r="U392" i="8"/>
  <c r="AB392" i="8"/>
  <c r="R393" i="9"/>
  <c r="Z392" i="9"/>
  <c r="Y392" i="9"/>
  <c r="X392" i="9"/>
  <c r="AA392" i="9"/>
  <c r="P192" i="10"/>
  <c r="Q192" i="10" s="1"/>
  <c r="D159" i="7"/>
  <c r="G159" i="7" s="1"/>
  <c r="B160" i="7" s="1"/>
  <c r="N160" i="7"/>
  <c r="Q160" i="7" s="1"/>
  <c r="M161" i="7" s="1"/>
  <c r="R394" i="8" l="1"/>
  <c r="Z393" i="8"/>
  <c r="W393" i="8"/>
  <c r="T393" i="8"/>
  <c r="Y393" i="8"/>
  <c r="V393" i="8"/>
  <c r="U393" i="8"/>
  <c r="AA393" i="8"/>
  <c r="X393" i="8"/>
  <c r="AB393" i="8"/>
  <c r="R394" i="9"/>
  <c r="Z393" i="9"/>
  <c r="Y393" i="9"/>
  <c r="X393" i="9"/>
  <c r="AA393" i="9"/>
  <c r="S193" i="10"/>
  <c r="T193" i="10" s="1"/>
  <c r="U192" i="10"/>
  <c r="L161" i="7"/>
  <c r="E160" i="7"/>
  <c r="C160" i="7"/>
  <c r="P161" i="7" s="1"/>
  <c r="R395" i="8" l="1"/>
  <c r="W394" i="8"/>
  <c r="T394" i="8"/>
  <c r="U394" i="8"/>
  <c r="X394" i="8"/>
  <c r="V394" i="8"/>
  <c r="Z394" i="8"/>
  <c r="AA394" i="8"/>
  <c r="Y394" i="8"/>
  <c r="AB394" i="8"/>
  <c r="R395" i="9"/>
  <c r="Y394" i="9"/>
  <c r="Z394" i="9"/>
  <c r="X394" i="9"/>
  <c r="AA394" i="9"/>
  <c r="P193" i="10"/>
  <c r="Q193" i="10" s="1"/>
  <c r="N161" i="7"/>
  <c r="Q161" i="7" s="1"/>
  <c r="M162" i="7" s="1"/>
  <c r="O161" i="7"/>
  <c r="F160" i="7"/>
  <c r="D160" i="7"/>
  <c r="R396" i="8" l="1"/>
  <c r="AA395" i="8"/>
  <c r="Y395" i="8"/>
  <c r="V395" i="8"/>
  <c r="Z395" i="8"/>
  <c r="T395" i="8"/>
  <c r="U395" i="8"/>
  <c r="X395" i="8"/>
  <c r="W395" i="8"/>
  <c r="AB395" i="8"/>
  <c r="R396" i="9"/>
  <c r="Z395" i="9"/>
  <c r="Y395" i="9"/>
  <c r="X395" i="9"/>
  <c r="AA395" i="9"/>
  <c r="S194" i="10"/>
  <c r="T194" i="10" s="1"/>
  <c r="U193" i="10"/>
  <c r="L162" i="7"/>
  <c r="O162" i="7" s="1"/>
  <c r="G160" i="7"/>
  <c r="B161" i="7" s="1"/>
  <c r="R397" i="8" l="1"/>
  <c r="AA396" i="8"/>
  <c r="Z396" i="8"/>
  <c r="Y396" i="8"/>
  <c r="U396" i="8"/>
  <c r="V396" i="8"/>
  <c r="T396" i="8"/>
  <c r="W396" i="8"/>
  <c r="X396" i="8"/>
  <c r="AB396" i="8"/>
  <c r="R397" i="9"/>
  <c r="Z396" i="9"/>
  <c r="X396" i="9"/>
  <c r="Y396" i="9"/>
  <c r="AA396" i="9"/>
  <c r="P194" i="10"/>
  <c r="Q194" i="10" s="1"/>
  <c r="E161" i="7"/>
  <c r="C161" i="7"/>
  <c r="R398" i="8" l="1"/>
  <c r="AA397" i="8"/>
  <c r="X397" i="8"/>
  <c r="Z397" i="8"/>
  <c r="U397" i="8"/>
  <c r="V397" i="8"/>
  <c r="Y397" i="8"/>
  <c r="W397" i="8"/>
  <c r="T397" i="8"/>
  <c r="AB397" i="8"/>
  <c r="R398" i="9"/>
  <c r="Z397" i="9"/>
  <c r="X397" i="9"/>
  <c r="Y397" i="9"/>
  <c r="AA397" i="9"/>
  <c r="S195" i="10"/>
  <c r="T195" i="10" s="1"/>
  <c r="U194" i="10"/>
  <c r="F161" i="7"/>
  <c r="D161" i="7"/>
  <c r="R399" i="8" l="1"/>
  <c r="X398" i="8"/>
  <c r="U398" i="8"/>
  <c r="V398" i="8"/>
  <c r="Z398" i="8"/>
  <c r="W398" i="8"/>
  <c r="Y398" i="8"/>
  <c r="AA398" i="8"/>
  <c r="T398" i="8"/>
  <c r="AB398" i="8"/>
  <c r="R399" i="9"/>
  <c r="Z398" i="9"/>
  <c r="Y398" i="9"/>
  <c r="X398" i="9"/>
  <c r="AA398" i="9"/>
  <c r="P195" i="10"/>
  <c r="Q195" i="10" s="1"/>
  <c r="P162" i="7"/>
  <c r="N162" i="7"/>
  <c r="Q162" i="7" s="1"/>
  <c r="L163" i="7" s="1"/>
  <c r="G161" i="7"/>
  <c r="B162" i="7" s="1"/>
  <c r="R400" i="8" l="1"/>
  <c r="Z399" i="8"/>
  <c r="AA399" i="8"/>
  <c r="X399" i="8"/>
  <c r="V399" i="8"/>
  <c r="U399" i="8"/>
  <c r="Y399" i="8"/>
  <c r="T399" i="8"/>
  <c r="W399" i="8"/>
  <c r="AB399" i="8"/>
  <c r="R400" i="9"/>
  <c r="Y399" i="9"/>
  <c r="X399" i="9"/>
  <c r="Z399" i="9"/>
  <c r="AA399" i="9"/>
  <c r="U195" i="10"/>
  <c r="S196" i="10"/>
  <c r="T196" i="10" s="1"/>
  <c r="M163" i="7"/>
  <c r="E162" i="7"/>
  <c r="C162" i="7"/>
  <c r="F162" i="7" s="1"/>
  <c r="R401" i="8" l="1"/>
  <c r="Z400" i="8"/>
  <c r="Y400" i="8"/>
  <c r="AA400" i="8"/>
  <c r="W400" i="8"/>
  <c r="X400" i="8"/>
  <c r="V400" i="8"/>
  <c r="T400" i="8"/>
  <c r="U400" i="8"/>
  <c r="AB400" i="8"/>
  <c r="R401" i="9"/>
  <c r="Y400" i="9"/>
  <c r="Z400" i="9"/>
  <c r="X400" i="9"/>
  <c r="AA400" i="9"/>
  <c r="P196" i="10"/>
  <c r="Q196" i="10" s="1"/>
  <c r="O163" i="7"/>
  <c r="P163" i="7"/>
  <c r="D162" i="7"/>
  <c r="R402" i="8" l="1"/>
  <c r="T401" i="8"/>
  <c r="X401" i="8"/>
  <c r="W401" i="8"/>
  <c r="AA401" i="8"/>
  <c r="Y401" i="8"/>
  <c r="V401" i="8"/>
  <c r="U401" i="8"/>
  <c r="Z401" i="8"/>
  <c r="AB401" i="8"/>
  <c r="R402" i="9"/>
  <c r="Z401" i="9"/>
  <c r="Y401" i="9"/>
  <c r="X401" i="9"/>
  <c r="AA401" i="9"/>
  <c r="U196" i="10"/>
  <c r="S197" i="10"/>
  <c r="T197" i="10" s="1"/>
  <c r="N163" i="7"/>
  <c r="Q163" i="7" s="1"/>
  <c r="M164" i="7" s="1"/>
  <c r="G162" i="7"/>
  <c r="B163" i="7" s="1"/>
  <c r="R403" i="8" l="1"/>
  <c r="AA402" i="8"/>
  <c r="W402" i="8"/>
  <c r="Z402" i="8"/>
  <c r="Y402" i="8"/>
  <c r="T402" i="8"/>
  <c r="X402" i="8"/>
  <c r="V402" i="8"/>
  <c r="U402" i="8"/>
  <c r="AB402" i="8"/>
  <c r="R403" i="9"/>
  <c r="Z402" i="9"/>
  <c r="Y402" i="9"/>
  <c r="X402" i="9"/>
  <c r="AA402" i="9"/>
  <c r="P197" i="10"/>
  <c r="Q197" i="10" s="1"/>
  <c r="L164" i="7"/>
  <c r="E163" i="7"/>
  <c r="C163" i="7"/>
  <c r="F163" i="7" s="1"/>
  <c r="R404" i="8" l="1"/>
  <c r="AA403" i="8"/>
  <c r="Z403" i="8"/>
  <c r="W403" i="8"/>
  <c r="Y403" i="8"/>
  <c r="T403" i="8"/>
  <c r="X403" i="8"/>
  <c r="U403" i="8"/>
  <c r="V403" i="8"/>
  <c r="AB403" i="8"/>
  <c r="R404" i="9"/>
  <c r="Z403" i="9"/>
  <c r="Y403" i="9"/>
  <c r="X403" i="9"/>
  <c r="AA403" i="9"/>
  <c r="U197" i="10"/>
  <c r="S198" i="10"/>
  <c r="T198" i="10" s="1"/>
  <c r="O164" i="7"/>
  <c r="P164" i="7"/>
  <c r="D163" i="7"/>
  <c r="R405" i="8" l="1"/>
  <c r="Y404" i="8"/>
  <c r="U404" i="8"/>
  <c r="Z404" i="8"/>
  <c r="W404" i="8"/>
  <c r="AA404" i="8"/>
  <c r="X404" i="8"/>
  <c r="T404" i="8"/>
  <c r="V404" i="8"/>
  <c r="AB404" i="8"/>
  <c r="R405" i="9"/>
  <c r="Z404" i="9"/>
  <c r="X404" i="9"/>
  <c r="Y404" i="9"/>
  <c r="AA404" i="9"/>
  <c r="P198" i="10"/>
  <c r="Q198" i="10" s="1"/>
  <c r="N164" i="7"/>
  <c r="Q164" i="7" s="1"/>
  <c r="L165" i="7" s="1"/>
  <c r="G163" i="7"/>
  <c r="B164" i="7" s="1"/>
  <c r="U198" i="10" l="1"/>
  <c r="S199" i="10"/>
  <c r="T199" i="10" s="1"/>
  <c r="R406" i="8"/>
  <c r="AA405" i="8"/>
  <c r="X405" i="8"/>
  <c r="Y405" i="8"/>
  <c r="U405" i="8"/>
  <c r="Z405" i="8"/>
  <c r="W405" i="8"/>
  <c r="V405" i="8"/>
  <c r="T405" i="8"/>
  <c r="AB405" i="8"/>
  <c r="R406" i="9"/>
  <c r="Z405" i="9"/>
  <c r="Y405" i="9"/>
  <c r="X405" i="9"/>
  <c r="AA405" i="9"/>
  <c r="M165" i="7"/>
  <c r="E164" i="7"/>
  <c r="C164" i="7"/>
  <c r="F164" i="7" s="1"/>
  <c r="R407" i="8" l="1"/>
  <c r="AA406" i="8"/>
  <c r="Y406" i="8"/>
  <c r="Z406" i="8"/>
  <c r="W406" i="8"/>
  <c r="V406" i="8"/>
  <c r="X406" i="8"/>
  <c r="U406" i="8"/>
  <c r="T406" i="8"/>
  <c r="AB406" i="8"/>
  <c r="R407" i="9"/>
  <c r="X406" i="9"/>
  <c r="Z406" i="9"/>
  <c r="Y406" i="9"/>
  <c r="AA406" i="9"/>
  <c r="P199" i="10"/>
  <c r="Q199" i="10" s="1"/>
  <c r="O165" i="7"/>
  <c r="P165" i="7"/>
  <c r="D164" i="7"/>
  <c r="U199" i="10" l="1"/>
  <c r="S200" i="10"/>
  <c r="T200" i="10" s="1"/>
  <c r="R408" i="8"/>
  <c r="Z407" i="8"/>
  <c r="AA407" i="8"/>
  <c r="V407" i="8"/>
  <c r="W407" i="8"/>
  <c r="Y407" i="8"/>
  <c r="X407" i="8"/>
  <c r="U407" i="8"/>
  <c r="T407" i="8"/>
  <c r="AB407" i="8"/>
  <c r="R408" i="9"/>
  <c r="Y407" i="9"/>
  <c r="Z407" i="9"/>
  <c r="X407" i="9"/>
  <c r="AA407" i="9"/>
  <c r="N165" i="7"/>
  <c r="Q165" i="7" s="1"/>
  <c r="L166" i="7" s="1"/>
  <c r="G164" i="7"/>
  <c r="B165" i="7" s="1"/>
  <c r="R409" i="8" l="1"/>
  <c r="Z408" i="8"/>
  <c r="Y408" i="8"/>
  <c r="X408" i="8"/>
  <c r="AA408" i="8"/>
  <c r="V408" i="8"/>
  <c r="U408" i="8"/>
  <c r="T408" i="8"/>
  <c r="W408" i="8"/>
  <c r="AB408" i="8"/>
  <c r="R409" i="9"/>
  <c r="Y408" i="9"/>
  <c r="Z408" i="9"/>
  <c r="X408" i="9"/>
  <c r="AA408" i="9"/>
  <c r="P200" i="10"/>
  <c r="Q200" i="10" s="1"/>
  <c r="M166" i="7"/>
  <c r="C165" i="7"/>
  <c r="D165" i="7" s="1"/>
  <c r="E165" i="7"/>
  <c r="S201" i="10" l="1"/>
  <c r="T201" i="10" s="1"/>
  <c r="U200" i="10"/>
  <c r="R410" i="8"/>
  <c r="Z409" i="8"/>
  <c r="X409" i="8"/>
  <c r="T409" i="8"/>
  <c r="AA409" i="8"/>
  <c r="Y409" i="8"/>
  <c r="U409" i="8"/>
  <c r="V409" i="8"/>
  <c r="W409" i="8"/>
  <c r="AB409" i="8"/>
  <c r="R410" i="9"/>
  <c r="Z409" i="9"/>
  <c r="X409" i="9"/>
  <c r="Y409" i="9"/>
  <c r="AA409" i="9"/>
  <c r="O166" i="7"/>
  <c r="P166" i="7"/>
  <c r="G165" i="7"/>
  <c r="B166" i="7" s="1"/>
  <c r="F165" i="7"/>
  <c r="R411" i="8" l="1"/>
  <c r="W410" i="8"/>
  <c r="Z410" i="8"/>
  <c r="X410" i="8"/>
  <c r="T410" i="8"/>
  <c r="AA410" i="8"/>
  <c r="U410" i="8"/>
  <c r="Y410" i="8"/>
  <c r="V410" i="8"/>
  <c r="AB410" i="8"/>
  <c r="R411" i="9"/>
  <c r="Y410" i="9"/>
  <c r="X410" i="9"/>
  <c r="Z410" i="9"/>
  <c r="AA410" i="9"/>
  <c r="P201" i="10"/>
  <c r="Q201" i="10" s="1"/>
  <c r="N166" i="7"/>
  <c r="Q166" i="7" s="1"/>
  <c r="L167" i="7" s="1"/>
  <c r="C166" i="7"/>
  <c r="F166" i="7" s="1"/>
  <c r="E166" i="7"/>
  <c r="U201" i="10" l="1"/>
  <c r="S202" i="10"/>
  <c r="T202" i="10" s="1"/>
  <c r="R412" i="8"/>
  <c r="AA411" i="8"/>
  <c r="W411" i="8"/>
  <c r="X411" i="8"/>
  <c r="Z411" i="8"/>
  <c r="V411" i="8"/>
  <c r="Y411" i="8"/>
  <c r="U411" i="8"/>
  <c r="T411" i="8"/>
  <c r="AB411" i="8"/>
  <c r="R412" i="9"/>
  <c r="Z411" i="9"/>
  <c r="Y411" i="9"/>
  <c r="X411" i="9"/>
  <c r="AA411" i="9"/>
  <c r="M167" i="7"/>
  <c r="P167" i="7" s="1"/>
  <c r="O167" i="7"/>
  <c r="D166" i="7"/>
  <c r="G166" i="7" s="1"/>
  <c r="C167" i="7" s="1"/>
  <c r="F167" i="7" s="1"/>
  <c r="R413" i="8" l="1"/>
  <c r="AA412" i="8"/>
  <c r="W412" i="8"/>
  <c r="U412" i="8"/>
  <c r="T412" i="8"/>
  <c r="Z412" i="8"/>
  <c r="X412" i="8"/>
  <c r="V412" i="8"/>
  <c r="Y412" i="8"/>
  <c r="AB412" i="8"/>
  <c r="R413" i="9"/>
  <c r="Z412" i="9"/>
  <c r="X412" i="9"/>
  <c r="Y412" i="9"/>
  <c r="AA412" i="9"/>
  <c r="P202" i="10"/>
  <c r="Q202" i="10" s="1"/>
  <c r="B167" i="7"/>
  <c r="E167" i="7" s="1"/>
  <c r="N167" i="7"/>
  <c r="Q167" i="7" s="1"/>
  <c r="S203" i="10" l="1"/>
  <c r="T203" i="10" s="1"/>
  <c r="U202" i="10"/>
  <c r="R414" i="8"/>
  <c r="Z413" i="8"/>
  <c r="X413" i="8"/>
  <c r="Y413" i="8"/>
  <c r="AA413" i="8"/>
  <c r="W413" i="8"/>
  <c r="U413" i="8"/>
  <c r="T413" i="8"/>
  <c r="V413" i="8"/>
  <c r="AB413" i="8"/>
  <c r="R414" i="9"/>
  <c r="Z413" i="9"/>
  <c r="Y413" i="9"/>
  <c r="X413" i="9"/>
  <c r="AA413" i="9"/>
  <c r="D167" i="7"/>
  <c r="G167" i="7" s="1"/>
  <c r="C168" i="7" s="1"/>
  <c r="F168" i="7" s="1"/>
  <c r="M168" i="7"/>
  <c r="P168" i="7" s="1"/>
  <c r="L168" i="7"/>
  <c r="R415" i="8" l="1"/>
  <c r="AA414" i="8"/>
  <c r="Y414" i="8"/>
  <c r="W414" i="8"/>
  <c r="T414" i="8"/>
  <c r="V414" i="8"/>
  <c r="U414" i="8"/>
  <c r="Z414" i="8"/>
  <c r="X414" i="8"/>
  <c r="AB414" i="8"/>
  <c r="R415" i="9"/>
  <c r="Z414" i="9"/>
  <c r="X414" i="9"/>
  <c r="Y414" i="9"/>
  <c r="AA414" i="9"/>
  <c r="P203" i="10"/>
  <c r="Q203" i="10" s="1"/>
  <c r="N168" i="7"/>
  <c r="Q168" i="7" s="1"/>
  <c r="O168" i="7"/>
  <c r="B168" i="7"/>
  <c r="U203" i="10" l="1"/>
  <c r="S204" i="10"/>
  <c r="T204" i="10" s="1"/>
  <c r="R416" i="8"/>
  <c r="AA415" i="8"/>
  <c r="Y415" i="8"/>
  <c r="V415" i="8"/>
  <c r="W415" i="8"/>
  <c r="X415" i="8"/>
  <c r="U415" i="8"/>
  <c r="T415" i="8"/>
  <c r="Z415" i="8"/>
  <c r="AB415" i="8"/>
  <c r="R416" i="9"/>
  <c r="Y415" i="9"/>
  <c r="Z415" i="9"/>
  <c r="X415" i="9"/>
  <c r="AA415" i="9"/>
  <c r="L169" i="7"/>
  <c r="O169" i="7" s="1"/>
  <c r="M169" i="7"/>
  <c r="P169" i="7" s="1"/>
  <c r="E168" i="7"/>
  <c r="D168" i="7"/>
  <c r="R417" i="8" l="1"/>
  <c r="Z416" i="8"/>
  <c r="AA416" i="8"/>
  <c r="Y416" i="8"/>
  <c r="V416" i="8"/>
  <c r="X416" i="8"/>
  <c r="T416" i="8"/>
  <c r="W416" i="8"/>
  <c r="U416" i="8"/>
  <c r="AB416" i="8"/>
  <c r="R417" i="9"/>
  <c r="Y416" i="9"/>
  <c r="X416" i="9"/>
  <c r="Z416" i="9"/>
  <c r="AA416" i="9"/>
  <c r="P204" i="10"/>
  <c r="Q204" i="10" s="1"/>
  <c r="N169" i="7"/>
  <c r="Q169" i="7" s="1"/>
  <c r="L170" i="7" s="1"/>
  <c r="O170" i="7" s="1"/>
  <c r="G168" i="7"/>
  <c r="C169" i="7" s="1"/>
  <c r="F169" i="7" s="1"/>
  <c r="S205" i="10" l="1"/>
  <c r="T205" i="10" s="1"/>
  <c r="U204" i="10"/>
  <c r="R418" i="8"/>
  <c r="X417" i="8"/>
  <c r="Z417" i="8"/>
  <c r="T417" i="8"/>
  <c r="Y417" i="8"/>
  <c r="V417" i="8"/>
  <c r="W417" i="8"/>
  <c r="U417" i="8"/>
  <c r="AA417" i="8"/>
  <c r="AB417" i="8"/>
  <c r="R418" i="9"/>
  <c r="Z417" i="9"/>
  <c r="X417" i="9"/>
  <c r="Y417" i="9"/>
  <c r="AA417" i="9"/>
  <c r="M170" i="7"/>
  <c r="B169" i="7"/>
  <c r="R419" i="8" l="1"/>
  <c r="Z418" i="8"/>
  <c r="W418" i="8"/>
  <c r="T418" i="8"/>
  <c r="Y418" i="8"/>
  <c r="U418" i="8"/>
  <c r="X418" i="8"/>
  <c r="V418" i="8"/>
  <c r="AA418" i="8"/>
  <c r="AB418" i="8"/>
  <c r="R419" i="9"/>
  <c r="Y418" i="9"/>
  <c r="Z418" i="9"/>
  <c r="X418" i="9"/>
  <c r="AA418" i="9"/>
  <c r="P205" i="10"/>
  <c r="Q205" i="10" s="1"/>
  <c r="P170" i="7"/>
  <c r="N170" i="7"/>
  <c r="Q170" i="7" s="1"/>
  <c r="L171" i="7" s="1"/>
  <c r="D169" i="7"/>
  <c r="E169" i="7"/>
  <c r="U205" i="10" l="1"/>
  <c r="S206" i="10"/>
  <c r="T206" i="10" s="1"/>
  <c r="R420" i="8"/>
  <c r="AA419" i="8"/>
  <c r="X419" i="8"/>
  <c r="Z419" i="8"/>
  <c r="W419" i="8"/>
  <c r="U419" i="8"/>
  <c r="V419" i="8"/>
  <c r="Y419" i="8"/>
  <c r="T419" i="8"/>
  <c r="AB419" i="8"/>
  <c r="R420" i="9"/>
  <c r="Z419" i="9"/>
  <c r="Y419" i="9"/>
  <c r="X419" i="9"/>
  <c r="AA419" i="9"/>
  <c r="M171" i="7"/>
  <c r="G169" i="7"/>
  <c r="B170" i="7" s="1"/>
  <c r="R421" i="8" l="1"/>
  <c r="Z420" i="8"/>
  <c r="U420" i="8"/>
  <c r="X420" i="8"/>
  <c r="W420" i="8"/>
  <c r="T420" i="8"/>
  <c r="V420" i="8"/>
  <c r="AA420" i="8"/>
  <c r="Y420" i="8"/>
  <c r="AB420" i="8"/>
  <c r="R421" i="9"/>
  <c r="Z420" i="9"/>
  <c r="X420" i="9"/>
  <c r="Y420" i="9"/>
  <c r="AA420" i="9"/>
  <c r="P206" i="10"/>
  <c r="Q206" i="10" s="1"/>
  <c r="O171" i="7"/>
  <c r="E170" i="7"/>
  <c r="C170" i="7"/>
  <c r="U206" i="10" l="1"/>
  <c r="S207" i="10"/>
  <c r="T207" i="10" s="1"/>
  <c r="R422" i="8"/>
  <c r="X421" i="8"/>
  <c r="W421" i="8"/>
  <c r="Z421" i="8"/>
  <c r="U421" i="8"/>
  <c r="Y421" i="8"/>
  <c r="T421" i="8"/>
  <c r="V421" i="8"/>
  <c r="AA421" i="8"/>
  <c r="AB421" i="8"/>
  <c r="R422" i="9"/>
  <c r="Y421" i="9"/>
  <c r="Z421" i="9"/>
  <c r="X421" i="9"/>
  <c r="AA421" i="9"/>
  <c r="D170" i="7"/>
  <c r="G170" i="7" s="1"/>
  <c r="B171" i="7" s="1"/>
  <c r="F170" i="7"/>
  <c r="R423" i="8" l="1"/>
  <c r="Y422" i="8"/>
  <c r="AA422" i="8"/>
  <c r="W422" i="8"/>
  <c r="X422" i="8"/>
  <c r="Z422" i="8"/>
  <c r="T422" i="8"/>
  <c r="U422" i="8"/>
  <c r="V422" i="8"/>
  <c r="AB422" i="8"/>
  <c r="R423" i="9"/>
  <c r="Z422" i="9"/>
  <c r="Y422" i="9"/>
  <c r="X422" i="9"/>
  <c r="AA422" i="9"/>
  <c r="P207" i="10"/>
  <c r="Q207" i="10" s="1"/>
  <c r="P171" i="7"/>
  <c r="N171" i="7"/>
  <c r="Q171" i="7" s="1"/>
  <c r="L172" i="7" s="1"/>
  <c r="C171" i="7"/>
  <c r="F171" i="7" s="1"/>
  <c r="E171" i="7"/>
  <c r="U207" i="10" l="1"/>
  <c r="S208" i="10"/>
  <c r="T208" i="10" s="1"/>
  <c r="R424" i="8"/>
  <c r="AA423" i="8"/>
  <c r="Z423" i="8"/>
  <c r="Y423" i="8"/>
  <c r="V423" i="8"/>
  <c r="W423" i="8"/>
  <c r="T423" i="8"/>
  <c r="X423" i="8"/>
  <c r="U423" i="8"/>
  <c r="AB423" i="8"/>
  <c r="R424" i="9"/>
  <c r="Z423" i="9"/>
  <c r="Y423" i="9"/>
  <c r="X423" i="9"/>
  <c r="AA423" i="9"/>
  <c r="M172" i="7"/>
  <c r="P172" i="7" s="1"/>
  <c r="D171" i="7"/>
  <c r="G171" i="7" s="1"/>
  <c r="C172" i="7" s="1"/>
  <c r="F172" i="7" s="1"/>
  <c r="R425" i="8" l="1"/>
  <c r="Z424" i="8"/>
  <c r="AA424" i="8"/>
  <c r="Y424" i="8"/>
  <c r="V424" i="8"/>
  <c r="W424" i="8"/>
  <c r="T424" i="8"/>
  <c r="U424" i="8"/>
  <c r="X424" i="8"/>
  <c r="AB424" i="8"/>
  <c r="R425" i="9"/>
  <c r="Z424" i="9"/>
  <c r="Y424" i="9"/>
  <c r="X424" i="9"/>
  <c r="AA424" i="9"/>
  <c r="P208" i="10"/>
  <c r="Q208" i="10" s="1"/>
  <c r="N172" i="7"/>
  <c r="Q172" i="7" s="1"/>
  <c r="O172" i="7"/>
  <c r="B172" i="7"/>
  <c r="U208" i="10" l="1"/>
  <c r="S209" i="10"/>
  <c r="T209" i="10" s="1"/>
  <c r="R426" i="8"/>
  <c r="T425" i="8"/>
  <c r="AA425" i="8"/>
  <c r="Y425" i="8"/>
  <c r="W425" i="8"/>
  <c r="Z425" i="8"/>
  <c r="V425" i="8"/>
  <c r="U425" i="8"/>
  <c r="X425" i="8"/>
  <c r="AB425" i="8"/>
  <c r="R426" i="9"/>
  <c r="Z425" i="9"/>
  <c r="X425" i="9"/>
  <c r="Y425" i="9"/>
  <c r="AA425" i="9"/>
  <c r="L173" i="7"/>
  <c r="O173" i="7" s="1"/>
  <c r="M173" i="7"/>
  <c r="P173" i="7" s="1"/>
  <c r="D172" i="7"/>
  <c r="E172" i="7"/>
  <c r="R427" i="8" l="1"/>
  <c r="W426" i="8"/>
  <c r="AA426" i="8"/>
  <c r="X426" i="8"/>
  <c r="T426" i="8"/>
  <c r="Y426" i="8"/>
  <c r="V426" i="8"/>
  <c r="U426" i="8"/>
  <c r="Z426" i="8"/>
  <c r="AB426" i="8"/>
  <c r="R427" i="9"/>
  <c r="Y426" i="9"/>
  <c r="Z426" i="9"/>
  <c r="X426" i="9"/>
  <c r="AA426" i="9"/>
  <c r="P209" i="10"/>
  <c r="Q209" i="10" s="1"/>
  <c r="N173" i="7"/>
  <c r="Q173" i="7" s="1"/>
  <c r="M174" i="7" s="1"/>
  <c r="G172" i="7"/>
  <c r="B173" i="7" s="1"/>
  <c r="S210" i="10" l="1"/>
  <c r="T210" i="10" s="1"/>
  <c r="U209" i="10"/>
  <c r="R428" i="8"/>
  <c r="AA427" i="8"/>
  <c r="Z427" i="8"/>
  <c r="Y427" i="8"/>
  <c r="V427" i="8"/>
  <c r="T427" i="8"/>
  <c r="W427" i="8"/>
  <c r="U427" i="8"/>
  <c r="X427" i="8"/>
  <c r="AB427" i="8"/>
  <c r="R428" i="9"/>
  <c r="Z427" i="9"/>
  <c r="Y427" i="9"/>
  <c r="X427" i="9"/>
  <c r="AA427" i="9"/>
  <c r="L174" i="7"/>
  <c r="O174" i="7" s="1"/>
  <c r="E173" i="7"/>
  <c r="C173" i="7"/>
  <c r="R429" i="8" l="1"/>
  <c r="AA428" i="8"/>
  <c r="U428" i="8"/>
  <c r="Y428" i="8"/>
  <c r="V428" i="8"/>
  <c r="X428" i="8"/>
  <c r="T428" i="8"/>
  <c r="W428" i="8"/>
  <c r="Z428" i="8"/>
  <c r="AB428" i="8"/>
  <c r="R429" i="9"/>
  <c r="Z428" i="9"/>
  <c r="X428" i="9"/>
  <c r="Y428" i="9"/>
  <c r="AA428" i="9"/>
  <c r="P210" i="10"/>
  <c r="Q210" i="10" s="1"/>
  <c r="F173" i="7"/>
  <c r="D173" i="7"/>
  <c r="S211" i="10" l="1"/>
  <c r="T211" i="10" s="1"/>
  <c r="U210" i="10"/>
  <c r="R430" i="8"/>
  <c r="X429" i="8"/>
  <c r="AA429" i="8"/>
  <c r="U429" i="8"/>
  <c r="Y429" i="8"/>
  <c r="Z429" i="8"/>
  <c r="V429" i="8"/>
  <c r="T429" i="8"/>
  <c r="W429" i="8"/>
  <c r="AB429" i="8"/>
  <c r="R430" i="9"/>
  <c r="Z429" i="9"/>
  <c r="X429" i="9"/>
  <c r="Y429" i="9"/>
  <c r="AA429" i="9"/>
  <c r="P174" i="7"/>
  <c r="N174" i="7"/>
  <c r="Q174" i="7" s="1"/>
  <c r="L175" i="7" s="1"/>
  <c r="G173" i="7"/>
  <c r="B174" i="7" s="1"/>
  <c r="R431" i="8" l="1"/>
  <c r="W430" i="8"/>
  <c r="X430" i="8"/>
  <c r="AA430" i="8"/>
  <c r="U430" i="8"/>
  <c r="Z430" i="8"/>
  <c r="V430" i="8"/>
  <c r="T430" i="8"/>
  <c r="Y430" i="8"/>
  <c r="AB430" i="8"/>
  <c r="R431" i="9"/>
  <c r="Z430" i="9"/>
  <c r="X430" i="9"/>
  <c r="Y430" i="9"/>
  <c r="AA430" i="9"/>
  <c r="P211" i="10"/>
  <c r="Q211" i="10" s="1"/>
  <c r="M175" i="7"/>
  <c r="E174" i="7"/>
  <c r="C174" i="7"/>
  <c r="U211" i="10" l="1"/>
  <c r="S212" i="10"/>
  <c r="T212" i="10" s="1"/>
  <c r="R432" i="8"/>
  <c r="Z431" i="8"/>
  <c r="Y431" i="8"/>
  <c r="V431" i="8"/>
  <c r="X431" i="8"/>
  <c r="U431" i="8"/>
  <c r="AA431" i="8"/>
  <c r="W431" i="8"/>
  <c r="T431" i="8"/>
  <c r="AB431" i="8"/>
  <c r="R432" i="9"/>
  <c r="Y431" i="9"/>
  <c r="X431" i="9"/>
  <c r="Z431" i="9"/>
  <c r="AA431" i="9"/>
  <c r="P175" i="7"/>
  <c r="N175" i="7"/>
  <c r="Q175" i="7" s="1"/>
  <c r="O175" i="7"/>
  <c r="F174" i="7"/>
  <c r="D174" i="7"/>
  <c r="R433" i="8" l="1"/>
  <c r="Z432" i="8"/>
  <c r="AA432" i="8"/>
  <c r="Y432" i="8"/>
  <c r="W432" i="8"/>
  <c r="V432" i="8"/>
  <c r="X432" i="8"/>
  <c r="T432" i="8"/>
  <c r="U432" i="8"/>
  <c r="AB432" i="8"/>
  <c r="R433" i="9"/>
  <c r="Y432" i="9"/>
  <c r="X432" i="9"/>
  <c r="Z432" i="9"/>
  <c r="AA432" i="9"/>
  <c r="P212" i="10"/>
  <c r="Q212" i="10" s="1"/>
  <c r="M176" i="7"/>
  <c r="L176" i="7"/>
  <c r="O176" i="7" s="1"/>
  <c r="G174" i="7"/>
  <c r="B175" i="7" s="1"/>
  <c r="S213" i="10" l="1"/>
  <c r="T213" i="10" s="1"/>
  <c r="U212" i="10"/>
  <c r="R434" i="8"/>
  <c r="AA433" i="8"/>
  <c r="Z433" i="8"/>
  <c r="Y433" i="8"/>
  <c r="T433" i="8"/>
  <c r="W433" i="8"/>
  <c r="U433" i="8"/>
  <c r="X433" i="8"/>
  <c r="V433" i="8"/>
  <c r="AB433" i="8"/>
  <c r="R434" i="9"/>
  <c r="Z433" i="9"/>
  <c r="Y433" i="9"/>
  <c r="X433" i="9"/>
  <c r="AA433" i="9"/>
  <c r="E175" i="7"/>
  <c r="C175" i="7"/>
  <c r="R435" i="8" l="1"/>
  <c r="Z434" i="8"/>
  <c r="W434" i="8"/>
  <c r="T434" i="8"/>
  <c r="AA434" i="8"/>
  <c r="X434" i="8"/>
  <c r="V434" i="8"/>
  <c r="U434" i="8"/>
  <c r="Y434" i="8"/>
  <c r="AB434" i="8"/>
  <c r="R435" i="9"/>
  <c r="Z434" i="9"/>
  <c r="Y434" i="9"/>
  <c r="X434" i="9"/>
  <c r="AA434" i="9"/>
  <c r="P213" i="10"/>
  <c r="Q213" i="10" s="1"/>
  <c r="F175" i="7"/>
  <c r="D175" i="7"/>
  <c r="U213" i="10" l="1"/>
  <c r="S214" i="10"/>
  <c r="T214" i="10" s="1"/>
  <c r="R436" i="8"/>
  <c r="AA435" i="8"/>
  <c r="X435" i="8"/>
  <c r="Z435" i="8"/>
  <c r="W435" i="8"/>
  <c r="T435" i="8"/>
  <c r="Y435" i="8"/>
  <c r="V435" i="8"/>
  <c r="U435" i="8"/>
  <c r="AB435" i="8"/>
  <c r="R436" i="9"/>
  <c r="Z435" i="9"/>
  <c r="Y435" i="9"/>
  <c r="X435" i="9"/>
  <c r="AA435" i="9"/>
  <c r="P176" i="7"/>
  <c r="N176" i="7"/>
  <c r="Q176" i="7" s="1"/>
  <c r="L177" i="7" s="1"/>
  <c r="G175" i="7"/>
  <c r="B176" i="7" s="1"/>
  <c r="R437" i="8" l="1"/>
  <c r="Z436" i="8"/>
  <c r="U436" i="8"/>
  <c r="T436" i="8"/>
  <c r="AA436" i="8"/>
  <c r="X436" i="8"/>
  <c r="Y436" i="8"/>
  <c r="V436" i="8"/>
  <c r="W436" i="8"/>
  <c r="AB436" i="8"/>
  <c r="R437" i="9"/>
  <c r="Z436" i="9"/>
  <c r="X436" i="9"/>
  <c r="Y436" i="9"/>
  <c r="AA436" i="9"/>
  <c r="P214" i="10"/>
  <c r="Q214" i="10" s="1"/>
  <c r="M177" i="7"/>
  <c r="E176" i="7"/>
  <c r="C176" i="7"/>
  <c r="F176" i="7" s="1"/>
  <c r="U214" i="10" l="1"/>
  <c r="P215" i="10" s="1"/>
  <c r="Q215" i="10" s="1"/>
  <c r="S215" i="10"/>
  <c r="T215" i="10" s="1"/>
  <c r="R438" i="8"/>
  <c r="X437" i="8"/>
  <c r="Z437" i="8"/>
  <c r="U437" i="8"/>
  <c r="W437" i="8"/>
  <c r="V437" i="8"/>
  <c r="AA437" i="8"/>
  <c r="Y437" i="8"/>
  <c r="T437" i="8"/>
  <c r="AB437" i="8"/>
  <c r="R438" i="9"/>
  <c r="Z437" i="9"/>
  <c r="Y437" i="9"/>
  <c r="X437" i="9"/>
  <c r="AA437" i="9"/>
  <c r="O177" i="7"/>
  <c r="P177" i="7"/>
  <c r="D176" i="7"/>
  <c r="U215" i="10" l="1"/>
  <c r="S216" i="10"/>
  <c r="T216" i="10" s="1"/>
  <c r="R439" i="8"/>
  <c r="Y438" i="8"/>
  <c r="Z438" i="8"/>
  <c r="W438" i="8"/>
  <c r="V438" i="8"/>
  <c r="X438" i="8"/>
  <c r="T438" i="8"/>
  <c r="AA438" i="8"/>
  <c r="U438" i="8"/>
  <c r="AB438" i="8"/>
  <c r="R439" i="9"/>
  <c r="X438" i="9"/>
  <c r="Y438" i="9"/>
  <c r="Z438" i="9"/>
  <c r="AA438" i="9"/>
  <c r="N177" i="7"/>
  <c r="Q177" i="7" s="1"/>
  <c r="L178" i="7" s="1"/>
  <c r="G176" i="7"/>
  <c r="B177" i="7" s="1"/>
  <c r="R440" i="8" l="1"/>
  <c r="AA439" i="8"/>
  <c r="W439" i="8"/>
  <c r="V439" i="8"/>
  <c r="Y439" i="8"/>
  <c r="Z439" i="8"/>
  <c r="U439" i="8"/>
  <c r="T439" i="8"/>
  <c r="X439" i="8"/>
  <c r="AB439" i="8"/>
  <c r="R440" i="9"/>
  <c r="Y439" i="9"/>
  <c r="Z439" i="9"/>
  <c r="X439" i="9"/>
  <c r="AA439" i="9"/>
  <c r="M178" i="7"/>
  <c r="C177" i="7"/>
  <c r="F177" i="7" s="1"/>
  <c r="E177" i="7"/>
  <c r="R441" i="8" l="1"/>
  <c r="Z440" i="8"/>
  <c r="Y440" i="8"/>
  <c r="AA440" i="8"/>
  <c r="X440" i="8"/>
  <c r="V440" i="8"/>
  <c r="U440" i="8"/>
  <c r="W440" i="8"/>
  <c r="T440" i="8"/>
  <c r="AB440" i="8"/>
  <c r="R441" i="9"/>
  <c r="Y440" i="9"/>
  <c r="Z440" i="9"/>
  <c r="X440" i="9"/>
  <c r="AA440" i="9"/>
  <c r="P216" i="10"/>
  <c r="Q216" i="10" s="1"/>
  <c r="O178" i="7"/>
  <c r="P178" i="7"/>
  <c r="D177" i="7"/>
  <c r="S217" i="10" l="1"/>
  <c r="T217" i="10" s="1"/>
  <c r="U216" i="10"/>
  <c r="R442" i="8"/>
  <c r="AA441" i="8"/>
  <c r="Y441" i="8"/>
  <c r="T441" i="8"/>
  <c r="X441" i="8"/>
  <c r="U441" i="8"/>
  <c r="V441" i="8"/>
  <c r="W441" i="8"/>
  <c r="Z441" i="8"/>
  <c r="AB441" i="8"/>
  <c r="R442" i="9"/>
  <c r="X441" i="9"/>
  <c r="Y441" i="9"/>
  <c r="Z441" i="9"/>
  <c r="AA441" i="9"/>
  <c r="N178" i="7"/>
  <c r="Q178" i="7" s="1"/>
  <c r="L179" i="7" s="1"/>
  <c r="G177" i="7"/>
  <c r="B178" i="7" s="1"/>
  <c r="E178" i="7" s="1"/>
  <c r="R443" i="8" l="1"/>
  <c r="AA442" i="8"/>
  <c r="W442" i="8"/>
  <c r="Y442" i="8"/>
  <c r="T442" i="8"/>
  <c r="X442" i="8"/>
  <c r="U442" i="8"/>
  <c r="Z442" i="8"/>
  <c r="V442" i="8"/>
  <c r="AB442" i="8"/>
  <c r="R443" i="9"/>
  <c r="Y442" i="9"/>
  <c r="X442" i="9"/>
  <c r="Z442" i="9"/>
  <c r="AA442" i="9"/>
  <c r="P217" i="10"/>
  <c r="Q217" i="10" s="1"/>
  <c r="C178" i="7"/>
  <c r="F178" i="7" s="1"/>
  <c r="M179" i="7"/>
  <c r="P179" i="7" s="1"/>
  <c r="U217" i="10" l="1"/>
  <c r="S218" i="10"/>
  <c r="T218" i="10" s="1"/>
  <c r="R444" i="8"/>
  <c r="AA443" i="8"/>
  <c r="Z443" i="8"/>
  <c r="W443" i="8"/>
  <c r="Y443" i="8"/>
  <c r="X443" i="8"/>
  <c r="T443" i="8"/>
  <c r="V443" i="8"/>
  <c r="U443" i="8"/>
  <c r="AB443" i="8"/>
  <c r="R444" i="9"/>
  <c r="Z443" i="9"/>
  <c r="Y443" i="9"/>
  <c r="X443" i="9"/>
  <c r="AA443" i="9"/>
  <c r="D178" i="7"/>
  <c r="G178" i="7" s="1"/>
  <c r="B179" i="7" s="1"/>
  <c r="N179" i="7"/>
  <c r="Q179" i="7" s="1"/>
  <c r="M180" i="7" s="1"/>
  <c r="O179" i="7"/>
  <c r="R445" i="8" l="1"/>
  <c r="Z444" i="8"/>
  <c r="X444" i="8"/>
  <c r="AA444" i="8"/>
  <c r="U444" i="8"/>
  <c r="W444" i="8"/>
  <c r="Y444" i="8"/>
  <c r="T444" i="8"/>
  <c r="V444" i="8"/>
  <c r="AB444" i="8"/>
  <c r="R445" i="9"/>
  <c r="Z444" i="9"/>
  <c r="Y444" i="9"/>
  <c r="X444" i="9"/>
  <c r="AA444" i="9"/>
  <c r="P218" i="10"/>
  <c r="Q218" i="10" s="1"/>
  <c r="L180" i="7"/>
  <c r="O180" i="7" s="1"/>
  <c r="E179" i="7"/>
  <c r="C179" i="7"/>
  <c r="F179" i="7" s="1"/>
  <c r="U218" i="10" l="1"/>
  <c r="P219" i="10" s="1"/>
  <c r="Q219" i="10" s="1"/>
  <c r="S219" i="10"/>
  <c r="T219" i="10" s="1"/>
  <c r="R446" i="8"/>
  <c r="Z445" i="8"/>
  <c r="X445" i="8"/>
  <c r="AA445" i="8"/>
  <c r="U445" i="8"/>
  <c r="W445" i="8"/>
  <c r="T445" i="8"/>
  <c r="Y445" i="8"/>
  <c r="V445" i="8"/>
  <c r="AB445" i="8"/>
  <c r="R446" i="9"/>
  <c r="Z445" i="9"/>
  <c r="X445" i="9"/>
  <c r="Y445" i="9"/>
  <c r="AA445" i="9"/>
  <c r="D179" i="7"/>
  <c r="U219" i="10" l="1"/>
  <c r="S220" i="10"/>
  <c r="T220" i="10" s="1"/>
  <c r="R447" i="8"/>
  <c r="Z446" i="8"/>
  <c r="AA446" i="8"/>
  <c r="Y446" i="8"/>
  <c r="T446" i="8"/>
  <c r="V446" i="8"/>
  <c r="X446" i="8"/>
  <c r="W446" i="8"/>
  <c r="U446" i="8"/>
  <c r="AB446" i="8"/>
  <c r="R447" i="9"/>
  <c r="Z446" i="9"/>
  <c r="Y446" i="9"/>
  <c r="X446" i="9"/>
  <c r="AA446" i="9"/>
  <c r="P180" i="7"/>
  <c r="N180" i="7"/>
  <c r="Q180" i="7" s="1"/>
  <c r="L181" i="7" s="1"/>
  <c r="G179" i="7"/>
  <c r="B180" i="7" s="1"/>
  <c r="R448" i="8" l="1"/>
  <c r="V447" i="8"/>
  <c r="AA447" i="8"/>
  <c r="W447" i="8"/>
  <c r="Y447" i="8"/>
  <c r="U447" i="8"/>
  <c r="X447" i="8"/>
  <c r="T447" i="8"/>
  <c r="Z447" i="8"/>
  <c r="AB447" i="8"/>
  <c r="R448" i="9"/>
  <c r="Y447" i="9"/>
  <c r="Z447" i="9"/>
  <c r="X447" i="9"/>
  <c r="AA447" i="9"/>
  <c r="M181" i="7"/>
  <c r="E180" i="7"/>
  <c r="C180" i="7"/>
  <c r="F180" i="7" s="1"/>
  <c r="R449" i="8" l="1"/>
  <c r="Z448" i="8"/>
  <c r="Y448" i="8"/>
  <c r="W448" i="8"/>
  <c r="V448" i="8"/>
  <c r="U448" i="8"/>
  <c r="T448" i="8"/>
  <c r="X448" i="8"/>
  <c r="AA448" i="8"/>
  <c r="AB448" i="8"/>
  <c r="R449" i="9"/>
  <c r="Y448" i="9"/>
  <c r="X448" i="9"/>
  <c r="Z448" i="9"/>
  <c r="AA448" i="9"/>
  <c r="P220" i="10"/>
  <c r="Q220" i="10" s="1"/>
  <c r="O181" i="7"/>
  <c r="P181" i="7"/>
  <c r="D180" i="7"/>
  <c r="U220" i="10" l="1"/>
  <c r="S221" i="10"/>
  <c r="T221" i="10" s="1"/>
  <c r="R450" i="8"/>
  <c r="T449" i="8"/>
  <c r="X449" i="8"/>
  <c r="V449" i="8"/>
  <c r="Y449" i="8"/>
  <c r="AA449" i="8"/>
  <c r="W449" i="8"/>
  <c r="U449" i="8"/>
  <c r="Z449" i="8"/>
  <c r="AB449" i="8"/>
  <c r="R450" i="9"/>
  <c r="Z449" i="9"/>
  <c r="X449" i="9"/>
  <c r="Y449" i="9"/>
  <c r="AA449" i="9"/>
  <c r="N181" i="7"/>
  <c r="Q181" i="7" s="1"/>
  <c r="L182" i="7" s="1"/>
  <c r="G180" i="7"/>
  <c r="B181" i="7" s="1"/>
  <c r="R451" i="8" l="1"/>
  <c r="AA450" i="8"/>
  <c r="W450" i="8"/>
  <c r="Y450" i="8"/>
  <c r="Z450" i="8"/>
  <c r="X450" i="8"/>
  <c r="T450" i="8"/>
  <c r="U450" i="8"/>
  <c r="V450" i="8"/>
  <c r="AB450" i="8"/>
  <c r="R451" i="9"/>
  <c r="Y450" i="9"/>
  <c r="Z450" i="9"/>
  <c r="X450" i="9"/>
  <c r="AA450" i="9"/>
  <c r="P221" i="10"/>
  <c r="Q221" i="10" s="1"/>
  <c r="M182" i="7"/>
  <c r="C181" i="7"/>
  <c r="E181" i="7"/>
  <c r="S222" i="10" l="1"/>
  <c r="T222" i="10" s="1"/>
  <c r="U221" i="10"/>
  <c r="R452" i="8"/>
  <c r="AA451" i="8"/>
  <c r="Y451" i="8"/>
  <c r="X451" i="8"/>
  <c r="Z451" i="8"/>
  <c r="V451" i="8"/>
  <c r="U451" i="8"/>
  <c r="W451" i="8"/>
  <c r="T451" i="8"/>
  <c r="AB451" i="8"/>
  <c r="R452" i="9"/>
  <c r="Z451" i="9"/>
  <c r="Y451" i="9"/>
  <c r="X451" i="9"/>
  <c r="AA451" i="9"/>
  <c r="P182" i="7"/>
  <c r="D181" i="7"/>
  <c r="G181" i="7" s="1"/>
  <c r="B182" i="7" s="1"/>
  <c r="N182" i="7"/>
  <c r="Q182" i="7" s="1"/>
  <c r="O182" i="7"/>
  <c r="F181" i="7"/>
  <c r="R453" i="8" l="1"/>
  <c r="AA452" i="8"/>
  <c r="Y452" i="8"/>
  <c r="U452" i="8"/>
  <c r="Z452" i="8"/>
  <c r="X452" i="8"/>
  <c r="W452" i="8"/>
  <c r="V452" i="8"/>
  <c r="T452" i="8"/>
  <c r="AB452" i="8"/>
  <c r="R453" i="9"/>
  <c r="Z452" i="9"/>
  <c r="Y452" i="9"/>
  <c r="X452" i="9"/>
  <c r="AA452" i="9"/>
  <c r="P222" i="10"/>
  <c r="Q222" i="10" s="1"/>
  <c r="M183" i="7"/>
  <c r="L183" i="7"/>
  <c r="O183" i="7" s="1"/>
  <c r="E182" i="7"/>
  <c r="C182" i="7"/>
  <c r="F182" i="7" s="1"/>
  <c r="U222" i="10" l="1"/>
  <c r="S223" i="10"/>
  <c r="T223" i="10" s="1"/>
  <c r="R454" i="8"/>
  <c r="AA453" i="8"/>
  <c r="X453" i="8"/>
  <c r="W453" i="8"/>
  <c r="U453" i="8"/>
  <c r="Y453" i="8"/>
  <c r="T453" i="8"/>
  <c r="V453" i="8"/>
  <c r="Z453" i="8"/>
  <c r="AB453" i="8"/>
  <c r="R454" i="9"/>
  <c r="Y453" i="9"/>
  <c r="Z453" i="9"/>
  <c r="X453" i="9"/>
  <c r="AA453" i="9"/>
  <c r="D182" i="7"/>
  <c r="R455" i="8" l="1"/>
  <c r="Z454" i="8"/>
  <c r="X454" i="8"/>
  <c r="W454" i="8"/>
  <c r="Y454" i="8"/>
  <c r="T454" i="8"/>
  <c r="U454" i="8"/>
  <c r="V454" i="8"/>
  <c r="AA454" i="8"/>
  <c r="AB454" i="8"/>
  <c r="R455" i="9"/>
  <c r="Z454" i="9"/>
  <c r="X454" i="9"/>
  <c r="Y454" i="9"/>
  <c r="AA454" i="9"/>
  <c r="P223" i="10"/>
  <c r="Q223" i="10" s="1"/>
  <c r="P183" i="7"/>
  <c r="N183" i="7"/>
  <c r="Q183" i="7" s="1"/>
  <c r="L184" i="7" s="1"/>
  <c r="G182" i="7"/>
  <c r="B183" i="7" s="1"/>
  <c r="U223" i="10" l="1"/>
  <c r="S224" i="10"/>
  <c r="T224" i="10" s="1"/>
  <c r="R456" i="8"/>
  <c r="Z455" i="8"/>
  <c r="AA455" i="8"/>
  <c r="V455" i="8"/>
  <c r="W455" i="8"/>
  <c r="X455" i="8"/>
  <c r="T455" i="8"/>
  <c r="Y455" i="8"/>
  <c r="U455" i="8"/>
  <c r="AB455" i="8"/>
  <c r="R456" i="9"/>
  <c r="Z455" i="9"/>
  <c r="Y455" i="9"/>
  <c r="X455" i="9"/>
  <c r="AA455" i="9"/>
  <c r="M184" i="7"/>
  <c r="E183" i="7"/>
  <c r="C183" i="7"/>
  <c r="F183" i="7" s="1"/>
  <c r="R457" i="8" l="1"/>
  <c r="Z456" i="8"/>
  <c r="Y456" i="8"/>
  <c r="AA456" i="8"/>
  <c r="V456" i="8"/>
  <c r="X456" i="8"/>
  <c r="T456" i="8"/>
  <c r="W456" i="8"/>
  <c r="U456" i="8"/>
  <c r="AB456" i="8"/>
  <c r="R457" i="9"/>
  <c r="Z456" i="9"/>
  <c r="Y456" i="9"/>
  <c r="X456" i="9"/>
  <c r="AA456" i="9"/>
  <c r="P224" i="10"/>
  <c r="Q224" i="10" s="1"/>
  <c r="O184" i="7"/>
  <c r="P184" i="7"/>
  <c r="D183" i="7"/>
  <c r="U224" i="10" l="1"/>
  <c r="S225" i="10"/>
  <c r="T225" i="10" s="1"/>
  <c r="R458" i="8"/>
  <c r="Z457" i="8"/>
  <c r="W457" i="8"/>
  <c r="T457" i="8"/>
  <c r="AA457" i="8"/>
  <c r="U457" i="8"/>
  <c r="Y457" i="8"/>
  <c r="V457" i="8"/>
  <c r="X457" i="8"/>
  <c r="AB457" i="8"/>
  <c r="Z457" i="9"/>
  <c r="X457" i="9"/>
  <c r="Y457" i="9"/>
  <c r="AA457" i="9"/>
  <c r="AA20" i="9" s="1"/>
  <c r="N184" i="7"/>
  <c r="Q184" i="7" s="1"/>
  <c r="L185" i="7" s="1"/>
  <c r="G183" i="7"/>
  <c r="B184" i="7" s="1"/>
  <c r="R459" i="8" l="1"/>
  <c r="W458" i="8"/>
  <c r="Z458" i="8"/>
  <c r="T458" i="8"/>
  <c r="AA458" i="8"/>
  <c r="X458" i="8"/>
  <c r="Y458" i="8"/>
  <c r="U458" i="8"/>
  <c r="V458" i="8"/>
  <c r="AB458" i="8"/>
  <c r="P225" i="10"/>
  <c r="Q225" i="10" s="1"/>
  <c r="M185" i="7"/>
  <c r="E184" i="7"/>
  <c r="C184" i="7"/>
  <c r="F184" i="7" s="1"/>
  <c r="S226" i="10" l="1"/>
  <c r="T226" i="10" s="1"/>
  <c r="U225" i="10"/>
  <c r="R460" i="8"/>
  <c r="AA459" i="8"/>
  <c r="Y459" i="8"/>
  <c r="Z459" i="8"/>
  <c r="V459" i="8"/>
  <c r="W459" i="8"/>
  <c r="T459" i="8"/>
  <c r="U459" i="8"/>
  <c r="X459" i="8"/>
  <c r="AB459" i="8"/>
  <c r="O185" i="7"/>
  <c r="P185" i="7"/>
  <c r="D184" i="7"/>
  <c r="R461" i="8" l="1"/>
  <c r="AA460" i="8"/>
  <c r="Y460" i="8"/>
  <c r="X460" i="8"/>
  <c r="U460" i="8"/>
  <c r="Z460" i="8"/>
  <c r="V460" i="8"/>
  <c r="T460" i="8"/>
  <c r="W460" i="8"/>
  <c r="AB460" i="8"/>
  <c r="P226" i="10"/>
  <c r="Q226" i="10" s="1"/>
  <c r="N185" i="7"/>
  <c r="Q185" i="7" s="1"/>
  <c r="L186" i="7" s="1"/>
  <c r="G184" i="7"/>
  <c r="B185" i="7" s="1"/>
  <c r="U226" i="10" l="1"/>
  <c r="S227" i="10"/>
  <c r="T227" i="10" s="1"/>
  <c r="R462" i="8"/>
  <c r="AA461" i="8"/>
  <c r="X461" i="8"/>
  <c r="U461" i="8"/>
  <c r="Y461" i="8"/>
  <c r="Z461" i="8"/>
  <c r="V461" i="8"/>
  <c r="T461" i="8"/>
  <c r="W461" i="8"/>
  <c r="AB461" i="8"/>
  <c r="M186" i="7"/>
  <c r="O186" i="7"/>
  <c r="E185" i="7"/>
  <c r="C185" i="7"/>
  <c r="F185" i="7" s="1"/>
  <c r="R463" i="8" l="1"/>
  <c r="AA462" i="8"/>
  <c r="X462" i="8"/>
  <c r="U462" i="8"/>
  <c r="Y462" i="8"/>
  <c r="Z462" i="8"/>
  <c r="V462" i="8"/>
  <c r="T462" i="8"/>
  <c r="W462" i="8"/>
  <c r="AB462" i="8"/>
  <c r="P227" i="10"/>
  <c r="Q227" i="10" s="1"/>
  <c r="D185" i="7"/>
  <c r="U227" i="10" l="1"/>
  <c r="S228" i="10"/>
  <c r="T228" i="10" s="1"/>
  <c r="R464" i="8"/>
  <c r="Z463" i="8"/>
  <c r="X463" i="8"/>
  <c r="Y463" i="8"/>
  <c r="W463" i="8"/>
  <c r="V463" i="8"/>
  <c r="AA463" i="8"/>
  <c r="U463" i="8"/>
  <c r="T463" i="8"/>
  <c r="AB463" i="8"/>
  <c r="P186" i="7"/>
  <c r="N186" i="7"/>
  <c r="Q186" i="7" s="1"/>
  <c r="L187" i="7" s="1"/>
  <c r="G185" i="7"/>
  <c r="B186" i="7" s="1"/>
  <c r="R465" i="8" l="1"/>
  <c r="Z464" i="8"/>
  <c r="AA464" i="8"/>
  <c r="Y464" i="8"/>
  <c r="W464" i="8"/>
  <c r="X464" i="8"/>
  <c r="V464" i="8"/>
  <c r="T464" i="8"/>
  <c r="U464" i="8"/>
  <c r="AB464" i="8"/>
  <c r="P228" i="10"/>
  <c r="Q228" i="10" s="1"/>
  <c r="M187" i="7"/>
  <c r="E186" i="7"/>
  <c r="C186" i="7"/>
  <c r="F186" i="7" s="1"/>
  <c r="S229" i="10" l="1"/>
  <c r="T229" i="10" s="1"/>
  <c r="U228" i="10"/>
  <c r="R466" i="8"/>
  <c r="Z465" i="8"/>
  <c r="T465" i="8"/>
  <c r="Y465" i="8"/>
  <c r="AA465" i="8"/>
  <c r="W465" i="8"/>
  <c r="X465" i="8"/>
  <c r="U465" i="8"/>
  <c r="V465" i="8"/>
  <c r="AB465" i="8"/>
  <c r="O187" i="7"/>
  <c r="P187" i="7"/>
  <c r="D186" i="7"/>
  <c r="R467" i="8" l="1"/>
  <c r="Z466" i="8"/>
  <c r="W466" i="8"/>
  <c r="T466" i="8"/>
  <c r="Y466" i="8"/>
  <c r="AA466" i="8"/>
  <c r="U466" i="8"/>
  <c r="V466" i="8"/>
  <c r="X466" i="8"/>
  <c r="AB466" i="8"/>
  <c r="P229" i="10"/>
  <c r="Q229" i="10" s="1"/>
  <c r="N187" i="7"/>
  <c r="Q187" i="7" s="1"/>
  <c r="L188" i="7" s="1"/>
  <c r="G186" i="7"/>
  <c r="B187" i="7" s="1"/>
  <c r="S230" i="10" l="1"/>
  <c r="T230" i="10" s="1"/>
  <c r="U229" i="10"/>
  <c r="R468" i="8"/>
  <c r="AA467" i="8"/>
  <c r="W467" i="8"/>
  <c r="Z467" i="8"/>
  <c r="X467" i="8"/>
  <c r="T467" i="8"/>
  <c r="Y467" i="8"/>
  <c r="V467" i="8"/>
  <c r="U467" i="8"/>
  <c r="AB467" i="8"/>
  <c r="M188" i="7"/>
  <c r="O188" i="7"/>
  <c r="E187" i="7"/>
  <c r="C187" i="7"/>
  <c r="F187" i="7" s="1"/>
  <c r="R469" i="8" l="1"/>
  <c r="AA468" i="8"/>
  <c r="Z468" i="8"/>
  <c r="Y468" i="8"/>
  <c r="U468" i="8"/>
  <c r="X468" i="8"/>
  <c r="T468" i="8"/>
  <c r="W468" i="8"/>
  <c r="V468" i="8"/>
  <c r="AB468" i="8"/>
  <c r="P230" i="10"/>
  <c r="Q230" i="10" s="1"/>
  <c r="U230" i="10" s="1"/>
  <c r="D187" i="7"/>
  <c r="R470" i="8" l="1"/>
  <c r="AA469" i="8"/>
  <c r="X469" i="8"/>
  <c r="Z469" i="8"/>
  <c r="Y469" i="8"/>
  <c r="U469" i="8"/>
  <c r="V469" i="8"/>
  <c r="W469" i="8"/>
  <c r="T469" i="8"/>
  <c r="AB469" i="8"/>
  <c r="P188" i="7"/>
  <c r="N188" i="7"/>
  <c r="Q188" i="7" s="1"/>
  <c r="L189" i="7" s="1"/>
  <c r="G187" i="7"/>
  <c r="B188" i="7" s="1"/>
  <c r="R471" i="8" l="1"/>
  <c r="AA470" i="8"/>
  <c r="Z470" i="8"/>
  <c r="W470" i="8"/>
  <c r="V470" i="8"/>
  <c r="X470" i="8"/>
  <c r="Y470" i="8"/>
  <c r="U470" i="8"/>
  <c r="T470" i="8"/>
  <c r="AB470" i="8"/>
  <c r="M189" i="7"/>
  <c r="C188" i="7"/>
  <c r="D188" i="7" s="1"/>
  <c r="E188" i="7"/>
  <c r="R472" i="8" l="1"/>
  <c r="AA471" i="8"/>
  <c r="X471" i="8"/>
  <c r="V471" i="8"/>
  <c r="W471" i="8"/>
  <c r="T471" i="8"/>
  <c r="U471" i="8"/>
  <c r="Z471" i="8"/>
  <c r="Y471" i="8"/>
  <c r="AB471" i="8"/>
  <c r="O189" i="7"/>
  <c r="P189" i="7"/>
  <c r="G188" i="7"/>
  <c r="B189" i="7" s="1"/>
  <c r="F188" i="7"/>
  <c r="R473" i="8" l="1"/>
  <c r="Z472" i="8"/>
  <c r="Y472" i="8"/>
  <c r="X472" i="8"/>
  <c r="V472" i="8"/>
  <c r="U472" i="8"/>
  <c r="W472" i="8"/>
  <c r="AA472" i="8"/>
  <c r="T472" i="8"/>
  <c r="AB472" i="8"/>
  <c r="N189" i="7"/>
  <c r="Q189" i="7" s="1"/>
  <c r="L190" i="7" s="1"/>
  <c r="C189" i="7"/>
  <c r="F189" i="7" s="1"/>
  <c r="E189" i="7"/>
  <c r="R474" i="8" l="1"/>
  <c r="Z473" i="8"/>
  <c r="W473" i="8"/>
  <c r="T473" i="8"/>
  <c r="X473" i="8"/>
  <c r="U473" i="8"/>
  <c r="V473" i="8"/>
  <c r="AA473" i="8"/>
  <c r="Y473" i="8"/>
  <c r="AB473" i="8"/>
  <c r="M190" i="7"/>
  <c r="P190" i="7" s="1"/>
  <c r="D189" i="7"/>
  <c r="G189" i="7" s="1"/>
  <c r="C190" i="7" s="1"/>
  <c r="F190" i="7" s="1"/>
  <c r="R475" i="8" l="1"/>
  <c r="W474" i="8"/>
  <c r="T474" i="8"/>
  <c r="X474" i="8"/>
  <c r="U474" i="8"/>
  <c r="AA474" i="8"/>
  <c r="Z474" i="8"/>
  <c r="Y474" i="8"/>
  <c r="V474" i="8"/>
  <c r="AB474" i="8"/>
  <c r="N190" i="7"/>
  <c r="Q190" i="7" s="1"/>
  <c r="O190" i="7"/>
  <c r="B190" i="7"/>
  <c r="R476" i="8" l="1"/>
  <c r="AA475" i="8"/>
  <c r="Y475" i="8"/>
  <c r="W475" i="8"/>
  <c r="U475" i="8"/>
  <c r="X475" i="8"/>
  <c r="V475" i="8"/>
  <c r="T475" i="8"/>
  <c r="Z475" i="8"/>
  <c r="AB475" i="8"/>
  <c r="L191" i="7"/>
  <c r="O191" i="7" s="1"/>
  <c r="M191" i="7"/>
  <c r="P191" i="7" s="1"/>
  <c r="E190" i="7"/>
  <c r="D190" i="7"/>
  <c r="R477" i="8" l="1"/>
  <c r="AA476" i="8"/>
  <c r="Z476" i="8"/>
  <c r="W476" i="8"/>
  <c r="U476" i="8"/>
  <c r="Y476" i="8"/>
  <c r="T476" i="8"/>
  <c r="X476" i="8"/>
  <c r="V476" i="8"/>
  <c r="AB476" i="8"/>
  <c r="N191" i="7"/>
  <c r="Q191" i="7" s="1"/>
  <c r="M192" i="7" s="1"/>
  <c r="G190" i="7"/>
  <c r="B191" i="7" s="1"/>
  <c r="R478" i="8" l="1"/>
  <c r="X477" i="8"/>
  <c r="Y477" i="8"/>
  <c r="W477" i="8"/>
  <c r="U477" i="8"/>
  <c r="T477" i="8"/>
  <c r="V477" i="8"/>
  <c r="Z477" i="8"/>
  <c r="AA477" i="8"/>
  <c r="AB477" i="8"/>
  <c r="L192" i="7"/>
  <c r="O192" i="7" s="1"/>
  <c r="E191" i="7"/>
  <c r="C191" i="7"/>
  <c r="R479" i="8" l="1"/>
  <c r="AA478" i="8"/>
  <c r="Y478" i="8"/>
  <c r="Z478" i="8"/>
  <c r="T478" i="8"/>
  <c r="V478" i="8"/>
  <c r="U478" i="8"/>
  <c r="W478" i="8"/>
  <c r="X478" i="8"/>
  <c r="AB478" i="8"/>
  <c r="P192" i="7"/>
  <c r="N192" i="7"/>
  <c r="Q192" i="7" s="1"/>
  <c r="L193" i="7" s="1"/>
  <c r="F191" i="7"/>
  <c r="D191" i="7"/>
  <c r="R480" i="8" l="1"/>
  <c r="AA479" i="8"/>
  <c r="Z479" i="8"/>
  <c r="V479" i="8"/>
  <c r="Y479" i="8"/>
  <c r="W479" i="8"/>
  <c r="T479" i="8"/>
  <c r="X479" i="8"/>
  <c r="U479" i="8"/>
  <c r="AB479" i="8"/>
  <c r="M193" i="7"/>
  <c r="G191" i="7"/>
  <c r="B192" i="7" s="1"/>
  <c r="R481" i="8" l="1"/>
  <c r="Z480" i="8"/>
  <c r="Y480" i="8"/>
  <c r="AA480" i="8"/>
  <c r="V480" i="8"/>
  <c r="X480" i="8"/>
  <c r="U480" i="8"/>
  <c r="W480" i="8"/>
  <c r="T480" i="8"/>
  <c r="AB480" i="8"/>
  <c r="O193" i="7"/>
  <c r="E192" i="7"/>
  <c r="C192" i="7"/>
  <c r="R482" i="8" l="1"/>
  <c r="X481" i="8"/>
  <c r="Z481" i="8"/>
  <c r="T481" i="8"/>
  <c r="AA481" i="8"/>
  <c r="V481" i="8"/>
  <c r="Y481" i="8"/>
  <c r="U481" i="8"/>
  <c r="W481" i="8"/>
  <c r="AB481" i="8"/>
  <c r="D192" i="7"/>
  <c r="G192" i="7" s="1"/>
  <c r="B193" i="7" s="1"/>
  <c r="F192" i="7"/>
  <c r="R483" i="8" l="1"/>
  <c r="Z482" i="8"/>
  <c r="W482" i="8"/>
  <c r="AA482" i="8"/>
  <c r="X482" i="8"/>
  <c r="T482" i="8"/>
  <c r="Y482" i="8"/>
  <c r="U482" i="8"/>
  <c r="V482" i="8"/>
  <c r="AB482" i="8"/>
  <c r="P193" i="7"/>
  <c r="N193" i="7"/>
  <c r="Q193" i="7" s="1"/>
  <c r="L194" i="7" s="1"/>
  <c r="C193" i="7"/>
  <c r="F193" i="7" s="1"/>
  <c r="E193" i="7"/>
  <c r="R484" i="8" l="1"/>
  <c r="AA483" i="8"/>
  <c r="Z483" i="8"/>
  <c r="X483" i="8"/>
  <c r="V483" i="8"/>
  <c r="Y483" i="8"/>
  <c r="U483" i="8"/>
  <c r="T483" i="8"/>
  <c r="W483" i="8"/>
  <c r="AB483" i="8"/>
  <c r="M194" i="7"/>
  <c r="P194" i="7" s="1"/>
  <c r="D193" i="7"/>
  <c r="G193" i="7" s="1"/>
  <c r="C194" i="7" s="1"/>
  <c r="F194" i="7" s="1"/>
  <c r="R485" i="8" l="1"/>
  <c r="AA484" i="8"/>
  <c r="W484" i="8"/>
  <c r="U484" i="8"/>
  <c r="X484" i="8"/>
  <c r="Z484" i="8"/>
  <c r="Y484" i="8"/>
  <c r="V484" i="8"/>
  <c r="T484" i="8"/>
  <c r="AB484" i="8"/>
  <c r="N194" i="7"/>
  <c r="Q194" i="7" s="1"/>
  <c r="O194" i="7"/>
  <c r="B194" i="7"/>
  <c r="E194" i="7" s="1"/>
  <c r="R486" i="8" l="1"/>
  <c r="X485" i="8"/>
  <c r="W485" i="8"/>
  <c r="U485" i="8"/>
  <c r="AA485" i="8"/>
  <c r="Z485" i="8"/>
  <c r="V485" i="8"/>
  <c r="Y485" i="8"/>
  <c r="T485" i="8"/>
  <c r="AB485" i="8"/>
  <c r="M195" i="7"/>
  <c r="P195" i="7" s="1"/>
  <c r="L195" i="7"/>
  <c r="D194" i="7"/>
  <c r="G194" i="7" s="1"/>
  <c r="B195" i="7" s="1"/>
  <c r="R487" i="8" l="1"/>
  <c r="Z486" i="8"/>
  <c r="Y486" i="8"/>
  <c r="W486" i="8"/>
  <c r="X486" i="8"/>
  <c r="T486" i="8"/>
  <c r="U486" i="8"/>
  <c r="AA486" i="8"/>
  <c r="V486" i="8"/>
  <c r="AB486" i="8"/>
  <c r="N195" i="7"/>
  <c r="Q195" i="7" s="1"/>
  <c r="M196" i="7" s="1"/>
  <c r="O195" i="7"/>
  <c r="E195" i="7"/>
  <c r="C195" i="7"/>
  <c r="F195" i="7" s="1"/>
  <c r="R488" i="8" l="1"/>
  <c r="AA487" i="8"/>
  <c r="Y487" i="8"/>
  <c r="V487" i="8"/>
  <c r="W487" i="8"/>
  <c r="T487" i="8"/>
  <c r="Z487" i="8"/>
  <c r="X487" i="8"/>
  <c r="U487" i="8"/>
  <c r="AB487" i="8"/>
  <c r="L196" i="7"/>
  <c r="O196" i="7" s="1"/>
  <c r="D195" i="7"/>
  <c r="R489" i="8" l="1"/>
  <c r="Z488" i="8"/>
  <c r="AA488" i="8"/>
  <c r="Y488" i="8"/>
  <c r="V488" i="8"/>
  <c r="W488" i="8"/>
  <c r="X488" i="8"/>
  <c r="T488" i="8"/>
  <c r="U488" i="8"/>
  <c r="AB488" i="8"/>
  <c r="P196" i="7"/>
  <c r="N196" i="7"/>
  <c r="Q196" i="7" s="1"/>
  <c r="L197" i="7" s="1"/>
  <c r="G195" i="7"/>
  <c r="B196" i="7" s="1"/>
  <c r="R490" i="8" l="1"/>
  <c r="AA489" i="8"/>
  <c r="Y489" i="8"/>
  <c r="T489" i="8"/>
  <c r="Z489" i="8"/>
  <c r="W489" i="8"/>
  <c r="V489" i="8"/>
  <c r="X489" i="8"/>
  <c r="U489" i="8"/>
  <c r="AB489" i="8"/>
  <c r="M197" i="7"/>
  <c r="C196" i="7"/>
  <c r="E196" i="7"/>
  <c r="R491" i="8" l="1"/>
  <c r="W490" i="8"/>
  <c r="X490" i="8"/>
  <c r="Y490" i="8"/>
  <c r="T490" i="8"/>
  <c r="U490" i="8"/>
  <c r="AA490" i="8"/>
  <c r="Z490" i="8"/>
  <c r="V490" i="8"/>
  <c r="AB490" i="8"/>
  <c r="P197" i="7"/>
  <c r="D196" i="7"/>
  <c r="G196" i="7" s="1"/>
  <c r="B197" i="7" s="1"/>
  <c r="N197" i="7"/>
  <c r="Q197" i="7" s="1"/>
  <c r="O197" i="7"/>
  <c r="F196" i="7"/>
  <c r="R492" i="8" l="1"/>
  <c r="AA491" i="8"/>
  <c r="Z491" i="8"/>
  <c r="Y491" i="8"/>
  <c r="V491" i="8"/>
  <c r="W491" i="8"/>
  <c r="T491" i="8"/>
  <c r="U491" i="8"/>
  <c r="X491" i="8"/>
  <c r="AB491" i="8"/>
  <c r="M198" i="7"/>
  <c r="L198" i="7"/>
  <c r="O198" i="7" s="1"/>
  <c r="C197" i="7"/>
  <c r="F197" i="7" s="1"/>
  <c r="E197" i="7"/>
  <c r="R493" i="8" l="1"/>
  <c r="Z492" i="8"/>
  <c r="X492" i="8"/>
  <c r="U492" i="8"/>
  <c r="AA492" i="8"/>
  <c r="V492" i="8"/>
  <c r="W492" i="8"/>
  <c r="T492" i="8"/>
  <c r="Y492" i="8"/>
  <c r="AB492" i="8"/>
  <c r="D197" i="7"/>
  <c r="G197" i="7" s="1"/>
  <c r="C198" i="7" s="1"/>
  <c r="F198" i="7" s="1"/>
  <c r="R494" i="8" l="1"/>
  <c r="X493" i="8"/>
  <c r="Z493" i="8"/>
  <c r="U493" i="8"/>
  <c r="AA493" i="8"/>
  <c r="V493" i="8"/>
  <c r="W493" i="8"/>
  <c r="T493" i="8"/>
  <c r="Y493" i="8"/>
  <c r="AB493" i="8"/>
  <c r="P198" i="7"/>
  <c r="N198" i="7"/>
  <c r="Q198" i="7" s="1"/>
  <c r="L199" i="7" s="1"/>
  <c r="B198" i="7"/>
  <c r="R495" i="8" l="1"/>
  <c r="W494" i="8"/>
  <c r="X494" i="8"/>
  <c r="U494" i="8"/>
  <c r="AA494" i="8"/>
  <c r="Y494" i="8"/>
  <c r="T494" i="8"/>
  <c r="Z494" i="8"/>
  <c r="V494" i="8"/>
  <c r="AB494" i="8"/>
  <c r="M199" i="7"/>
  <c r="P199" i="7" s="1"/>
  <c r="E198" i="7"/>
  <c r="D198" i="7"/>
  <c r="R496" i="8" l="1"/>
  <c r="AA495" i="8"/>
  <c r="Y495" i="8"/>
  <c r="W495" i="8"/>
  <c r="V495" i="8"/>
  <c r="X495" i="8"/>
  <c r="U495" i="8"/>
  <c r="T495" i="8"/>
  <c r="Z495" i="8"/>
  <c r="AB495" i="8"/>
  <c r="O199" i="7"/>
  <c r="N199" i="7"/>
  <c r="Q199" i="7" s="1"/>
  <c r="M200" i="7" s="1"/>
  <c r="G198" i="7"/>
  <c r="C199" i="7" s="1"/>
  <c r="F199" i="7" s="1"/>
  <c r="R497" i="8" l="1"/>
  <c r="Z496" i="8"/>
  <c r="AA496" i="8"/>
  <c r="Y496" i="8"/>
  <c r="W496" i="8"/>
  <c r="V496" i="8"/>
  <c r="T496" i="8"/>
  <c r="U496" i="8"/>
  <c r="X496" i="8"/>
  <c r="AB496" i="8"/>
  <c r="L200" i="7"/>
  <c r="P200" i="7"/>
  <c r="B199" i="7"/>
  <c r="R498" i="8" l="1"/>
  <c r="AA497" i="8"/>
  <c r="Z497" i="8"/>
  <c r="Y497" i="8"/>
  <c r="T497" i="8"/>
  <c r="W497" i="8"/>
  <c r="V497" i="8"/>
  <c r="U497" i="8"/>
  <c r="X497" i="8"/>
  <c r="AB497" i="8"/>
  <c r="O200" i="7"/>
  <c r="N200" i="7"/>
  <c r="Q200" i="7" s="1"/>
  <c r="M201" i="7" s="1"/>
  <c r="E199" i="7"/>
  <c r="D199" i="7"/>
  <c r="R499" i="8" l="1"/>
  <c r="W498" i="8"/>
  <c r="AA498" i="8"/>
  <c r="Z498" i="8"/>
  <c r="T498" i="8"/>
  <c r="U498" i="8"/>
  <c r="Y498" i="8"/>
  <c r="V498" i="8"/>
  <c r="X498" i="8"/>
  <c r="AB498" i="8"/>
  <c r="L201" i="7"/>
  <c r="G199" i="7"/>
  <c r="C200" i="7" s="1"/>
  <c r="F200" i="7" s="1"/>
  <c r="R500" i="8" l="1"/>
  <c r="AA499" i="8"/>
  <c r="X499" i="8"/>
  <c r="Z499" i="8"/>
  <c r="Y499" i="8"/>
  <c r="T499" i="8"/>
  <c r="U499" i="8"/>
  <c r="W499" i="8"/>
  <c r="V499" i="8"/>
  <c r="AB499" i="8"/>
  <c r="O201" i="7"/>
  <c r="P201" i="7"/>
  <c r="B200" i="7"/>
  <c r="R501" i="8" l="1"/>
  <c r="Z500" i="8"/>
  <c r="AA500" i="8"/>
  <c r="Y500" i="8"/>
  <c r="U500" i="8"/>
  <c r="X500" i="8"/>
  <c r="T500" i="8"/>
  <c r="W500" i="8"/>
  <c r="V500" i="8"/>
  <c r="AB500" i="8"/>
  <c r="N201" i="7"/>
  <c r="Q201" i="7" s="1"/>
  <c r="L202" i="7" s="1"/>
  <c r="D200" i="7"/>
  <c r="E200" i="7"/>
  <c r="R502" i="8" l="1"/>
  <c r="AA501" i="8"/>
  <c r="X501" i="8"/>
  <c r="U501" i="8"/>
  <c r="Z501" i="8"/>
  <c r="Y501" i="8"/>
  <c r="V501" i="8"/>
  <c r="W501" i="8"/>
  <c r="T501" i="8"/>
  <c r="AB501" i="8"/>
  <c r="M202" i="7"/>
  <c r="O202" i="7"/>
  <c r="G200" i="7"/>
  <c r="B201" i="7" s="1"/>
  <c r="R503" i="8" l="1"/>
  <c r="AA502" i="8"/>
  <c r="Y502" i="8"/>
  <c r="W502" i="8"/>
  <c r="X502" i="8"/>
  <c r="V502" i="8"/>
  <c r="Z502" i="8"/>
  <c r="U502" i="8"/>
  <c r="T502" i="8"/>
  <c r="AB502" i="8"/>
  <c r="E201" i="7"/>
  <c r="C201" i="7"/>
  <c r="R504" i="8" l="1"/>
  <c r="Z503" i="8"/>
  <c r="W503" i="8"/>
  <c r="X503" i="8"/>
  <c r="V503" i="8"/>
  <c r="AA503" i="8"/>
  <c r="Y503" i="8"/>
  <c r="U503" i="8"/>
  <c r="T503" i="8"/>
  <c r="AB503" i="8"/>
  <c r="P202" i="7"/>
  <c r="N202" i="7"/>
  <c r="Q202" i="7" s="1"/>
  <c r="L203" i="7" s="1"/>
  <c r="F201" i="7"/>
  <c r="D201" i="7"/>
  <c r="R505" i="8" l="1"/>
  <c r="Z504" i="8"/>
  <c r="Y504" i="8"/>
  <c r="X504" i="8"/>
  <c r="V504" i="8"/>
  <c r="U504" i="8"/>
  <c r="W504" i="8"/>
  <c r="T504" i="8"/>
  <c r="AA504" i="8"/>
  <c r="AB504" i="8"/>
  <c r="M203" i="7"/>
  <c r="G201" i="7"/>
  <c r="B202" i="7" s="1"/>
  <c r="R506" i="8" l="1"/>
  <c r="AA505" i="8"/>
  <c r="Y505" i="8"/>
  <c r="Z505" i="8"/>
  <c r="W505" i="8"/>
  <c r="T505" i="8"/>
  <c r="X505" i="8"/>
  <c r="V505" i="8"/>
  <c r="U505" i="8"/>
  <c r="AB505" i="8"/>
  <c r="O203" i="7"/>
  <c r="E202" i="7"/>
  <c r="C202" i="7"/>
  <c r="P203" i="7" s="1"/>
  <c r="R507" i="8" l="1"/>
  <c r="AA506" i="8"/>
  <c r="W506" i="8"/>
  <c r="Y506" i="8"/>
  <c r="T506" i="8"/>
  <c r="X506" i="8"/>
  <c r="U506" i="8"/>
  <c r="V506" i="8"/>
  <c r="Z506" i="8"/>
  <c r="AB506" i="8"/>
  <c r="N203" i="7"/>
  <c r="Q203" i="7" s="1"/>
  <c r="L204" i="7" s="1"/>
  <c r="F202" i="7"/>
  <c r="D202" i="7"/>
  <c r="R508" i="8" l="1"/>
  <c r="AA507" i="8"/>
  <c r="Z507" i="8"/>
  <c r="W507" i="8"/>
  <c r="Y507" i="8"/>
  <c r="T507" i="8"/>
  <c r="X507" i="8"/>
  <c r="U507" i="8"/>
  <c r="V507" i="8"/>
  <c r="AB507" i="8"/>
  <c r="M204" i="7"/>
  <c r="G202" i="7"/>
  <c r="B203" i="7" s="1"/>
  <c r="R509" i="8" l="1"/>
  <c r="X508" i="8"/>
  <c r="U508" i="8"/>
  <c r="W508" i="8"/>
  <c r="Z508" i="8"/>
  <c r="T508" i="8"/>
  <c r="Y508" i="8"/>
  <c r="V508" i="8"/>
  <c r="AA508" i="8"/>
  <c r="AB508" i="8"/>
  <c r="O204" i="7"/>
  <c r="C203" i="7"/>
  <c r="E203" i="7"/>
  <c r="Z509" i="8" l="1"/>
  <c r="X509" i="8"/>
  <c r="U509" i="8"/>
  <c r="T509" i="8"/>
  <c r="W509" i="8"/>
  <c r="AA509" i="8"/>
  <c r="Y509" i="8"/>
  <c r="V509" i="8"/>
  <c r="R510" i="8"/>
  <c r="AB509" i="8"/>
  <c r="F203" i="7"/>
  <c r="D203" i="7"/>
  <c r="R511" i="8" l="1"/>
  <c r="AA510" i="8"/>
  <c r="T510" i="8"/>
  <c r="Z510" i="8"/>
  <c r="V510" i="8"/>
  <c r="U510" i="8"/>
  <c r="Y510" i="8"/>
  <c r="W510" i="8"/>
  <c r="X510" i="8"/>
  <c r="AB510" i="8"/>
  <c r="P204" i="7"/>
  <c r="N204" i="7"/>
  <c r="Q204" i="7" s="1"/>
  <c r="L205" i="7" s="1"/>
  <c r="G203" i="7"/>
  <c r="B204" i="7" s="1"/>
  <c r="E204" i="7" s="1"/>
  <c r="R512" i="8" l="1"/>
  <c r="AA511" i="8"/>
  <c r="Y511" i="8"/>
  <c r="V511" i="8"/>
  <c r="Z511" i="8"/>
  <c r="X511" i="8"/>
  <c r="W511" i="8"/>
  <c r="U511" i="8"/>
  <c r="T511" i="8"/>
  <c r="AB511" i="8"/>
  <c r="M205" i="7"/>
  <c r="P205" i="7" s="1"/>
  <c r="C204" i="7"/>
  <c r="F204" i="7" s="1"/>
  <c r="R513" i="8" l="1"/>
  <c r="Z512" i="8"/>
  <c r="AA512" i="8"/>
  <c r="Y512" i="8"/>
  <c r="W512" i="8"/>
  <c r="V512" i="8"/>
  <c r="T512" i="8"/>
  <c r="X512" i="8"/>
  <c r="U512" i="8"/>
  <c r="AB512" i="8"/>
  <c r="D204" i="7"/>
  <c r="G204" i="7" s="1"/>
  <c r="B205" i="7" s="1"/>
  <c r="N205" i="7"/>
  <c r="Q205" i="7" s="1"/>
  <c r="M206" i="7" s="1"/>
  <c r="O205" i="7"/>
  <c r="R514" i="8" l="1"/>
  <c r="Z513" i="8"/>
  <c r="X513" i="8"/>
  <c r="T513" i="8"/>
  <c r="Y513" i="8"/>
  <c r="V513" i="8"/>
  <c r="U513" i="8"/>
  <c r="W513" i="8"/>
  <c r="AA513" i="8"/>
  <c r="AB513" i="8"/>
  <c r="L206" i="7"/>
  <c r="O206" i="7" s="1"/>
  <c r="E205" i="7"/>
  <c r="C205" i="7"/>
  <c r="F205" i="7" s="1"/>
  <c r="R515" i="8" l="1"/>
  <c r="AA514" i="8"/>
  <c r="W514" i="8"/>
  <c r="Y514" i="8"/>
  <c r="X514" i="8"/>
  <c r="T514" i="8"/>
  <c r="Z514" i="8"/>
  <c r="U514" i="8"/>
  <c r="V514" i="8"/>
  <c r="AB514" i="8"/>
  <c r="D205" i="7"/>
  <c r="R516" i="8" l="1"/>
  <c r="AA515" i="8"/>
  <c r="Z515" i="8"/>
  <c r="Y515" i="8"/>
  <c r="X515" i="8"/>
  <c r="U515" i="8"/>
  <c r="V515" i="8"/>
  <c r="T515" i="8"/>
  <c r="W515" i="8"/>
  <c r="AB515" i="8"/>
  <c r="P206" i="7"/>
  <c r="N206" i="7"/>
  <c r="Q206" i="7" s="1"/>
  <c r="L207" i="7" s="1"/>
  <c r="G205" i="7"/>
  <c r="B206" i="7" s="1"/>
  <c r="R517" i="8" l="1"/>
  <c r="AA516" i="8"/>
  <c r="Z516" i="8"/>
  <c r="W516" i="8"/>
  <c r="U516" i="8"/>
  <c r="Y516" i="8"/>
  <c r="X516" i="8"/>
  <c r="T516" i="8"/>
  <c r="V516" i="8"/>
  <c r="AB516" i="8"/>
  <c r="M207" i="7"/>
  <c r="E206" i="7"/>
  <c r="C206" i="7"/>
  <c r="R518" i="8" l="1"/>
  <c r="Z517" i="8"/>
  <c r="X517" i="8"/>
  <c r="U517" i="8"/>
  <c r="W517" i="8"/>
  <c r="V517" i="8"/>
  <c r="Y517" i="8"/>
  <c r="T517" i="8"/>
  <c r="AA517" i="8"/>
  <c r="AB517" i="8"/>
  <c r="P207" i="7"/>
  <c r="N207" i="7"/>
  <c r="Q207" i="7" s="1"/>
  <c r="O207" i="7"/>
  <c r="F206" i="7"/>
  <c r="D206" i="7"/>
  <c r="R519" i="8" l="1"/>
  <c r="Z518" i="8"/>
  <c r="X518" i="8"/>
  <c r="AA518" i="8"/>
  <c r="T518" i="8"/>
  <c r="U518" i="8"/>
  <c r="W518" i="8"/>
  <c r="V518" i="8"/>
  <c r="Y518" i="8"/>
  <c r="AB518" i="8"/>
  <c r="M208" i="7"/>
  <c r="L208" i="7"/>
  <c r="O208" i="7" s="1"/>
  <c r="G206" i="7"/>
  <c r="B207" i="7" s="1"/>
  <c r="R520" i="8" l="1"/>
  <c r="V519" i="8"/>
  <c r="AA519" i="8"/>
  <c r="Z519" i="8"/>
  <c r="Y519" i="8"/>
  <c r="X519" i="8"/>
  <c r="W519" i="8"/>
  <c r="T519" i="8"/>
  <c r="U519" i="8"/>
  <c r="AB519" i="8"/>
  <c r="E207" i="7"/>
  <c r="C207" i="7"/>
  <c r="R521" i="8" l="1"/>
  <c r="Z520" i="8"/>
  <c r="Y520" i="8"/>
  <c r="AA520" i="8"/>
  <c r="V520" i="8"/>
  <c r="X520" i="8"/>
  <c r="W520" i="8"/>
  <c r="T520" i="8"/>
  <c r="U520" i="8"/>
  <c r="AB520" i="8"/>
  <c r="P208" i="7"/>
  <c r="N208" i="7"/>
  <c r="Q208" i="7" s="1"/>
  <c r="L209" i="7" s="1"/>
  <c r="F207" i="7"/>
  <c r="D207" i="7"/>
  <c r="R522" i="8" l="1"/>
  <c r="W521" i="8"/>
  <c r="T521" i="8"/>
  <c r="AA521" i="8"/>
  <c r="Y521" i="8"/>
  <c r="X521" i="8"/>
  <c r="V521" i="8"/>
  <c r="Z521" i="8"/>
  <c r="U521" i="8"/>
  <c r="AB521" i="8"/>
  <c r="M209" i="7"/>
  <c r="G207" i="7"/>
  <c r="B208" i="7" s="1"/>
  <c r="R523" i="8" l="1"/>
  <c r="W522" i="8"/>
  <c r="AA522" i="8"/>
  <c r="T522" i="8"/>
  <c r="Y522" i="8"/>
  <c r="Z522" i="8"/>
  <c r="V522" i="8"/>
  <c r="U522" i="8"/>
  <c r="X522" i="8"/>
  <c r="AB522" i="8"/>
  <c r="O209" i="7"/>
  <c r="E208" i="7"/>
  <c r="C208" i="7"/>
  <c r="R524" i="8" l="1"/>
  <c r="AA523" i="8"/>
  <c r="Y523" i="8"/>
  <c r="X523" i="8"/>
  <c r="V523" i="8"/>
  <c r="W523" i="8"/>
  <c r="U523" i="8"/>
  <c r="Z523" i="8"/>
  <c r="T523" i="8"/>
  <c r="AB523" i="8"/>
  <c r="F208" i="7"/>
  <c r="D208" i="7"/>
  <c r="R525" i="8" l="1"/>
  <c r="AA524" i="8"/>
  <c r="Y524" i="8"/>
  <c r="U524" i="8"/>
  <c r="X524" i="8"/>
  <c r="V524" i="8"/>
  <c r="T524" i="8"/>
  <c r="W524" i="8"/>
  <c r="Z524" i="8"/>
  <c r="AB524" i="8"/>
  <c r="P209" i="7"/>
  <c r="N209" i="7"/>
  <c r="Q209" i="7" s="1"/>
  <c r="L210" i="7" s="1"/>
  <c r="G208" i="7"/>
  <c r="B209" i="7" s="1"/>
  <c r="R526" i="8" l="1"/>
  <c r="AA525" i="8"/>
  <c r="X525" i="8"/>
  <c r="Y525" i="8"/>
  <c r="U525" i="8"/>
  <c r="V525" i="8"/>
  <c r="T525" i="8"/>
  <c r="W525" i="8"/>
  <c r="Z525" i="8"/>
  <c r="AB525" i="8"/>
  <c r="M210" i="7"/>
  <c r="E209" i="7"/>
  <c r="C209" i="7"/>
  <c r="F209" i="7" s="1"/>
  <c r="R527" i="8" l="1"/>
  <c r="AA526" i="8"/>
  <c r="Z526" i="8"/>
  <c r="W526" i="8"/>
  <c r="Y526" i="8"/>
  <c r="X526" i="8"/>
  <c r="U526" i="8"/>
  <c r="T526" i="8"/>
  <c r="V526" i="8"/>
  <c r="AB526" i="8"/>
  <c r="O210" i="7"/>
  <c r="P210" i="7"/>
  <c r="D209" i="7"/>
  <c r="R528" i="8" l="1"/>
  <c r="Z527" i="8"/>
  <c r="X527" i="8"/>
  <c r="AA527" i="8"/>
  <c r="V527" i="8"/>
  <c r="W527" i="8"/>
  <c r="Y527" i="8"/>
  <c r="U527" i="8"/>
  <c r="T527" i="8"/>
  <c r="AB527" i="8"/>
  <c r="N210" i="7"/>
  <c r="Q210" i="7" s="1"/>
  <c r="L211" i="7" s="1"/>
  <c r="G209" i="7"/>
  <c r="B210" i="7" s="1"/>
  <c r="R529" i="8" l="1"/>
  <c r="Z528" i="8"/>
  <c r="Y528" i="8"/>
  <c r="V528" i="8"/>
  <c r="W528" i="8"/>
  <c r="T528" i="8"/>
  <c r="AA528" i="8"/>
  <c r="U528" i="8"/>
  <c r="X528" i="8"/>
  <c r="AB528" i="8"/>
  <c r="M211" i="7"/>
  <c r="E210" i="7"/>
  <c r="C210" i="7"/>
  <c r="F210" i="7" s="1"/>
  <c r="R530" i="8" l="1"/>
  <c r="Z529" i="8"/>
  <c r="T529" i="8"/>
  <c r="AA529" i="8"/>
  <c r="W529" i="8"/>
  <c r="X529" i="8"/>
  <c r="V529" i="8"/>
  <c r="U529" i="8"/>
  <c r="Y529" i="8"/>
  <c r="AB529" i="8"/>
  <c r="O211" i="7"/>
  <c r="P211" i="7"/>
  <c r="D210" i="7"/>
  <c r="R531" i="8" l="1"/>
  <c r="W530" i="8"/>
  <c r="Z530" i="8"/>
  <c r="T530" i="8"/>
  <c r="Y530" i="8"/>
  <c r="V530" i="8"/>
  <c r="U530" i="8"/>
  <c r="AA530" i="8"/>
  <c r="X530" i="8"/>
  <c r="AB530" i="8"/>
  <c r="N211" i="7"/>
  <c r="Q211" i="7" s="1"/>
  <c r="L212" i="7" s="1"/>
  <c r="G210" i="7"/>
  <c r="B211" i="7" s="1"/>
  <c r="AA531" i="8" l="1"/>
  <c r="W531" i="8"/>
  <c r="Z531" i="8"/>
  <c r="T531" i="8"/>
  <c r="U531" i="8"/>
  <c r="X531" i="8"/>
  <c r="Y531" i="8"/>
  <c r="V531" i="8"/>
  <c r="AB531" i="8"/>
  <c r="M212" i="7"/>
  <c r="E211" i="7"/>
  <c r="C211" i="7"/>
  <c r="F211" i="7" s="1"/>
  <c r="O212" i="7" l="1"/>
  <c r="P212" i="7"/>
  <c r="D211" i="7"/>
  <c r="N212" i="7" l="1"/>
  <c r="Q212" i="7" s="1"/>
  <c r="L213" i="7" s="1"/>
  <c r="G211" i="7"/>
  <c r="B212" i="7" s="1"/>
  <c r="M213" i="7" l="1"/>
  <c r="E212" i="7"/>
  <c r="C212" i="7"/>
  <c r="F212" i="7" s="1"/>
  <c r="O213" i="7" l="1"/>
  <c r="P213" i="7"/>
  <c r="D212" i="7"/>
  <c r="N213" i="7" l="1"/>
  <c r="Q213" i="7" s="1"/>
  <c r="L214" i="7" s="1"/>
  <c r="G212" i="7"/>
  <c r="B213" i="7" s="1"/>
  <c r="M214" i="7" l="1"/>
  <c r="E213" i="7"/>
  <c r="C213" i="7"/>
  <c r="F213" i="7" s="1"/>
  <c r="O214" i="7" l="1"/>
  <c r="P214" i="7"/>
  <c r="D213" i="7"/>
  <c r="N214" i="7" l="1"/>
  <c r="Q214" i="7" s="1"/>
  <c r="L215" i="7" s="1"/>
  <c r="G213" i="7"/>
  <c r="B214" i="7" s="1"/>
  <c r="M215" i="7" l="1"/>
  <c r="E214" i="7"/>
  <c r="C214" i="7"/>
  <c r="P215" i="7" l="1"/>
  <c r="N215" i="7"/>
  <c r="Q215" i="7" s="1"/>
  <c r="O215" i="7"/>
  <c r="F214" i="7"/>
  <c r="D214" i="7"/>
  <c r="L216" i="7" l="1"/>
  <c r="O216" i="7" s="1"/>
  <c r="M216" i="7"/>
  <c r="G214" i="7"/>
  <c r="B215" i="7" s="1"/>
  <c r="E215" i="7" l="1"/>
  <c r="C215" i="7"/>
  <c r="D215" i="7" l="1"/>
  <c r="G215" i="7" s="1"/>
  <c r="B216" i="7" s="1"/>
  <c r="F215" i="7"/>
  <c r="P216" i="7" l="1"/>
  <c r="N216" i="7"/>
  <c r="Q216" i="7" s="1"/>
  <c r="L217" i="7" s="1"/>
  <c r="C216" i="7"/>
  <c r="F216" i="7" s="1"/>
  <c r="E216" i="7"/>
  <c r="M217" i="7" l="1"/>
  <c r="P217" i="7" s="1"/>
  <c r="D216" i="7"/>
  <c r="G216" i="7" s="1"/>
  <c r="C217" i="7" s="1"/>
  <c r="F217" i="7" s="1"/>
  <c r="N217" i="7" l="1"/>
  <c r="Q217" i="7" s="1"/>
  <c r="O217" i="7"/>
  <c r="B217" i="7"/>
  <c r="L218" i="7" l="1"/>
  <c r="O218" i="7" s="1"/>
  <c r="M218" i="7"/>
  <c r="P218" i="7" s="1"/>
  <c r="E217" i="7"/>
  <c r="D217" i="7"/>
  <c r="N218" i="7" l="1"/>
  <c r="Q218" i="7" s="1"/>
  <c r="M219" i="7" s="1"/>
  <c r="G217" i="7"/>
  <c r="C218" i="7" s="1"/>
  <c r="F218" i="7" s="1"/>
  <c r="L219" i="7" l="1"/>
  <c r="O219" i="7" s="1"/>
  <c r="B218" i="7"/>
  <c r="E218" i="7" s="1"/>
  <c r="P219" i="7" l="1"/>
  <c r="N219" i="7"/>
  <c r="Q219" i="7" s="1"/>
  <c r="L220" i="7" s="1"/>
  <c r="D218" i="7"/>
  <c r="G218" i="7" s="1"/>
  <c r="C219" i="7" s="1"/>
  <c r="F219" i="7" s="1"/>
  <c r="M220" i="7" l="1"/>
  <c r="P220" i="7" s="1"/>
  <c r="B219" i="7"/>
  <c r="D219" i="7" s="1"/>
  <c r="O220" i="7" l="1"/>
  <c r="N220" i="7"/>
  <c r="Q220" i="7" s="1"/>
  <c r="M221" i="7" s="1"/>
  <c r="E219" i="7"/>
  <c r="G219" i="7"/>
  <c r="L221" i="7" l="1"/>
  <c r="B220" i="7"/>
  <c r="E220" i="7" s="1"/>
  <c r="C220" i="7"/>
  <c r="F220" i="7" s="1"/>
  <c r="O221" i="7" l="1"/>
  <c r="P221" i="7"/>
  <c r="D220" i="7"/>
  <c r="N221" i="7" l="1"/>
  <c r="Q221" i="7" s="1"/>
  <c r="L222" i="7" s="1"/>
  <c r="G220" i="7"/>
  <c r="B221" i="7" s="1"/>
  <c r="M222" i="7" l="1"/>
  <c r="E221" i="7"/>
  <c r="C221" i="7"/>
  <c r="D221" i="7" s="1"/>
  <c r="O222" i="7" l="1"/>
  <c r="P222" i="7"/>
  <c r="G221" i="7"/>
  <c r="B222" i="7" s="1"/>
  <c r="F221" i="7"/>
  <c r="N222" i="7" l="1"/>
  <c r="Q222" i="7" s="1"/>
  <c r="L223" i="7" s="1"/>
  <c r="C222" i="7"/>
  <c r="F222" i="7" s="1"/>
  <c r="E222" i="7"/>
  <c r="M223" i="7" l="1"/>
  <c r="P223" i="7" s="1"/>
  <c r="O223" i="7"/>
  <c r="D222" i="7"/>
  <c r="G222" i="7" s="1"/>
  <c r="N223" i="7" l="1"/>
  <c r="Q223" i="7" s="1"/>
  <c r="L224" i="7" s="1"/>
  <c r="C223" i="7"/>
  <c r="F223" i="7" s="1"/>
  <c r="B223" i="7"/>
  <c r="E223" i="7" s="1"/>
  <c r="M224" i="7" l="1"/>
  <c r="P224" i="7" s="1"/>
  <c r="D223" i="7"/>
  <c r="G223" i="7" s="1"/>
  <c r="C224" i="7" s="1"/>
  <c r="F224" i="7" s="1"/>
  <c r="O224" i="7" l="1"/>
  <c r="N224" i="7"/>
  <c r="Q224" i="7" s="1"/>
  <c r="M225" i="7" s="1"/>
  <c r="B224" i="7"/>
  <c r="P225" i="7" l="1"/>
  <c r="L225" i="7"/>
  <c r="E224" i="7"/>
  <c r="D224" i="7"/>
  <c r="N225" i="7" l="1"/>
  <c r="Q225" i="7" s="1"/>
  <c r="M226" i="7" s="1"/>
  <c r="O225" i="7"/>
  <c r="G224" i="7"/>
  <c r="C225" i="7" s="1"/>
  <c r="F225" i="7" s="1"/>
  <c r="L226" i="7" l="1"/>
  <c r="O226" i="7" s="1"/>
  <c r="P226" i="7"/>
  <c r="B225" i="7"/>
  <c r="N226" i="7" l="1"/>
  <c r="Q226" i="7" s="1"/>
  <c r="L227" i="7" s="1"/>
  <c r="E225" i="7"/>
  <c r="D225" i="7"/>
  <c r="M227" i="7" l="1"/>
  <c r="O227" i="7"/>
  <c r="G225" i="7"/>
  <c r="C226" i="7" s="1"/>
  <c r="F226" i="7" s="1"/>
  <c r="B226" i="7" l="1"/>
  <c r="E226" i="7" s="1"/>
  <c r="D226" i="7" l="1"/>
  <c r="G226" i="7" s="1"/>
  <c r="B227" i="7" s="1"/>
  <c r="P227" i="7"/>
  <c r="N227" i="7"/>
  <c r="Q227" i="7" s="1"/>
  <c r="L228" i="7" s="1"/>
  <c r="M228" i="7" l="1"/>
  <c r="E227" i="7"/>
  <c r="C227" i="7"/>
  <c r="P228" i="7" l="1"/>
  <c r="N228" i="7"/>
  <c r="Q228" i="7" s="1"/>
  <c r="O228" i="7"/>
  <c r="F227" i="7"/>
  <c r="D227" i="7"/>
  <c r="M229" i="7" l="1"/>
  <c r="L229" i="7"/>
  <c r="O229" i="7" s="1"/>
  <c r="G227" i="7"/>
  <c r="B228" i="7" s="1"/>
  <c r="E228" i="7" l="1"/>
  <c r="C228" i="7"/>
  <c r="F228" i="7" l="1"/>
  <c r="D228" i="7"/>
  <c r="P229" i="7" l="1"/>
  <c r="N229" i="7"/>
  <c r="Q229" i="7" s="1"/>
  <c r="L230" i="7" s="1"/>
  <c r="G228" i="7"/>
  <c r="B229" i="7" s="1"/>
  <c r="M230" i="7" l="1"/>
  <c r="E229" i="7"/>
  <c r="C229" i="7"/>
  <c r="F229" i="7" s="1"/>
  <c r="O230" i="7" l="1"/>
  <c r="P230" i="7"/>
  <c r="D229" i="7"/>
  <c r="N230" i="7" l="1"/>
  <c r="Q230" i="7" s="1"/>
  <c r="L231" i="7" s="1"/>
  <c r="G229" i="7"/>
  <c r="B230" i="7" s="1"/>
  <c r="M231" i="7" l="1"/>
  <c r="O231" i="7"/>
  <c r="C230" i="7"/>
  <c r="F230" i="7" s="1"/>
  <c r="E230" i="7"/>
  <c r="D230" i="7" l="1"/>
  <c r="G230" i="7" s="1"/>
  <c r="C231" i="7" s="1"/>
  <c r="F231" i="7" s="1"/>
  <c r="P231" i="7" l="1"/>
  <c r="N231" i="7"/>
  <c r="Q231" i="7" s="1"/>
  <c r="L232" i="7" s="1"/>
  <c r="B231" i="7"/>
  <c r="M232" i="7" l="1"/>
  <c r="P232" i="7" s="1"/>
  <c r="E231" i="7"/>
  <c r="D231" i="7"/>
  <c r="N232" i="7" l="1"/>
  <c r="Q232" i="7" s="1"/>
  <c r="M233" i="7" s="1"/>
  <c r="O232" i="7"/>
  <c r="G231" i="7"/>
  <c r="C232" i="7" s="1"/>
  <c r="F232" i="7" s="1"/>
  <c r="L233" i="7" l="1"/>
  <c r="O233" i="7" s="1"/>
  <c r="P233" i="7"/>
  <c r="B232" i="7"/>
  <c r="D232" i="7" s="1"/>
  <c r="E232" i="7" l="1"/>
  <c r="N233" i="7"/>
  <c r="Q233" i="7" s="1"/>
  <c r="L234" i="7" s="1"/>
  <c r="G232" i="7"/>
  <c r="C233" i="7" s="1"/>
  <c r="F233" i="7" s="1"/>
  <c r="M234" i="7" l="1"/>
  <c r="P234" i="7" s="1"/>
  <c r="B233" i="7"/>
  <c r="D233" i="7" s="1"/>
  <c r="E233" i="7" l="1"/>
  <c r="N234" i="7"/>
  <c r="Q234" i="7" s="1"/>
  <c r="M235" i="7" s="1"/>
  <c r="O234" i="7"/>
  <c r="G233" i="7"/>
  <c r="C234" i="7" s="1"/>
  <c r="F234" i="7" s="1"/>
  <c r="L235" i="7" l="1"/>
  <c r="O235" i="7" s="1"/>
  <c r="P235" i="7"/>
  <c r="B234" i="7"/>
  <c r="D234" i="7" s="1"/>
  <c r="E234" i="7" l="1"/>
  <c r="N235" i="7"/>
  <c r="Q235" i="7" s="1"/>
  <c r="L236" i="7" s="1"/>
  <c r="G234" i="7"/>
  <c r="B235" i="7" l="1"/>
  <c r="E235" i="7" s="1"/>
  <c r="M236" i="7"/>
  <c r="C235" i="7"/>
  <c r="P236" i="7" l="1"/>
  <c r="N236" i="7"/>
  <c r="Q236" i="7" s="1"/>
  <c r="O236" i="7"/>
  <c r="F235" i="7"/>
  <c r="D235" i="7"/>
  <c r="M237" i="7" l="1"/>
  <c r="L237" i="7"/>
  <c r="O237" i="7" s="1"/>
  <c r="G235" i="7"/>
  <c r="B236" i="7" s="1"/>
  <c r="E236" i="7" l="1"/>
  <c r="C236" i="7"/>
  <c r="P237" i="7" l="1"/>
  <c r="N237" i="7"/>
  <c r="Q237" i="7" s="1"/>
  <c r="L238" i="7" s="1"/>
  <c r="F236" i="7"/>
  <c r="D236" i="7"/>
  <c r="M238" i="7" l="1"/>
  <c r="G236" i="7"/>
  <c r="B237" i="7" s="1"/>
  <c r="O238" i="7" l="1"/>
  <c r="E237" i="7"/>
  <c r="C237" i="7"/>
  <c r="F237" i="7" l="1"/>
  <c r="D237" i="7"/>
  <c r="P238" i="7" l="1"/>
  <c r="N238" i="7"/>
  <c r="Q238" i="7" s="1"/>
  <c r="L239" i="7" s="1"/>
  <c r="G237" i="7"/>
  <c r="B238" i="7" s="1"/>
  <c r="M239" i="7" l="1"/>
  <c r="E238" i="7"/>
  <c r="C238" i="7"/>
  <c r="F238" i="7" s="1"/>
  <c r="O239" i="7" l="1"/>
  <c r="P239" i="7"/>
  <c r="D238" i="7"/>
  <c r="N239" i="7" l="1"/>
  <c r="Q239" i="7" s="1"/>
  <c r="L240" i="7" s="1"/>
  <c r="G238" i="7"/>
  <c r="B239" i="7" s="1"/>
  <c r="M240" i="7" l="1"/>
  <c r="E239" i="7"/>
  <c r="C239" i="7"/>
  <c r="F239" i="7" s="1"/>
  <c r="O240" i="7" l="1"/>
  <c r="P240" i="7"/>
  <c r="D239" i="7"/>
  <c r="N240" i="7" l="1"/>
  <c r="Q240" i="7" s="1"/>
  <c r="L241" i="7" s="1"/>
  <c r="G239" i="7"/>
  <c r="B240" i="7" s="1"/>
  <c r="M241" i="7" l="1"/>
  <c r="O241" i="7"/>
  <c r="E240" i="7"/>
  <c r="C240" i="7"/>
  <c r="P241" i="7" l="1"/>
  <c r="N241" i="7"/>
  <c r="Q241" i="7" s="1"/>
  <c r="L242" i="7" s="1"/>
  <c r="F240" i="7"/>
  <c r="D240" i="7"/>
  <c r="M242" i="7" l="1"/>
  <c r="G240" i="7"/>
  <c r="B241" i="7" s="1"/>
  <c r="O242" i="7" l="1"/>
  <c r="E241" i="7"/>
  <c r="C241" i="7"/>
  <c r="P242" i="7" s="1"/>
  <c r="N242" i="7" l="1"/>
  <c r="Q242" i="7" s="1"/>
  <c r="L243" i="7" s="1"/>
  <c r="F241" i="7"/>
  <c r="D241" i="7"/>
  <c r="M243" i="7" l="1"/>
  <c r="G241" i="7"/>
  <c r="B242" i="7" s="1"/>
  <c r="O243" i="7" l="1"/>
  <c r="E242" i="7"/>
  <c r="C242" i="7"/>
  <c r="F242" i="7" l="1"/>
  <c r="D242" i="7"/>
  <c r="P243" i="7" l="1"/>
  <c r="N243" i="7"/>
  <c r="Q243" i="7" s="1"/>
  <c r="L244" i="7" s="1"/>
  <c r="G242" i="7"/>
  <c r="B243" i="7" s="1"/>
  <c r="M244" i="7" l="1"/>
  <c r="C243" i="7"/>
  <c r="D243" i="7" s="1"/>
  <c r="E243" i="7"/>
  <c r="O244" i="7" l="1"/>
  <c r="P244" i="7"/>
  <c r="G243" i="7"/>
  <c r="B244" i="7" s="1"/>
  <c r="F243" i="7"/>
  <c r="C244" i="7" l="1"/>
  <c r="F244" i="7" s="1"/>
  <c r="N244" i="7"/>
  <c r="Q244" i="7" s="1"/>
  <c r="E244" i="7"/>
  <c r="D244" i="7" l="1"/>
  <c r="G244" i="7" s="1"/>
  <c r="C245" i="7" s="1"/>
  <c r="F245" i="7" s="1"/>
  <c r="M245" i="7"/>
  <c r="P245" i="7" s="1"/>
  <c r="L245" i="7"/>
  <c r="B245" i="7" l="1"/>
  <c r="E245" i="7" s="1"/>
  <c r="N245" i="7"/>
  <c r="Q245" i="7" s="1"/>
  <c r="O245" i="7"/>
  <c r="L246" i="7" l="1"/>
  <c r="O246" i="7" s="1"/>
  <c r="D245" i="7"/>
  <c r="G245" i="7" s="1"/>
  <c r="C246" i="7" s="1"/>
  <c r="F246" i="7" s="1"/>
  <c r="M246" i="7"/>
  <c r="N246" i="7" l="1"/>
  <c r="Q246" i="7" s="1"/>
  <c r="L247" i="7" s="1"/>
  <c r="O247" i="7" s="1"/>
  <c r="P246" i="7"/>
  <c r="B246" i="7"/>
  <c r="E246" i="7" s="1"/>
  <c r="M247" i="7" l="1"/>
  <c r="P247" i="7" s="1"/>
  <c r="D246" i="7"/>
  <c r="G246" i="7" s="1"/>
  <c r="B247" i="7" s="1"/>
  <c r="N247" i="7" l="1"/>
  <c r="Q247" i="7" s="1"/>
  <c r="L248" i="7" s="1"/>
  <c r="E247" i="7"/>
  <c r="C247" i="7"/>
  <c r="F247" i="7" s="1"/>
  <c r="M248" i="7" l="1"/>
  <c r="P248" i="7" s="1"/>
  <c r="O248" i="7"/>
  <c r="D247" i="7"/>
  <c r="N248" i="7" l="1"/>
  <c r="Q248" i="7" s="1"/>
  <c r="L249" i="7" s="1"/>
  <c r="G247" i="7"/>
  <c r="B248" i="7" s="1"/>
  <c r="M249" i="7" l="1"/>
  <c r="E248" i="7"/>
  <c r="C248" i="7"/>
  <c r="D248" i="7" s="1"/>
  <c r="O249" i="7" l="1"/>
  <c r="P249" i="7"/>
  <c r="G248" i="7"/>
  <c r="B249" i="7" s="1"/>
  <c r="F248" i="7"/>
  <c r="C249" i="7" l="1"/>
  <c r="F249" i="7" s="1"/>
  <c r="N249" i="7"/>
  <c r="Q249" i="7" s="1"/>
  <c r="E249" i="7"/>
  <c r="D249" i="7" l="1"/>
  <c r="G249" i="7" s="1"/>
  <c r="C250" i="7" s="1"/>
  <c r="F250" i="7" s="1"/>
  <c r="M250" i="7"/>
  <c r="P250" i="7" s="1"/>
  <c r="L250" i="7"/>
  <c r="B250" i="7" l="1"/>
  <c r="E250" i="7" s="1"/>
  <c r="N250" i="7"/>
  <c r="Q250" i="7" s="1"/>
  <c r="O250" i="7"/>
  <c r="D250" i="7" l="1"/>
  <c r="G250" i="7" s="1"/>
  <c r="B251" i="7" s="1"/>
  <c r="M251" i="7"/>
  <c r="P251" i="7" s="1"/>
  <c r="L251" i="7"/>
  <c r="N251" i="7" l="1"/>
  <c r="Q251" i="7" s="1"/>
  <c r="M252" i="7" s="1"/>
  <c r="O251" i="7"/>
  <c r="E251" i="7"/>
  <c r="C251" i="7"/>
  <c r="F251" i="7" s="1"/>
  <c r="L252" i="7" l="1"/>
  <c r="O252" i="7" s="1"/>
  <c r="D251" i="7"/>
  <c r="P252" i="7" l="1"/>
  <c r="N252" i="7"/>
  <c r="Q252" i="7" s="1"/>
  <c r="L253" i="7" s="1"/>
  <c r="G251" i="7"/>
  <c r="B252" i="7" s="1"/>
  <c r="M253" i="7" l="1"/>
  <c r="E252" i="7"/>
  <c r="C252" i="7"/>
  <c r="D252" i="7" s="1"/>
  <c r="O253" i="7" l="1"/>
  <c r="P253" i="7"/>
  <c r="G252" i="7"/>
  <c r="B253" i="7" s="1"/>
  <c r="F252" i="7"/>
  <c r="N253" i="7" l="1"/>
  <c r="Q253" i="7" s="1"/>
  <c r="C253" i="7"/>
  <c r="F253" i="7" s="1"/>
  <c r="E253" i="7"/>
  <c r="D253" i="7" l="1"/>
  <c r="G253" i="7" s="1"/>
  <c r="B254" i="7" s="1"/>
  <c r="M254" i="7"/>
  <c r="P254" i="7" s="1"/>
  <c r="L254" i="7"/>
  <c r="O254" i="7" s="1"/>
  <c r="N254" i="7" l="1"/>
  <c r="Q254" i="7" s="1"/>
  <c r="M255" i="7" s="1"/>
  <c r="E254" i="7"/>
  <c r="C254" i="7"/>
  <c r="F254" i="7" s="1"/>
  <c r="L255" i="7" l="1"/>
  <c r="O255" i="7" s="1"/>
  <c r="P255" i="7"/>
  <c r="D254" i="7"/>
  <c r="N255" i="7" l="1"/>
  <c r="Q255" i="7" s="1"/>
  <c r="L256" i="7" s="1"/>
  <c r="G254" i="7"/>
  <c r="B255" i="7" s="1"/>
  <c r="M256" i="7" l="1"/>
  <c r="O256" i="7"/>
  <c r="E255" i="7"/>
  <c r="C255" i="7"/>
  <c r="P256" i="7" l="1"/>
  <c r="N256" i="7"/>
  <c r="Q256" i="7" s="1"/>
  <c r="L257" i="7" s="1"/>
  <c r="F255" i="7"/>
  <c r="D255" i="7"/>
  <c r="M257" i="7" l="1"/>
  <c r="O257" i="7"/>
  <c r="G255" i="7"/>
  <c r="B256" i="7" s="1"/>
  <c r="E256" i="7" l="1"/>
  <c r="C256" i="7"/>
  <c r="F256" i="7" l="1"/>
  <c r="D256" i="7"/>
  <c r="P257" i="7" l="1"/>
  <c r="N257" i="7"/>
  <c r="Q257" i="7" s="1"/>
  <c r="L258" i="7" s="1"/>
  <c r="G256" i="7"/>
  <c r="B257" i="7" s="1"/>
  <c r="M258" i="7" l="1"/>
  <c r="E257" i="7"/>
  <c r="C257" i="7"/>
  <c r="F257" i="7" s="1"/>
  <c r="O258" i="7" l="1"/>
  <c r="P258" i="7"/>
  <c r="D257" i="7"/>
  <c r="N258" i="7" l="1"/>
  <c r="Q258" i="7" s="1"/>
  <c r="L259" i="7" s="1"/>
  <c r="G257" i="7"/>
  <c r="B258" i="7" s="1"/>
  <c r="M259" i="7" l="1"/>
  <c r="C258" i="7"/>
  <c r="F258" i="7" s="1"/>
  <c r="E258" i="7"/>
  <c r="D258" i="7" l="1"/>
  <c r="G258" i="7" s="1"/>
  <c r="B259" i="7" s="1"/>
  <c r="O259" i="7"/>
  <c r="P259" i="7"/>
  <c r="N259" i="7" l="1"/>
  <c r="Q259" i="7" s="1"/>
  <c r="L260" i="7" s="1"/>
  <c r="E259" i="7"/>
  <c r="C259" i="7"/>
  <c r="F259" i="7" s="1"/>
  <c r="M260" i="7" l="1"/>
  <c r="P260" i="7" s="1"/>
  <c r="O260" i="7"/>
  <c r="D259" i="7"/>
  <c r="N260" i="7" l="1"/>
  <c r="Q260" i="7" s="1"/>
  <c r="L261" i="7" s="1"/>
  <c r="G259" i="7"/>
  <c r="B260" i="7" s="1"/>
  <c r="M261" i="7" l="1"/>
  <c r="E260" i="7"/>
  <c r="C260" i="7"/>
  <c r="P261" i="7" l="1"/>
  <c r="O261" i="7"/>
  <c r="N261" i="7"/>
  <c r="Q261" i="7" s="1"/>
  <c r="F260" i="7"/>
  <c r="D260" i="7"/>
  <c r="M262" i="7" l="1"/>
  <c r="L262" i="7"/>
  <c r="G260" i="7"/>
  <c r="B261" i="7" s="1"/>
  <c r="O262" i="7" l="1"/>
  <c r="E261" i="7"/>
  <c r="C261" i="7"/>
  <c r="P262" i="7" s="1"/>
  <c r="N262" i="7" l="1"/>
  <c r="Q262" i="7" s="1"/>
  <c r="L263" i="7" s="1"/>
  <c r="F261" i="7"/>
  <c r="D261" i="7"/>
  <c r="M263" i="7" l="1"/>
  <c r="G261" i="7"/>
  <c r="B262" i="7" s="1"/>
  <c r="O263" i="7" l="1"/>
  <c r="E262" i="7"/>
  <c r="C262" i="7"/>
  <c r="F262" i="7" l="1"/>
  <c r="D262" i="7"/>
  <c r="P263" i="7" l="1"/>
  <c r="N263" i="7"/>
  <c r="Q263" i="7" s="1"/>
  <c r="L264" i="7" s="1"/>
  <c r="G262" i="7"/>
  <c r="B263" i="7" s="1"/>
  <c r="M264" i="7" l="1"/>
  <c r="E263" i="7"/>
  <c r="C263" i="7"/>
  <c r="F263" i="7" s="1"/>
  <c r="O264" i="7" l="1"/>
  <c r="P264" i="7"/>
  <c r="D263" i="7"/>
  <c r="N264" i="7" l="1"/>
  <c r="Q264" i="7" s="1"/>
  <c r="L265" i="7" s="1"/>
  <c r="G263" i="7"/>
  <c r="B264" i="7" s="1"/>
  <c r="M265" i="7" l="1"/>
  <c r="E264" i="7"/>
  <c r="C264" i="7"/>
  <c r="F264" i="7" s="1"/>
  <c r="O265" i="7" l="1"/>
  <c r="P265" i="7"/>
  <c r="D264" i="7"/>
  <c r="N265" i="7" l="1"/>
  <c r="Q265" i="7" s="1"/>
  <c r="L266" i="7" s="1"/>
  <c r="G264" i="7"/>
  <c r="B265" i="7" s="1"/>
  <c r="M266" i="7" l="1"/>
  <c r="C265" i="7"/>
  <c r="F265" i="7" s="1"/>
  <c r="E265" i="7"/>
  <c r="O266" i="7" l="1"/>
  <c r="P266" i="7"/>
  <c r="D265" i="7"/>
  <c r="G265" i="7" s="1"/>
  <c r="B266" i="7" s="1"/>
  <c r="N266" i="7" l="1"/>
  <c r="Q266" i="7" s="1"/>
  <c r="L267" i="7" s="1"/>
  <c r="E266" i="7"/>
  <c r="C266" i="7"/>
  <c r="F266" i="7" s="1"/>
  <c r="M267" i="7" l="1"/>
  <c r="P267" i="7" s="1"/>
  <c r="D266" i="7"/>
  <c r="N267" i="7" l="1"/>
  <c r="Q267" i="7" s="1"/>
  <c r="M268" i="7" s="1"/>
  <c r="O267" i="7"/>
  <c r="G266" i="7"/>
  <c r="B267" i="7" s="1"/>
  <c r="L268" i="7" l="1"/>
  <c r="O268" i="7" s="1"/>
  <c r="E267" i="7"/>
  <c r="C267" i="7"/>
  <c r="P268" i="7" l="1"/>
  <c r="N268" i="7"/>
  <c r="Q268" i="7" s="1"/>
  <c r="L269" i="7" s="1"/>
  <c r="F267" i="7"/>
  <c r="D267" i="7"/>
  <c r="M269" i="7" l="1"/>
  <c r="O269" i="7"/>
  <c r="G267" i="7"/>
  <c r="B268" i="7" s="1"/>
  <c r="E268" i="7" l="1"/>
  <c r="C268" i="7"/>
  <c r="F268" i="7" l="1"/>
  <c r="D268" i="7"/>
  <c r="P269" i="7" l="1"/>
  <c r="N269" i="7"/>
  <c r="Q269" i="7" s="1"/>
  <c r="L270" i="7" s="1"/>
  <c r="G268" i="7"/>
  <c r="B269" i="7" s="1"/>
  <c r="M270" i="7" l="1"/>
  <c r="E269" i="7"/>
  <c r="C269" i="7"/>
  <c r="F269" i="7" s="1"/>
  <c r="O270" i="7" l="1"/>
  <c r="P270" i="7"/>
  <c r="D269" i="7"/>
  <c r="N270" i="7" l="1"/>
  <c r="Q270" i="7" s="1"/>
  <c r="L271" i="7" s="1"/>
  <c r="G269" i="7"/>
  <c r="B270" i="7" s="1"/>
  <c r="M271" i="7" l="1"/>
  <c r="E270" i="7"/>
  <c r="C270" i="7"/>
  <c r="F270" i="7" s="1"/>
  <c r="O271" i="7" l="1"/>
  <c r="P271" i="7"/>
  <c r="D270" i="7"/>
  <c r="N271" i="7" l="1"/>
  <c r="Q271" i="7" s="1"/>
  <c r="L272" i="7" s="1"/>
  <c r="G270" i="7"/>
  <c r="B271" i="7" s="1"/>
  <c r="M272" i="7" l="1"/>
  <c r="E271" i="7"/>
  <c r="C271" i="7"/>
  <c r="F271" i="7" s="1"/>
  <c r="O272" i="7" l="1"/>
  <c r="P272" i="7"/>
  <c r="D271" i="7"/>
  <c r="N272" i="7" l="1"/>
  <c r="Q272" i="7" s="1"/>
  <c r="L273" i="7" s="1"/>
  <c r="G271" i="7"/>
  <c r="B272" i="7" s="1"/>
  <c r="M273" i="7" l="1"/>
  <c r="E272" i="7"/>
  <c r="C272" i="7"/>
  <c r="P273" i="7" l="1"/>
  <c r="N273" i="7"/>
  <c r="Q273" i="7" s="1"/>
  <c r="O273" i="7"/>
  <c r="F272" i="7"/>
  <c r="D272" i="7"/>
  <c r="M274" i="7" l="1"/>
  <c r="L274" i="7"/>
  <c r="O274" i="7" s="1"/>
  <c r="G272" i="7"/>
  <c r="B273" i="7" s="1"/>
  <c r="E273" i="7" l="1"/>
  <c r="C273" i="7"/>
  <c r="P274" i="7" l="1"/>
  <c r="N274" i="7"/>
  <c r="Q274" i="7" s="1"/>
  <c r="L275" i="7" s="1"/>
  <c r="F273" i="7"/>
  <c r="D273" i="7"/>
  <c r="M275" i="7" l="1"/>
  <c r="G273" i="7"/>
  <c r="B274" i="7" s="1"/>
  <c r="O275" i="7" l="1"/>
  <c r="C274" i="7"/>
  <c r="D274" i="7" s="1"/>
  <c r="E274" i="7"/>
  <c r="F274" i="7" l="1"/>
  <c r="G274" i="7"/>
  <c r="C275" i="7" l="1"/>
  <c r="F275" i="7" s="1"/>
  <c r="P275" i="7"/>
  <c r="N275" i="7"/>
  <c r="Q275" i="7" s="1"/>
  <c r="L276" i="7" s="1"/>
  <c r="B275" i="7"/>
  <c r="M276" i="7" l="1"/>
  <c r="P276" i="7" s="1"/>
  <c r="D275" i="7"/>
  <c r="G275" i="7" s="1"/>
  <c r="C276" i="7" s="1"/>
  <c r="F276" i="7" s="1"/>
  <c r="E275" i="7"/>
  <c r="N276" i="7" l="1"/>
  <c r="Q276" i="7" s="1"/>
  <c r="M277" i="7" s="1"/>
  <c r="O276" i="7"/>
  <c r="B276" i="7"/>
  <c r="E276" i="7" s="1"/>
  <c r="D276" i="7" l="1"/>
  <c r="G276" i="7" s="1"/>
  <c r="C277" i="7" s="1"/>
  <c r="F277" i="7" s="1"/>
  <c r="P277" i="7"/>
  <c r="L277" i="7"/>
  <c r="N277" i="7" s="1"/>
  <c r="Q277" i="7" s="1"/>
  <c r="O277" i="7" l="1"/>
  <c r="L278" i="7" s="1"/>
  <c r="O278" i="7" s="1"/>
  <c r="M278" i="7"/>
  <c r="P278" i="7" s="1"/>
  <c r="B277" i="7"/>
  <c r="N278" i="7" l="1"/>
  <c r="Q278" i="7" s="1"/>
  <c r="L279" i="7" s="1"/>
  <c r="E277" i="7"/>
  <c r="D277" i="7"/>
  <c r="M279" i="7" l="1"/>
  <c r="O279" i="7"/>
  <c r="G277" i="7"/>
  <c r="C278" i="7" s="1"/>
  <c r="P279" i="7" l="1"/>
  <c r="N279" i="7"/>
  <c r="Q279" i="7" s="1"/>
  <c r="L280" i="7" s="1"/>
  <c r="F278" i="7"/>
  <c r="B278" i="7"/>
  <c r="M280" i="7" l="1"/>
  <c r="E278" i="7"/>
  <c r="D278" i="7"/>
  <c r="O280" i="7" l="1"/>
  <c r="G278" i="7"/>
  <c r="C279" i="7" s="1"/>
  <c r="F279" i="7" l="1"/>
  <c r="B279" i="7"/>
  <c r="P280" i="7" l="1"/>
  <c r="N280" i="7"/>
  <c r="Q280" i="7" s="1"/>
  <c r="L281" i="7" s="1"/>
  <c r="E279" i="7"/>
  <c r="D279" i="7"/>
  <c r="M281" i="7" l="1"/>
  <c r="G279" i="7"/>
  <c r="B280" i="7" s="1"/>
  <c r="O281" i="7" l="1"/>
  <c r="E280" i="7"/>
  <c r="C280" i="7"/>
  <c r="P281" i="7" s="1"/>
  <c r="N281" i="7" l="1"/>
  <c r="Q281" i="7" s="1"/>
  <c r="L282" i="7" s="1"/>
  <c r="F280" i="7"/>
  <c r="D280" i="7"/>
  <c r="M282" i="7" l="1"/>
  <c r="G280" i="7"/>
  <c r="B281" i="7" s="1"/>
  <c r="O282" i="7" l="1"/>
  <c r="E281" i="7"/>
  <c r="C281" i="7"/>
  <c r="P282" i="7" s="1"/>
  <c r="N282" i="7" l="1"/>
  <c r="Q282" i="7" s="1"/>
  <c r="L283" i="7" s="1"/>
  <c r="F281" i="7"/>
  <c r="D281" i="7"/>
  <c r="M283" i="7" l="1"/>
  <c r="O283" i="7"/>
  <c r="G281" i="7"/>
  <c r="B282" i="7" s="1"/>
  <c r="E282" i="7" l="1"/>
  <c r="C282" i="7"/>
  <c r="P283" i="7" l="1"/>
  <c r="N283" i="7"/>
  <c r="Q283" i="7" s="1"/>
  <c r="L284" i="7" s="1"/>
  <c r="F282" i="7"/>
  <c r="D282" i="7"/>
  <c r="M284" i="7" l="1"/>
  <c r="G282" i="7"/>
  <c r="B283" i="7" s="1"/>
  <c r="O284" i="7" l="1"/>
  <c r="E283" i="7"/>
  <c r="C283" i="7"/>
  <c r="P284" i="7" s="1"/>
  <c r="N284" i="7" l="1"/>
  <c r="Q284" i="7" s="1"/>
  <c r="L285" i="7" s="1"/>
  <c r="F283" i="7"/>
  <c r="D283" i="7"/>
  <c r="M285" i="7" l="1"/>
  <c r="G283" i="7"/>
  <c r="B284" i="7" s="1"/>
  <c r="O285" i="7" l="1"/>
  <c r="E284" i="7"/>
  <c r="C284" i="7"/>
  <c r="P285" i="7" s="1"/>
  <c r="N285" i="7" l="1"/>
  <c r="Q285" i="7" s="1"/>
  <c r="L286" i="7" s="1"/>
  <c r="F284" i="7"/>
  <c r="D284" i="7"/>
  <c r="M286" i="7" l="1"/>
  <c r="O286" i="7"/>
  <c r="G284" i="7"/>
  <c r="B285" i="7" s="1"/>
  <c r="E285" i="7" l="1"/>
  <c r="C285" i="7"/>
  <c r="F285" i="7" l="1"/>
  <c r="D285" i="7"/>
  <c r="P286" i="7" l="1"/>
  <c r="N286" i="7"/>
  <c r="Q286" i="7" s="1"/>
  <c r="L287" i="7" s="1"/>
  <c r="G285" i="7"/>
  <c r="B286" i="7" s="1"/>
  <c r="M287" i="7" l="1"/>
  <c r="E286" i="7"/>
  <c r="C286" i="7"/>
  <c r="F286" i="7" s="1"/>
  <c r="O287" i="7" l="1"/>
  <c r="P287" i="7"/>
  <c r="D286" i="7"/>
  <c r="N287" i="7" l="1"/>
  <c r="Q287" i="7" s="1"/>
  <c r="L288" i="7" s="1"/>
  <c r="G286" i="7"/>
  <c r="B287" i="7" s="1"/>
  <c r="M288" i="7" l="1"/>
  <c r="C287" i="7"/>
  <c r="F287" i="7" s="1"/>
  <c r="E287" i="7"/>
  <c r="D287" i="7" l="1"/>
  <c r="G287" i="7" s="1"/>
  <c r="B288" i="7" s="1"/>
  <c r="O288" i="7"/>
  <c r="P288" i="7"/>
  <c r="N288" i="7" l="1"/>
  <c r="Q288" i="7" s="1"/>
  <c r="L289" i="7" s="1"/>
  <c r="E288" i="7"/>
  <c r="C288" i="7"/>
  <c r="F288" i="7" s="1"/>
  <c r="M289" i="7" l="1"/>
  <c r="P289" i="7" s="1"/>
  <c r="O289" i="7"/>
  <c r="D288" i="7"/>
  <c r="N289" i="7" l="1"/>
  <c r="Q289" i="7" s="1"/>
  <c r="L290" i="7" s="1"/>
  <c r="G288" i="7"/>
  <c r="B289" i="7" s="1"/>
  <c r="M290" i="7" l="1"/>
  <c r="E289" i="7"/>
  <c r="C289" i="7"/>
  <c r="F289" i="7" s="1"/>
  <c r="O290" i="7" l="1"/>
  <c r="P290" i="7"/>
  <c r="D289" i="7"/>
  <c r="N290" i="7" l="1"/>
  <c r="Q290" i="7" s="1"/>
  <c r="L291" i="7" s="1"/>
  <c r="G289" i="7"/>
  <c r="B290" i="7" s="1"/>
  <c r="M291" i="7" l="1"/>
  <c r="E290" i="7"/>
  <c r="C290" i="7"/>
  <c r="F290" i="7" s="1"/>
  <c r="O291" i="7" l="1"/>
  <c r="P291" i="7"/>
  <c r="D290" i="7"/>
  <c r="N291" i="7" l="1"/>
  <c r="Q291" i="7" s="1"/>
  <c r="L292" i="7" s="1"/>
  <c r="G290" i="7"/>
  <c r="B291" i="7" s="1"/>
  <c r="M292" i="7" l="1"/>
  <c r="E291" i="7"/>
  <c r="C291" i="7"/>
  <c r="P292" i="7" l="1"/>
  <c r="N292" i="7"/>
  <c r="Q292" i="7" s="1"/>
  <c r="O292" i="7"/>
  <c r="F291" i="7"/>
  <c r="D291" i="7"/>
  <c r="M293" i="7" l="1"/>
  <c r="L293" i="7"/>
  <c r="O293" i="7" s="1"/>
  <c r="G291" i="7"/>
  <c r="B292" i="7" s="1"/>
  <c r="E292" i="7" l="1"/>
  <c r="C292" i="7"/>
  <c r="F292" i="7" l="1"/>
  <c r="D292" i="7"/>
  <c r="P293" i="7" l="1"/>
  <c r="N293" i="7"/>
  <c r="Q293" i="7" s="1"/>
  <c r="L294" i="7" s="1"/>
  <c r="G292" i="7"/>
  <c r="B293" i="7" s="1"/>
  <c r="M294" i="7" l="1"/>
  <c r="E293" i="7"/>
  <c r="C293" i="7"/>
  <c r="F293" i="7" s="1"/>
  <c r="O294" i="7" l="1"/>
  <c r="P294" i="7"/>
  <c r="D293" i="7"/>
  <c r="N294" i="7" l="1"/>
  <c r="Q294" i="7" s="1"/>
  <c r="L295" i="7" s="1"/>
  <c r="G293" i="7"/>
  <c r="B294" i="7" s="1"/>
  <c r="M295" i="7" l="1"/>
  <c r="E294" i="7"/>
  <c r="C294" i="7"/>
  <c r="F294" i="7" s="1"/>
  <c r="O295" i="7" l="1"/>
  <c r="P295" i="7"/>
  <c r="D294" i="7"/>
  <c r="N295" i="7" l="1"/>
  <c r="Q295" i="7" s="1"/>
  <c r="L296" i="7" s="1"/>
  <c r="G294" i="7"/>
  <c r="B295" i="7" s="1"/>
  <c r="M296" i="7" l="1"/>
  <c r="E295" i="7"/>
  <c r="C295" i="7"/>
  <c r="F295" i="7" s="1"/>
  <c r="O296" i="7" l="1"/>
  <c r="P296" i="7"/>
  <c r="D295" i="7"/>
  <c r="N296" i="7" l="1"/>
  <c r="Q296" i="7" s="1"/>
  <c r="L297" i="7" s="1"/>
  <c r="G295" i="7"/>
  <c r="B296" i="7" s="1"/>
  <c r="M297" i="7" l="1"/>
  <c r="O297" i="7"/>
  <c r="E296" i="7"/>
  <c r="C296" i="7"/>
  <c r="F296" i="7" s="1"/>
  <c r="D296" i="7" l="1"/>
  <c r="P297" i="7" l="1"/>
  <c r="N297" i="7"/>
  <c r="Q297" i="7" s="1"/>
  <c r="L298" i="7" s="1"/>
  <c r="G296" i="7"/>
  <c r="B297" i="7" s="1"/>
  <c r="M298" i="7" l="1"/>
  <c r="O298" i="7"/>
  <c r="E297" i="7"/>
  <c r="C297" i="7"/>
  <c r="F297" i="7" s="1"/>
  <c r="D297" i="7" l="1"/>
  <c r="P298" i="7" l="1"/>
  <c r="N298" i="7"/>
  <c r="Q298" i="7" s="1"/>
  <c r="L299" i="7" s="1"/>
  <c r="G297" i="7"/>
  <c r="B298" i="7" s="1"/>
  <c r="M299" i="7" l="1"/>
  <c r="O299" i="7"/>
  <c r="E298" i="7"/>
  <c r="C298" i="7"/>
  <c r="F298" i="7" s="1"/>
  <c r="D298" i="7" l="1"/>
  <c r="P299" i="7" l="1"/>
  <c r="N299" i="7"/>
  <c r="Q299" i="7" s="1"/>
  <c r="L300" i="7" s="1"/>
  <c r="G298" i="7"/>
  <c r="B299" i="7" s="1"/>
  <c r="M300" i="7" l="1"/>
  <c r="E299" i="7"/>
  <c r="C299" i="7"/>
  <c r="F299" i="7" s="1"/>
  <c r="O300" i="7" l="1"/>
  <c r="P300" i="7"/>
  <c r="D299" i="7"/>
  <c r="N300" i="7" l="1"/>
  <c r="Q300" i="7" s="1"/>
  <c r="L301" i="7" s="1"/>
  <c r="G299" i="7"/>
  <c r="B300" i="7" s="1"/>
  <c r="M301" i="7" l="1"/>
  <c r="E300" i="7"/>
  <c r="C300" i="7"/>
  <c r="F300" i="7" s="1"/>
  <c r="O301" i="7" l="1"/>
  <c r="P301" i="7"/>
  <c r="D300" i="7"/>
  <c r="N301" i="7" l="1"/>
  <c r="Q301" i="7" s="1"/>
  <c r="L302" i="7" s="1"/>
  <c r="G300" i="7"/>
  <c r="B301" i="7" s="1"/>
  <c r="M302" i="7" l="1"/>
  <c r="O302" i="7"/>
  <c r="C301" i="7"/>
  <c r="E301" i="7"/>
  <c r="D301" i="7" l="1"/>
  <c r="G301" i="7" s="1"/>
  <c r="B302" i="7" s="1"/>
  <c r="F301" i="7"/>
  <c r="C302" i="7" l="1"/>
  <c r="F302" i="7" s="1"/>
  <c r="P302" i="7"/>
  <c r="N302" i="7"/>
  <c r="Q302" i="7" s="1"/>
  <c r="L303" i="7" s="1"/>
  <c r="E302" i="7"/>
  <c r="D302" i="7" l="1"/>
  <c r="G302" i="7" s="1"/>
  <c r="B303" i="7" s="1"/>
  <c r="M303" i="7"/>
  <c r="P303" i="7" s="1"/>
  <c r="N303" i="7" l="1"/>
  <c r="Q303" i="7" s="1"/>
  <c r="M304" i="7" s="1"/>
  <c r="O303" i="7"/>
  <c r="E303" i="7"/>
  <c r="C303" i="7"/>
  <c r="F303" i="7" s="1"/>
  <c r="L304" i="7" l="1"/>
  <c r="O304" i="7" s="1"/>
  <c r="P304" i="7"/>
  <c r="D303" i="7"/>
  <c r="N304" i="7" l="1"/>
  <c r="Q304" i="7" s="1"/>
  <c r="L305" i="7" s="1"/>
  <c r="G303" i="7"/>
  <c r="B304" i="7" s="1"/>
  <c r="M305" i="7" l="1"/>
  <c r="C304" i="7"/>
  <c r="D304" i="7" s="1"/>
  <c r="E304" i="7"/>
  <c r="O305" i="7" l="1"/>
  <c r="P305" i="7"/>
  <c r="G304" i="7"/>
  <c r="B305" i="7" s="1"/>
  <c r="F304" i="7"/>
  <c r="C305" i="7" l="1"/>
  <c r="F305" i="7" s="1"/>
  <c r="N305" i="7"/>
  <c r="Q305" i="7" s="1"/>
  <c r="E305" i="7"/>
  <c r="D305" i="7" l="1"/>
  <c r="G305" i="7" s="1"/>
  <c r="B306" i="7" s="1"/>
  <c r="M306" i="7"/>
  <c r="P306" i="7" s="1"/>
  <c r="L306" i="7"/>
  <c r="N306" i="7" l="1"/>
  <c r="Q306" i="7" s="1"/>
  <c r="M307" i="7" s="1"/>
  <c r="O306" i="7"/>
  <c r="E306" i="7"/>
  <c r="C306" i="7"/>
  <c r="F306" i="7" s="1"/>
  <c r="L307" i="7" l="1"/>
  <c r="O307" i="7" s="1"/>
  <c r="P307" i="7"/>
  <c r="D306" i="7"/>
  <c r="N307" i="7" l="1"/>
  <c r="Q307" i="7" s="1"/>
  <c r="L308" i="7" s="1"/>
  <c r="G306" i="7"/>
  <c r="B307" i="7" s="1"/>
  <c r="M308" i="7" l="1"/>
  <c r="C307" i="7"/>
  <c r="F307" i="7" s="1"/>
  <c r="E307" i="7"/>
  <c r="D307" i="7" l="1"/>
  <c r="G307" i="7" s="1"/>
  <c r="B308" i="7" s="1"/>
  <c r="O308" i="7"/>
  <c r="P308" i="7"/>
  <c r="N308" i="7" l="1"/>
  <c r="Q308" i="7" s="1"/>
  <c r="L309" i="7" s="1"/>
  <c r="E308" i="7"/>
  <c r="C308" i="7"/>
  <c r="F308" i="7" s="1"/>
  <c r="M309" i="7" l="1"/>
  <c r="P309" i="7" s="1"/>
  <c r="D308" i="7"/>
  <c r="N309" i="7" l="1"/>
  <c r="Q309" i="7" s="1"/>
  <c r="M310" i="7" s="1"/>
  <c r="O309" i="7"/>
  <c r="G308" i="7"/>
  <c r="B309" i="7" s="1"/>
  <c r="L310" i="7" l="1"/>
  <c r="O310" i="7" s="1"/>
  <c r="E309" i="7"/>
  <c r="C309" i="7"/>
  <c r="P310" i="7" l="1"/>
  <c r="N310" i="7"/>
  <c r="Q310" i="7" s="1"/>
  <c r="L311" i="7" s="1"/>
  <c r="F309" i="7"/>
  <c r="D309" i="7"/>
  <c r="M311" i="7" l="1"/>
  <c r="O311" i="7"/>
  <c r="G309" i="7"/>
  <c r="B310" i="7" s="1"/>
  <c r="C310" i="7" l="1"/>
  <c r="D310" i="7" s="1"/>
  <c r="E310" i="7"/>
  <c r="F310" i="7" l="1"/>
  <c r="G310" i="7"/>
  <c r="B311" i="7" s="1"/>
  <c r="P311" i="7" l="1"/>
  <c r="N311" i="7"/>
  <c r="Q311" i="7" s="1"/>
  <c r="L312" i="7" s="1"/>
  <c r="E311" i="7"/>
  <c r="C311" i="7"/>
  <c r="F311" i="7" s="1"/>
  <c r="M312" i="7" l="1"/>
  <c r="P312" i="7" s="1"/>
  <c r="D311" i="7"/>
  <c r="N312" i="7" l="1"/>
  <c r="Q312" i="7" s="1"/>
  <c r="M313" i="7" s="1"/>
  <c r="O312" i="7"/>
  <c r="G311" i="7"/>
  <c r="B312" i="7" s="1"/>
  <c r="L313" i="7" l="1"/>
  <c r="O313" i="7" s="1"/>
  <c r="E312" i="7"/>
  <c r="C312" i="7"/>
  <c r="F312" i="7" s="1"/>
  <c r="D312" i="7" l="1"/>
  <c r="P313" i="7" l="1"/>
  <c r="N313" i="7"/>
  <c r="Q313" i="7" s="1"/>
  <c r="L314" i="7" s="1"/>
  <c r="G312" i="7"/>
  <c r="B313" i="7" s="1"/>
  <c r="M314" i="7" l="1"/>
  <c r="E313" i="7"/>
  <c r="C313" i="7"/>
  <c r="P314" i="7" l="1"/>
  <c r="O314" i="7"/>
  <c r="N314" i="7"/>
  <c r="Q314" i="7" s="1"/>
  <c r="F313" i="7"/>
  <c r="D313" i="7"/>
  <c r="M315" i="7" l="1"/>
  <c r="L315" i="7"/>
  <c r="G313" i="7"/>
  <c r="B314" i="7" s="1"/>
  <c r="O315" i="7" l="1"/>
  <c r="E314" i="7"/>
  <c r="C314" i="7"/>
  <c r="F314" i="7" l="1"/>
  <c r="D314" i="7"/>
  <c r="P315" i="7" l="1"/>
  <c r="N315" i="7"/>
  <c r="Q315" i="7" s="1"/>
  <c r="L316" i="7" s="1"/>
  <c r="G314" i="7"/>
  <c r="B315" i="7" s="1"/>
  <c r="M316" i="7" l="1"/>
  <c r="E315" i="7"/>
  <c r="C315" i="7"/>
  <c r="F315" i="7" s="1"/>
  <c r="O316" i="7" l="1"/>
  <c r="P316" i="7"/>
  <c r="D315" i="7"/>
  <c r="N316" i="7" l="1"/>
  <c r="Q316" i="7" s="1"/>
  <c r="L317" i="7" s="1"/>
  <c r="G315" i="7"/>
  <c r="B316" i="7" s="1"/>
  <c r="M317" i="7" l="1"/>
  <c r="E316" i="7"/>
  <c r="C316" i="7"/>
  <c r="P317" i="7" l="1"/>
  <c r="N317" i="7"/>
  <c r="Q317" i="7" s="1"/>
  <c r="O317" i="7"/>
  <c r="F316" i="7"/>
  <c r="D316" i="7"/>
  <c r="L318" i="7" l="1"/>
  <c r="O318" i="7" s="1"/>
  <c r="M318" i="7"/>
  <c r="G316" i="7"/>
  <c r="B317" i="7" s="1"/>
  <c r="E317" i="7" l="1"/>
  <c r="C317" i="7"/>
  <c r="F317" i="7" l="1"/>
  <c r="D317" i="7"/>
  <c r="P318" i="7" l="1"/>
  <c r="N318" i="7"/>
  <c r="Q318" i="7" s="1"/>
  <c r="L319" i="7" s="1"/>
  <c r="G317" i="7"/>
  <c r="B318" i="7" s="1"/>
  <c r="M319" i="7" l="1"/>
  <c r="E318" i="7"/>
  <c r="C318" i="7"/>
  <c r="P319" i="7" l="1"/>
  <c r="N319" i="7"/>
  <c r="Q319" i="7" s="1"/>
  <c r="O319" i="7"/>
  <c r="F318" i="7"/>
  <c r="D318" i="7"/>
  <c r="L320" i="7" l="1"/>
  <c r="O320" i="7" s="1"/>
  <c r="M320" i="7"/>
  <c r="G318" i="7"/>
  <c r="B319" i="7" s="1"/>
  <c r="E319" i="7" l="1"/>
  <c r="C319" i="7"/>
  <c r="F319" i="7" l="1"/>
  <c r="D319" i="7"/>
  <c r="P320" i="7" l="1"/>
  <c r="N320" i="7"/>
  <c r="Q320" i="7" s="1"/>
  <c r="L321" i="7" s="1"/>
  <c r="G319" i="7"/>
  <c r="B320" i="7" s="1"/>
  <c r="M321" i="7" l="1"/>
  <c r="E320" i="7"/>
  <c r="C320" i="7"/>
  <c r="F320" i="7" s="1"/>
  <c r="O321" i="7" l="1"/>
  <c r="P321" i="7"/>
  <c r="D320" i="7"/>
  <c r="N321" i="7" l="1"/>
  <c r="Q321" i="7" s="1"/>
  <c r="L322" i="7" s="1"/>
  <c r="G320" i="7"/>
  <c r="B321" i="7" s="1"/>
  <c r="M322" i="7" l="1"/>
  <c r="C321" i="7"/>
  <c r="E321" i="7"/>
  <c r="P322" i="7" l="1"/>
  <c r="D321" i="7"/>
  <c r="G321" i="7" s="1"/>
  <c r="B322" i="7" s="1"/>
  <c r="N322" i="7"/>
  <c r="Q322" i="7" s="1"/>
  <c r="O322" i="7"/>
  <c r="F321" i="7"/>
  <c r="M323" i="7" l="1"/>
  <c r="P323" i="7" s="1"/>
  <c r="C322" i="7"/>
  <c r="F322" i="7" s="1"/>
  <c r="L323" i="7"/>
  <c r="O323" i="7" s="1"/>
  <c r="E322" i="7"/>
  <c r="D322" i="7" l="1"/>
  <c r="G322" i="7" s="1"/>
  <c r="B323" i="7" s="1"/>
  <c r="N323" i="7"/>
  <c r="Q323" i="7" s="1"/>
  <c r="L324" i="7" s="1"/>
  <c r="M324" i="7" l="1"/>
  <c r="E323" i="7"/>
  <c r="C323" i="7"/>
  <c r="F323" i="7" s="1"/>
  <c r="O324" i="7" l="1"/>
  <c r="P324" i="7"/>
  <c r="D323" i="7"/>
  <c r="N324" i="7" l="1"/>
  <c r="Q324" i="7" s="1"/>
  <c r="L325" i="7" s="1"/>
  <c r="G323" i="7"/>
  <c r="B324" i="7" s="1"/>
  <c r="M325" i="7" l="1"/>
  <c r="E324" i="7"/>
  <c r="C324" i="7"/>
  <c r="F324" i="7" s="1"/>
  <c r="O325" i="7" l="1"/>
  <c r="P325" i="7"/>
  <c r="D324" i="7"/>
  <c r="N325" i="7" l="1"/>
  <c r="Q325" i="7" s="1"/>
  <c r="L326" i="7" s="1"/>
  <c r="G324" i="7"/>
  <c r="B325" i="7" s="1"/>
  <c r="M326" i="7" l="1"/>
  <c r="E325" i="7"/>
  <c r="C325" i="7"/>
  <c r="F325" i="7" s="1"/>
  <c r="O326" i="7" l="1"/>
  <c r="P326" i="7"/>
  <c r="D325" i="7"/>
  <c r="N326" i="7" l="1"/>
  <c r="Q326" i="7" s="1"/>
  <c r="L327" i="7" s="1"/>
  <c r="G325" i="7"/>
  <c r="B326" i="7" s="1"/>
  <c r="M327" i="7" l="1"/>
  <c r="E326" i="7"/>
  <c r="C326" i="7"/>
  <c r="F326" i="7" s="1"/>
  <c r="O327" i="7" l="1"/>
  <c r="P327" i="7"/>
  <c r="D326" i="7"/>
  <c r="N327" i="7" l="1"/>
  <c r="Q327" i="7" s="1"/>
  <c r="L328" i="7" s="1"/>
  <c r="G326" i="7"/>
  <c r="B327" i="7" s="1"/>
  <c r="M328" i="7" l="1"/>
  <c r="E327" i="7"/>
  <c r="C327" i="7"/>
  <c r="F327" i="7" s="1"/>
  <c r="O328" i="7" l="1"/>
  <c r="P328" i="7"/>
  <c r="D327" i="7"/>
  <c r="N328" i="7" l="1"/>
  <c r="Q328" i="7" s="1"/>
  <c r="L329" i="7" s="1"/>
  <c r="G327" i="7"/>
  <c r="B328" i="7" s="1"/>
  <c r="M329" i="7" l="1"/>
  <c r="E328" i="7"/>
  <c r="C328" i="7"/>
  <c r="P329" i="7" l="1"/>
  <c r="N329" i="7"/>
  <c r="Q329" i="7" s="1"/>
  <c r="O329" i="7"/>
  <c r="F328" i="7"/>
  <c r="D328" i="7"/>
  <c r="L330" i="7" l="1"/>
  <c r="O330" i="7" s="1"/>
  <c r="M330" i="7"/>
  <c r="G328" i="7"/>
  <c r="B329" i="7" s="1"/>
  <c r="E329" i="7" s="1"/>
  <c r="C329" i="7" l="1"/>
  <c r="F329" i="7" s="1"/>
  <c r="D329" i="7" l="1"/>
  <c r="G329" i="7" s="1"/>
  <c r="B330" i="7" s="1"/>
  <c r="P330" i="7"/>
  <c r="N330" i="7"/>
  <c r="Q330" i="7" s="1"/>
  <c r="L331" i="7" s="1"/>
  <c r="M331" i="7" l="1"/>
  <c r="E330" i="7"/>
  <c r="C330" i="7"/>
  <c r="F330" i="7" s="1"/>
  <c r="O331" i="7" l="1"/>
  <c r="P331" i="7"/>
  <c r="D330" i="7"/>
  <c r="N331" i="7" l="1"/>
  <c r="Q331" i="7" s="1"/>
  <c r="L332" i="7" s="1"/>
  <c r="G330" i="7"/>
  <c r="B331" i="7" s="1"/>
  <c r="M332" i="7" l="1"/>
  <c r="E331" i="7"/>
  <c r="C331" i="7"/>
  <c r="F331" i="7" s="1"/>
  <c r="O332" i="7" l="1"/>
  <c r="P332" i="7"/>
  <c r="D331" i="7"/>
  <c r="N332" i="7" l="1"/>
  <c r="Q332" i="7" s="1"/>
  <c r="L333" i="7" s="1"/>
  <c r="G331" i="7"/>
  <c r="B332" i="7" s="1"/>
  <c r="M333" i="7" l="1"/>
  <c r="E332" i="7"/>
  <c r="C332" i="7"/>
  <c r="P333" i="7" l="1"/>
  <c r="N333" i="7"/>
  <c r="Q333" i="7" s="1"/>
  <c r="O333" i="7"/>
  <c r="F332" i="7"/>
  <c r="D332" i="7"/>
  <c r="M334" i="7" l="1"/>
  <c r="L334" i="7"/>
  <c r="O334" i="7" s="1"/>
  <c r="G332" i="7"/>
  <c r="B333" i="7" s="1"/>
  <c r="E333" i="7" l="1"/>
  <c r="C333" i="7"/>
  <c r="F333" i="7" l="1"/>
  <c r="D333" i="7"/>
  <c r="P334" i="7" l="1"/>
  <c r="N334" i="7"/>
  <c r="Q334" i="7" s="1"/>
  <c r="L335" i="7" s="1"/>
  <c r="G333" i="7"/>
  <c r="B334" i="7" s="1"/>
  <c r="M335" i="7" l="1"/>
  <c r="E334" i="7"/>
  <c r="C334" i="7"/>
  <c r="F334" i="7" s="1"/>
  <c r="O335" i="7" l="1"/>
  <c r="P335" i="7"/>
  <c r="D334" i="7"/>
  <c r="N335" i="7" l="1"/>
  <c r="Q335" i="7" s="1"/>
  <c r="L336" i="7" s="1"/>
  <c r="G334" i="7"/>
  <c r="B335" i="7" s="1"/>
  <c r="M336" i="7" l="1"/>
  <c r="C335" i="7"/>
  <c r="F335" i="7" s="1"/>
  <c r="E335" i="7"/>
  <c r="O336" i="7" l="1"/>
  <c r="P336" i="7"/>
  <c r="D335" i="7"/>
  <c r="G335" i="7" s="1"/>
  <c r="B336" i="7" s="1"/>
  <c r="N336" i="7" l="1"/>
  <c r="Q336" i="7" s="1"/>
  <c r="L337" i="7" s="1"/>
  <c r="E336" i="7"/>
  <c r="C336" i="7"/>
  <c r="M337" i="7" l="1"/>
  <c r="P337" i="7" s="1"/>
  <c r="F336" i="7"/>
  <c r="D336" i="7"/>
  <c r="N337" i="7" l="1"/>
  <c r="Q337" i="7" s="1"/>
  <c r="M338" i="7" s="1"/>
  <c r="O337" i="7"/>
  <c r="G336" i="7"/>
  <c r="B337" i="7" s="1"/>
  <c r="L338" i="7" l="1"/>
  <c r="O338" i="7" s="1"/>
  <c r="E337" i="7"/>
  <c r="C337" i="7"/>
  <c r="P338" i="7" l="1"/>
  <c r="N338" i="7"/>
  <c r="Q338" i="7" s="1"/>
  <c r="L339" i="7" s="1"/>
  <c r="F337" i="7"/>
  <c r="D337" i="7"/>
  <c r="M339" i="7" l="1"/>
  <c r="G337" i="7"/>
  <c r="B338" i="7" s="1"/>
  <c r="O339" i="7" l="1"/>
  <c r="E338" i="7"/>
  <c r="C338" i="7"/>
  <c r="F338" i="7" l="1"/>
  <c r="D338" i="7"/>
  <c r="P339" i="7" l="1"/>
  <c r="N339" i="7"/>
  <c r="Q339" i="7" s="1"/>
  <c r="L340" i="7" s="1"/>
  <c r="G338" i="7"/>
  <c r="B339" i="7" s="1"/>
  <c r="M340" i="7" l="1"/>
  <c r="E339" i="7"/>
  <c r="C339" i="7"/>
  <c r="F339" i="7" s="1"/>
  <c r="O340" i="7" l="1"/>
  <c r="P340" i="7"/>
  <c r="D339" i="7"/>
  <c r="N340" i="7" l="1"/>
  <c r="Q340" i="7" s="1"/>
  <c r="L341" i="7" s="1"/>
  <c r="G339" i="7"/>
  <c r="B340" i="7" s="1"/>
  <c r="M341" i="7" l="1"/>
  <c r="O341" i="7"/>
  <c r="E340" i="7"/>
  <c r="C340" i="7"/>
  <c r="F340" i="7" l="1"/>
  <c r="D340" i="7"/>
  <c r="P341" i="7" l="1"/>
  <c r="N341" i="7"/>
  <c r="Q341" i="7" s="1"/>
  <c r="L342" i="7" s="1"/>
  <c r="G340" i="7"/>
  <c r="B341" i="7" s="1"/>
  <c r="M342" i="7" l="1"/>
  <c r="E341" i="7"/>
  <c r="C341" i="7"/>
  <c r="F341" i="7" s="1"/>
  <c r="O342" i="7" l="1"/>
  <c r="P342" i="7"/>
  <c r="D341" i="7"/>
  <c r="N342" i="7" l="1"/>
  <c r="Q342" i="7" s="1"/>
  <c r="L343" i="7" s="1"/>
  <c r="G341" i="7"/>
  <c r="B342" i="7" s="1"/>
  <c r="M343" i="7" l="1"/>
  <c r="E342" i="7"/>
  <c r="C342" i="7"/>
  <c r="P343" i="7" l="1"/>
  <c r="N343" i="7"/>
  <c r="Q343" i="7" s="1"/>
  <c r="O343" i="7"/>
  <c r="F342" i="7"/>
  <c r="D342" i="7"/>
  <c r="M344" i="7" l="1"/>
  <c r="L344" i="7"/>
  <c r="O344" i="7" s="1"/>
  <c r="G342" i="7"/>
  <c r="B343" i="7" s="1"/>
  <c r="E343" i="7" l="1"/>
  <c r="C343" i="7"/>
  <c r="F343" i="7" l="1"/>
  <c r="D343" i="7"/>
  <c r="P344" i="7" l="1"/>
  <c r="N344" i="7"/>
  <c r="Q344" i="7" s="1"/>
  <c r="L345" i="7" s="1"/>
  <c r="G343" i="7"/>
  <c r="B344" i="7" s="1"/>
  <c r="M345" i="7" l="1"/>
  <c r="E344" i="7"/>
  <c r="C344" i="7"/>
  <c r="F344" i="7" s="1"/>
  <c r="O345" i="7" l="1"/>
  <c r="P345" i="7"/>
  <c r="D344" i="7"/>
  <c r="N345" i="7" l="1"/>
  <c r="Q345" i="7" s="1"/>
  <c r="L346" i="7" s="1"/>
  <c r="G344" i="7"/>
  <c r="B345" i="7" s="1"/>
  <c r="M346" i="7" l="1"/>
  <c r="E345" i="7"/>
  <c r="C345" i="7"/>
  <c r="P346" i="7" l="1"/>
  <c r="N346" i="7"/>
  <c r="Q346" i="7" s="1"/>
  <c r="O346" i="7"/>
  <c r="F345" i="7"/>
  <c r="D345" i="7"/>
  <c r="M347" i="7" l="1"/>
  <c r="L347" i="7"/>
  <c r="O347" i="7" s="1"/>
  <c r="G345" i="7"/>
  <c r="B346" i="7" s="1"/>
  <c r="E346" i="7" l="1"/>
  <c r="C346" i="7"/>
  <c r="F346" i="7" l="1"/>
  <c r="D346" i="7"/>
  <c r="P347" i="7" l="1"/>
  <c r="N347" i="7"/>
  <c r="Q347" i="7" s="1"/>
  <c r="L348" i="7" s="1"/>
  <c r="G346" i="7"/>
  <c r="B347" i="7" s="1"/>
  <c r="M348" i="7" l="1"/>
  <c r="E347" i="7"/>
  <c r="C347" i="7"/>
  <c r="F347" i="7" s="1"/>
  <c r="O348" i="7" l="1"/>
  <c r="P348" i="7"/>
  <c r="D347" i="7"/>
  <c r="N348" i="7" l="1"/>
  <c r="Q348" i="7" s="1"/>
  <c r="L349" i="7" s="1"/>
  <c r="G347" i="7"/>
  <c r="B348" i="7" s="1"/>
  <c r="M349" i="7" l="1"/>
  <c r="O349" i="7"/>
  <c r="E348" i="7"/>
  <c r="C348" i="7"/>
  <c r="F348" i="7" s="1"/>
  <c r="D348" i="7" l="1"/>
  <c r="P349" i="7" l="1"/>
  <c r="N349" i="7"/>
  <c r="Q349" i="7" s="1"/>
  <c r="L350" i="7" s="1"/>
  <c r="G348" i="7"/>
  <c r="B349" i="7" s="1"/>
  <c r="M350" i="7" l="1"/>
  <c r="E349" i="7"/>
  <c r="C349" i="7"/>
  <c r="F349" i="7" s="1"/>
  <c r="O350" i="7" l="1"/>
  <c r="P350" i="7"/>
  <c r="D349" i="7"/>
  <c r="N350" i="7" l="1"/>
  <c r="Q350" i="7" s="1"/>
  <c r="L351" i="7" s="1"/>
  <c r="G349" i="7"/>
  <c r="B350" i="7" s="1"/>
  <c r="M351" i="7" l="1"/>
  <c r="E350" i="7"/>
  <c r="C350" i="7"/>
  <c r="F350" i="7" s="1"/>
  <c r="O351" i="7" l="1"/>
  <c r="P351" i="7"/>
  <c r="D350" i="7"/>
  <c r="N351" i="7" l="1"/>
  <c r="Q351" i="7" s="1"/>
  <c r="L352" i="7" s="1"/>
  <c r="G350" i="7"/>
  <c r="B351" i="7" s="1"/>
  <c r="M352" i="7" l="1"/>
  <c r="E351" i="7"/>
  <c r="C351" i="7"/>
  <c r="F351" i="7" s="1"/>
  <c r="O352" i="7" l="1"/>
  <c r="P352" i="7"/>
  <c r="D351" i="7"/>
  <c r="N352" i="7" l="1"/>
  <c r="Q352" i="7" s="1"/>
  <c r="L353" i="7" s="1"/>
  <c r="G351" i="7"/>
  <c r="B352" i="7" s="1"/>
  <c r="M353" i="7" l="1"/>
  <c r="E352" i="7"/>
  <c r="C352" i="7"/>
  <c r="P353" i="7" l="1"/>
  <c r="N353" i="7"/>
  <c r="Q353" i="7" s="1"/>
  <c r="O353" i="7"/>
  <c r="F352" i="7"/>
  <c r="D352" i="7"/>
  <c r="L354" i="7" l="1"/>
  <c r="O354" i="7" s="1"/>
  <c r="M354" i="7"/>
  <c r="G352" i="7"/>
  <c r="B353" i="7" s="1"/>
  <c r="E353" i="7" l="1"/>
  <c r="C353" i="7"/>
  <c r="P354" i="7" l="1"/>
  <c r="N354" i="7"/>
  <c r="Q354" i="7" s="1"/>
  <c r="L355" i="7" s="1"/>
  <c r="F353" i="7"/>
  <c r="D353" i="7"/>
  <c r="M355" i="7" l="1"/>
  <c r="G353" i="7"/>
  <c r="B354" i="7" s="1"/>
  <c r="O355" i="7" l="1"/>
  <c r="E354" i="7"/>
  <c r="C354" i="7"/>
  <c r="F354" i="7" l="1"/>
  <c r="D354" i="7"/>
  <c r="P355" i="7" l="1"/>
  <c r="N355" i="7"/>
  <c r="Q355" i="7" s="1"/>
  <c r="L356" i="7" s="1"/>
  <c r="G354" i="7"/>
  <c r="B355" i="7" s="1"/>
  <c r="M356" i="7" l="1"/>
  <c r="E355" i="7"/>
  <c r="C355" i="7"/>
  <c r="F355" i="7" s="1"/>
  <c r="O356" i="7" l="1"/>
  <c r="P356" i="7"/>
  <c r="D355" i="7"/>
  <c r="N356" i="7" l="1"/>
  <c r="Q356" i="7" s="1"/>
  <c r="L357" i="7" s="1"/>
  <c r="G355" i="7"/>
  <c r="B356" i="7" s="1"/>
  <c r="M357" i="7" l="1"/>
  <c r="E356" i="7"/>
  <c r="C356" i="7"/>
  <c r="P357" i="7" l="1"/>
  <c r="N357" i="7"/>
  <c r="Q357" i="7" s="1"/>
  <c r="O357" i="7"/>
  <c r="F356" i="7"/>
  <c r="D356" i="7"/>
  <c r="L358" i="7" l="1"/>
  <c r="O358" i="7" s="1"/>
  <c r="M358" i="7"/>
  <c r="G356" i="7"/>
  <c r="B357" i="7" s="1"/>
  <c r="E357" i="7" l="1"/>
  <c r="C357" i="7"/>
  <c r="F357" i="7" l="1"/>
  <c r="D357" i="7"/>
  <c r="P358" i="7" l="1"/>
  <c r="N358" i="7"/>
  <c r="Q358" i="7" s="1"/>
  <c r="L359" i="7" s="1"/>
  <c r="G357" i="7"/>
  <c r="B358" i="7" s="1"/>
  <c r="M359" i="7" l="1"/>
  <c r="C358" i="7"/>
  <c r="F358" i="7" s="1"/>
  <c r="E358" i="7"/>
  <c r="D358" i="7" l="1"/>
  <c r="G358" i="7" s="1"/>
  <c r="C359" i="7" s="1"/>
  <c r="F359" i="7" s="1"/>
  <c r="O359" i="7"/>
  <c r="P359" i="7"/>
  <c r="N359" i="7" l="1"/>
  <c r="Q359" i="7" s="1"/>
  <c r="L360" i="7" s="1"/>
  <c r="B359" i="7"/>
  <c r="M360" i="7" l="1"/>
  <c r="P360" i="7" s="1"/>
  <c r="O360" i="7"/>
  <c r="E359" i="7"/>
  <c r="D359" i="7"/>
  <c r="N360" i="7" l="1"/>
  <c r="Q360" i="7" s="1"/>
  <c r="M361" i="7" s="1"/>
  <c r="G359" i="7"/>
  <c r="C360" i="7" s="1"/>
  <c r="F360" i="7" s="1"/>
  <c r="L361" i="7" l="1"/>
  <c r="O361" i="7" s="1"/>
  <c r="B360" i="7"/>
  <c r="P361" i="7" l="1"/>
  <c r="N361" i="7"/>
  <c r="Q361" i="7" s="1"/>
  <c r="L362" i="7" s="1"/>
  <c r="D360" i="7"/>
  <c r="E360" i="7"/>
  <c r="M362" i="7" l="1"/>
  <c r="G360" i="7"/>
  <c r="B361" i="7" s="1"/>
  <c r="O362" i="7" l="1"/>
  <c r="E361" i="7"/>
  <c r="C361" i="7"/>
  <c r="P362" i="7" s="1"/>
  <c r="N362" i="7" l="1"/>
  <c r="Q362" i="7" s="1"/>
  <c r="L363" i="7" s="1"/>
  <c r="F361" i="7"/>
  <c r="D361" i="7"/>
  <c r="M363" i="7" l="1"/>
  <c r="O363" i="7"/>
  <c r="G361" i="7"/>
  <c r="B362" i="7" s="1"/>
  <c r="E362" i="7" l="1"/>
  <c r="C362" i="7"/>
  <c r="P363" i="7" l="1"/>
  <c r="N363" i="7"/>
  <c r="Q363" i="7" s="1"/>
  <c r="L364" i="7" s="1"/>
  <c r="F362" i="7"/>
  <c r="D362" i="7"/>
  <c r="M364" i="7" l="1"/>
  <c r="G362" i="7"/>
  <c r="B363" i="7" s="1"/>
  <c r="O364" i="7" l="1"/>
  <c r="E363" i="7"/>
  <c r="C363" i="7"/>
  <c r="F363" i="7" l="1"/>
  <c r="D363" i="7"/>
  <c r="P364" i="7" l="1"/>
  <c r="N364" i="7"/>
  <c r="Q364" i="7" s="1"/>
  <c r="L365" i="7" s="1"/>
  <c r="G363" i="7"/>
  <c r="B364" i="7" s="1"/>
  <c r="M365" i="7" l="1"/>
  <c r="E364" i="7"/>
  <c r="C364" i="7"/>
  <c r="F364" i="7" s="1"/>
  <c r="O365" i="7" l="1"/>
  <c r="P365" i="7"/>
  <c r="D364" i="7"/>
  <c r="N365" i="7" l="1"/>
  <c r="Q365" i="7" s="1"/>
  <c r="L366" i="7" s="1"/>
  <c r="G364" i="7"/>
  <c r="B365" i="7" s="1"/>
  <c r="M366" i="7" l="1"/>
  <c r="C365" i="7"/>
  <c r="F365" i="7" s="1"/>
  <c r="E365" i="7"/>
  <c r="D365" i="7" l="1"/>
  <c r="G365" i="7" s="1"/>
  <c r="C366" i="7" s="1"/>
  <c r="F366" i="7" s="1"/>
  <c r="O366" i="7"/>
  <c r="P366" i="7"/>
  <c r="N366" i="7" l="1"/>
  <c r="Q366" i="7" s="1"/>
  <c r="B366" i="7"/>
  <c r="M367" i="7" l="1"/>
  <c r="P367" i="7" s="1"/>
  <c r="L367" i="7"/>
  <c r="E366" i="7"/>
  <c r="D366" i="7"/>
  <c r="O367" i="7" l="1"/>
  <c r="N367" i="7"/>
  <c r="Q367" i="7" s="1"/>
  <c r="M368" i="7" s="1"/>
  <c r="G366" i="7"/>
  <c r="B367" i="7" s="1"/>
  <c r="L368" i="7" l="1"/>
  <c r="O368" i="7" s="1"/>
  <c r="E367" i="7"/>
  <c r="C367" i="7"/>
  <c r="F367" i="7" s="1"/>
  <c r="D367" i="7" l="1"/>
  <c r="P368" i="7" l="1"/>
  <c r="N368" i="7"/>
  <c r="Q368" i="7" s="1"/>
  <c r="L369" i="7" s="1"/>
  <c r="G367" i="7"/>
  <c r="B368" i="7" s="1"/>
  <c r="M369" i="7" l="1"/>
  <c r="E368" i="7"/>
  <c r="C368" i="7"/>
  <c r="F368" i="7" s="1"/>
  <c r="O369" i="7" l="1"/>
  <c r="P369" i="7"/>
  <c r="D368" i="7"/>
  <c r="N369" i="7" l="1"/>
  <c r="Q369" i="7" s="1"/>
  <c r="L370" i="7" s="1"/>
  <c r="G368" i="7"/>
  <c r="B369" i="7" s="1"/>
  <c r="M370" i="7" l="1"/>
  <c r="O370" i="7"/>
  <c r="C369" i="7"/>
  <c r="F369" i="7" s="1"/>
  <c r="E369" i="7"/>
  <c r="D369" i="7" l="1"/>
  <c r="P370" i="7" l="1"/>
  <c r="N370" i="7"/>
  <c r="Q370" i="7" s="1"/>
  <c r="L371" i="7" s="1"/>
  <c r="G369" i="7"/>
  <c r="B370" i="7" s="1"/>
  <c r="E370" i="7" s="1"/>
  <c r="M371" i="7" l="1"/>
  <c r="P371" i="7" s="1"/>
  <c r="C370" i="7"/>
  <c r="F370" i="7" s="1"/>
  <c r="D370" i="7" l="1"/>
  <c r="G370" i="7" s="1"/>
  <c r="B371" i="7" s="1"/>
  <c r="N371" i="7"/>
  <c r="Q371" i="7" s="1"/>
  <c r="M372" i="7" s="1"/>
  <c r="O371" i="7"/>
  <c r="L372" i="7" l="1"/>
  <c r="O372" i="7" s="1"/>
  <c r="E371" i="7"/>
  <c r="C371" i="7"/>
  <c r="F371" i="7" s="1"/>
  <c r="D371" i="7" l="1"/>
  <c r="P372" i="7" l="1"/>
  <c r="N372" i="7"/>
  <c r="Q372" i="7" s="1"/>
  <c r="L373" i="7" s="1"/>
  <c r="G371" i="7"/>
  <c r="B372" i="7" s="1"/>
  <c r="M373" i="7" l="1"/>
  <c r="E372" i="7"/>
  <c r="C372" i="7"/>
  <c r="F372" i="7" s="1"/>
  <c r="O373" i="7" l="1"/>
  <c r="P373" i="7"/>
  <c r="D372" i="7"/>
  <c r="N373" i="7" l="1"/>
  <c r="Q373" i="7" s="1"/>
  <c r="L374" i="7" s="1"/>
  <c r="G372" i="7"/>
  <c r="B373" i="7" s="1"/>
  <c r="M374" i="7" l="1"/>
  <c r="E373" i="7"/>
  <c r="C373" i="7"/>
  <c r="F373" i="7" s="1"/>
  <c r="O374" i="7" l="1"/>
  <c r="P374" i="7"/>
  <c r="D373" i="7"/>
  <c r="N374" i="7" l="1"/>
  <c r="Q374" i="7" s="1"/>
  <c r="L375" i="7" s="1"/>
  <c r="G373" i="7"/>
  <c r="B374" i="7" s="1"/>
  <c r="M375" i="7" l="1"/>
  <c r="E374" i="7"/>
  <c r="C374" i="7"/>
  <c r="P375" i="7" l="1"/>
  <c r="N375" i="7"/>
  <c r="Q375" i="7" s="1"/>
  <c r="O375" i="7"/>
  <c r="F374" i="7"/>
  <c r="D374" i="7"/>
  <c r="M376" i="7" l="1"/>
  <c r="L376" i="7"/>
  <c r="O376" i="7" s="1"/>
  <c r="G374" i="7"/>
  <c r="B375" i="7" s="1"/>
  <c r="E375" i="7" l="1"/>
  <c r="C375" i="7"/>
  <c r="F375" i="7" l="1"/>
  <c r="D375" i="7"/>
  <c r="P376" i="7" l="1"/>
  <c r="N376" i="7"/>
  <c r="Q376" i="7" s="1"/>
  <c r="L377" i="7" s="1"/>
  <c r="G375" i="7"/>
  <c r="B376" i="7" s="1"/>
  <c r="M377" i="7" l="1"/>
  <c r="E376" i="7"/>
  <c r="C376" i="7"/>
  <c r="F376" i="7" s="1"/>
  <c r="O377" i="7" l="1"/>
  <c r="P377" i="7"/>
  <c r="D376" i="7"/>
  <c r="N377" i="7" l="1"/>
  <c r="Q377" i="7" s="1"/>
  <c r="L378" i="7" s="1"/>
  <c r="G376" i="7"/>
  <c r="B377" i="7" s="1"/>
  <c r="M378" i="7" l="1"/>
  <c r="O378" i="7"/>
  <c r="E377" i="7"/>
  <c r="C377" i="7"/>
  <c r="P378" i="7" l="1"/>
  <c r="N378" i="7"/>
  <c r="Q378" i="7" s="1"/>
  <c r="L379" i="7" s="1"/>
  <c r="F377" i="7"/>
  <c r="D377" i="7"/>
  <c r="M379" i="7" l="1"/>
  <c r="O379" i="7"/>
  <c r="G377" i="7"/>
  <c r="B378" i="7" s="1"/>
  <c r="E378" i="7" l="1"/>
  <c r="C378" i="7"/>
  <c r="F378" i="7" l="1"/>
  <c r="D378" i="7"/>
  <c r="P379" i="7" l="1"/>
  <c r="N379" i="7"/>
  <c r="Q379" i="7" s="1"/>
  <c r="L380" i="7" s="1"/>
  <c r="G378" i="7"/>
  <c r="B379" i="7" s="1"/>
  <c r="M380" i="7" l="1"/>
  <c r="E379" i="7"/>
  <c r="C379" i="7"/>
  <c r="D379" i="7" s="1"/>
  <c r="O380" i="7" l="1"/>
  <c r="P380" i="7"/>
  <c r="G379" i="7"/>
  <c r="B380" i="7" s="1"/>
  <c r="F379" i="7"/>
  <c r="N380" i="7" l="1"/>
  <c r="Q380" i="7" s="1"/>
  <c r="L381" i="7" s="1"/>
  <c r="C380" i="7"/>
  <c r="F380" i="7" s="1"/>
  <c r="E380" i="7"/>
  <c r="M381" i="7" l="1"/>
  <c r="P381" i="7" s="1"/>
  <c r="D380" i="7"/>
  <c r="G380" i="7" s="1"/>
  <c r="C381" i="7" s="1"/>
  <c r="F381" i="7" s="1"/>
  <c r="N381" i="7" l="1"/>
  <c r="Q381" i="7" s="1"/>
  <c r="O381" i="7"/>
  <c r="B381" i="7"/>
  <c r="M382" i="7" l="1"/>
  <c r="L382" i="7"/>
  <c r="E381" i="7"/>
  <c r="D381" i="7"/>
  <c r="N382" i="7" l="1"/>
  <c r="Q382" i="7" s="1"/>
  <c r="P382" i="7"/>
  <c r="O382" i="7"/>
  <c r="G381" i="7"/>
  <c r="C382" i="7" s="1"/>
  <c r="F382" i="7" s="1"/>
  <c r="M383" i="7" l="1"/>
  <c r="L383" i="7"/>
  <c r="O383" i="7" s="1"/>
  <c r="B382" i="7"/>
  <c r="P383" i="7" l="1"/>
  <c r="N383" i="7"/>
  <c r="Q383" i="7" s="1"/>
  <c r="L384" i="7" s="1"/>
  <c r="E382" i="7"/>
  <c r="D382" i="7"/>
  <c r="G382" i="7" s="1"/>
  <c r="C383" i="7" s="1"/>
  <c r="F383" i="7" s="1"/>
  <c r="M384" i="7" l="1"/>
  <c r="P384" i="7" s="1"/>
  <c r="B383" i="7"/>
  <c r="O384" i="7" l="1"/>
  <c r="N384" i="7"/>
  <c r="Q384" i="7" s="1"/>
  <c r="M385" i="7" s="1"/>
  <c r="E383" i="7"/>
  <c r="D383" i="7"/>
  <c r="L385" i="7" l="1"/>
  <c r="G383" i="7"/>
  <c r="C384" i="7" s="1"/>
  <c r="F384" i="7" s="1"/>
  <c r="O385" i="7" l="1"/>
  <c r="P385" i="7"/>
  <c r="B384" i="7"/>
  <c r="E384" i="7" s="1"/>
  <c r="N385" i="7" l="1"/>
  <c r="Q385" i="7" s="1"/>
  <c r="L386" i="7" s="1"/>
  <c r="D384" i="7"/>
  <c r="G384" i="7" s="1"/>
  <c r="C385" i="7" s="1"/>
  <c r="F385" i="7" s="1"/>
  <c r="M386" i="7" l="1"/>
  <c r="P386" i="7" s="1"/>
  <c r="O386" i="7"/>
  <c r="B385" i="7"/>
  <c r="N386" i="7" l="1"/>
  <c r="Q386" i="7" s="1"/>
  <c r="L387" i="7" s="1"/>
  <c r="D385" i="7"/>
  <c r="G385" i="7" s="1"/>
  <c r="E385" i="7"/>
  <c r="M387" i="7" l="1"/>
  <c r="B386" i="7"/>
  <c r="E386" i="7" s="1"/>
  <c r="C386" i="7"/>
  <c r="P387" i="7" l="1"/>
  <c r="O387" i="7"/>
  <c r="N387" i="7"/>
  <c r="Q387" i="7" s="1"/>
  <c r="F386" i="7"/>
  <c r="D386" i="7"/>
  <c r="M388" i="7" l="1"/>
  <c r="L388" i="7"/>
  <c r="G386" i="7"/>
  <c r="B387" i="7" s="1"/>
  <c r="O388" i="7" l="1"/>
  <c r="E387" i="7"/>
  <c r="C387" i="7"/>
  <c r="F387" i="7" l="1"/>
  <c r="D387" i="7"/>
  <c r="P388" i="7" l="1"/>
  <c r="N388" i="7"/>
  <c r="Q388" i="7" s="1"/>
  <c r="L389" i="7" s="1"/>
  <c r="G387" i="7"/>
  <c r="B388" i="7" s="1"/>
  <c r="M389" i="7" l="1"/>
  <c r="E388" i="7"/>
  <c r="C388" i="7"/>
  <c r="D388" i="7" s="1"/>
  <c r="O389" i="7" l="1"/>
  <c r="P389" i="7"/>
  <c r="G388" i="7"/>
  <c r="B389" i="7" s="1"/>
  <c r="F388" i="7"/>
  <c r="N389" i="7" l="1"/>
  <c r="Q389" i="7" s="1"/>
  <c r="L390" i="7" s="1"/>
  <c r="C389" i="7"/>
  <c r="F389" i="7" s="1"/>
  <c r="E389" i="7"/>
  <c r="M390" i="7" l="1"/>
  <c r="P390" i="7" s="1"/>
  <c r="D389" i="7"/>
  <c r="G389" i="7" s="1"/>
  <c r="C390" i="7" s="1"/>
  <c r="F390" i="7" s="1"/>
  <c r="N390" i="7" l="1"/>
  <c r="Q390" i="7" s="1"/>
  <c r="O390" i="7"/>
  <c r="B390" i="7"/>
  <c r="E390" i="7" s="1"/>
  <c r="D390" i="7" l="1"/>
  <c r="G390" i="7" s="1"/>
  <c r="C391" i="7" s="1"/>
  <c r="F391" i="7" s="1"/>
  <c r="L391" i="7"/>
  <c r="M391" i="7"/>
  <c r="P391" i="7" s="1"/>
  <c r="N391" i="7" l="1"/>
  <c r="Q391" i="7" s="1"/>
  <c r="M392" i="7" s="1"/>
  <c r="P392" i="7" s="1"/>
  <c r="O391" i="7"/>
  <c r="B391" i="7"/>
  <c r="E391" i="7" s="1"/>
  <c r="D391" i="7" l="1"/>
  <c r="G391" i="7" s="1"/>
  <c r="C392" i="7" s="1"/>
  <c r="F392" i="7" s="1"/>
  <c r="L392" i="7"/>
  <c r="O392" i="7" s="1"/>
  <c r="N392" i="7" l="1"/>
  <c r="Q392" i="7" s="1"/>
  <c r="M393" i="7" s="1"/>
  <c r="P393" i="7" s="1"/>
  <c r="B392" i="7"/>
  <c r="D392" i="7" s="1"/>
  <c r="L393" i="7" l="1"/>
  <c r="N393" i="7" s="1"/>
  <c r="Q393" i="7" s="1"/>
  <c r="M394" i="7" s="1"/>
  <c r="E392" i="7"/>
  <c r="G392" i="7"/>
  <c r="C393" i="7" s="1"/>
  <c r="F393" i="7" s="1"/>
  <c r="O393" i="7" l="1"/>
  <c r="L394" i="7" s="1"/>
  <c r="O394" i="7" s="1"/>
  <c r="P394" i="7"/>
  <c r="B393" i="7"/>
  <c r="N394" i="7" l="1"/>
  <c r="Q394" i="7" s="1"/>
  <c r="L395" i="7" s="1"/>
  <c r="D393" i="7"/>
  <c r="E393" i="7"/>
  <c r="M395" i="7" l="1"/>
  <c r="G393" i="7"/>
  <c r="B394" i="7" s="1"/>
  <c r="O395" i="7" l="1"/>
  <c r="E394" i="7"/>
  <c r="C394" i="7"/>
  <c r="F394" i="7" l="1"/>
  <c r="D394" i="7"/>
  <c r="P395" i="7" l="1"/>
  <c r="N395" i="7"/>
  <c r="Q395" i="7" s="1"/>
  <c r="L396" i="7" s="1"/>
  <c r="G394" i="7"/>
  <c r="B395" i="7" s="1"/>
  <c r="M396" i="7" l="1"/>
  <c r="E395" i="7"/>
  <c r="C395" i="7"/>
  <c r="P396" i="7" l="1"/>
  <c r="N396" i="7"/>
  <c r="Q396" i="7" s="1"/>
  <c r="O396" i="7"/>
  <c r="F395" i="7"/>
  <c r="D395" i="7"/>
  <c r="L397" i="7" l="1"/>
  <c r="O397" i="7" s="1"/>
  <c r="M397" i="7"/>
  <c r="G395" i="7"/>
  <c r="B396" i="7" s="1"/>
  <c r="C396" i="7" l="1"/>
  <c r="E396" i="7"/>
  <c r="F396" i="7" l="1"/>
  <c r="D396" i="7"/>
  <c r="P397" i="7" l="1"/>
  <c r="N397" i="7"/>
  <c r="Q397" i="7" s="1"/>
  <c r="L398" i="7" s="1"/>
  <c r="G396" i="7"/>
  <c r="C397" i="7" s="1"/>
  <c r="F397" i="7" s="1"/>
  <c r="B397" i="7" l="1"/>
  <c r="E397" i="7" s="1"/>
  <c r="M398" i="7"/>
  <c r="P398" i="7" s="1"/>
  <c r="D397" i="7" l="1"/>
  <c r="G397" i="7" s="1"/>
  <c r="C398" i="7" s="1"/>
  <c r="F398" i="7" s="1"/>
  <c r="N398" i="7"/>
  <c r="Q398" i="7" s="1"/>
  <c r="O398" i="7"/>
  <c r="L399" i="7" l="1"/>
  <c r="O399" i="7" s="1"/>
  <c r="B398" i="7"/>
  <c r="E398" i="7" s="1"/>
  <c r="M399" i="7"/>
  <c r="P399" i="7" s="1"/>
  <c r="N399" i="7" l="1"/>
  <c r="Q399" i="7" s="1"/>
  <c r="M400" i="7" s="1"/>
  <c r="D398" i="7"/>
  <c r="G398" i="7" s="1"/>
  <c r="C399" i="7" s="1"/>
  <c r="L400" i="7" l="1"/>
  <c r="O400" i="7" s="1"/>
  <c r="P400" i="7"/>
  <c r="B399" i="7"/>
  <c r="E399" i="7" s="1"/>
  <c r="F399" i="7"/>
  <c r="N400" i="7" l="1"/>
  <c r="Q400" i="7" s="1"/>
  <c r="L401" i="7" s="1"/>
  <c r="D399" i="7"/>
  <c r="G399" i="7" s="1"/>
  <c r="B400" i="7" s="1"/>
  <c r="M401" i="7" l="1"/>
  <c r="O401" i="7"/>
  <c r="E400" i="7"/>
  <c r="C400" i="7"/>
  <c r="F400" i="7" l="1"/>
  <c r="D400" i="7"/>
  <c r="P401" i="7" l="1"/>
  <c r="N401" i="7"/>
  <c r="Q401" i="7" s="1"/>
  <c r="L402" i="7" s="1"/>
  <c r="G400" i="7"/>
  <c r="B401" i="7" s="1"/>
  <c r="M402" i="7" l="1"/>
  <c r="E401" i="7"/>
  <c r="C401" i="7"/>
  <c r="P402" i="7" l="1"/>
  <c r="N402" i="7"/>
  <c r="Q402" i="7" s="1"/>
  <c r="O402" i="7"/>
  <c r="F401" i="7"/>
  <c r="D401" i="7"/>
  <c r="M403" i="7" l="1"/>
  <c r="L403" i="7"/>
  <c r="O403" i="7" s="1"/>
  <c r="G401" i="7"/>
  <c r="B402" i="7" s="1"/>
  <c r="E402" i="7" l="1"/>
  <c r="C402" i="7"/>
  <c r="P403" i="7" l="1"/>
  <c r="N403" i="7"/>
  <c r="Q403" i="7" s="1"/>
  <c r="L404" i="7" s="1"/>
  <c r="F402" i="7"/>
  <c r="D402" i="7"/>
  <c r="M404" i="7" l="1"/>
  <c r="G402" i="7"/>
  <c r="B403" i="7" s="1"/>
  <c r="E403" i="7" s="1"/>
  <c r="C403" i="7" l="1"/>
  <c r="F403" i="7" s="1"/>
  <c r="O404" i="7"/>
  <c r="P404" i="7"/>
  <c r="D403" i="7" l="1"/>
  <c r="G403" i="7" s="1"/>
  <c r="B404" i="7" s="1"/>
  <c r="N404" i="7"/>
  <c r="Q404" i="7" s="1"/>
  <c r="L405" i="7" s="1"/>
  <c r="M405" i="7" l="1"/>
  <c r="E404" i="7"/>
  <c r="C404" i="7"/>
  <c r="F404" i="7" s="1"/>
  <c r="O405" i="7" l="1"/>
  <c r="P405" i="7"/>
  <c r="D404" i="7"/>
  <c r="N405" i="7" l="1"/>
  <c r="Q405" i="7" s="1"/>
  <c r="L406" i="7" s="1"/>
  <c r="G404" i="7"/>
  <c r="B405" i="7" s="1"/>
  <c r="M406" i="7" l="1"/>
  <c r="E405" i="7"/>
  <c r="C405" i="7"/>
  <c r="F405" i="7" s="1"/>
  <c r="O406" i="7" l="1"/>
  <c r="P406" i="7"/>
  <c r="D405" i="7"/>
  <c r="N406" i="7" l="1"/>
  <c r="Q406" i="7" s="1"/>
  <c r="L407" i="7" s="1"/>
  <c r="G405" i="7"/>
  <c r="B406" i="7" s="1"/>
  <c r="M407" i="7" l="1"/>
  <c r="E406" i="7"/>
  <c r="C406" i="7"/>
  <c r="F406" i="7" s="1"/>
  <c r="O407" i="7" l="1"/>
  <c r="P407" i="7"/>
  <c r="D406" i="7"/>
  <c r="N407" i="7" l="1"/>
  <c r="Q407" i="7" s="1"/>
  <c r="L408" i="7" s="1"/>
  <c r="G406" i="7"/>
  <c r="B407" i="7" s="1"/>
  <c r="M408" i="7" l="1"/>
  <c r="C407" i="7"/>
  <c r="E407" i="7"/>
  <c r="P408" i="7" l="1"/>
  <c r="D407" i="7"/>
  <c r="G407" i="7" s="1"/>
  <c r="B408" i="7" s="1"/>
  <c r="N408" i="7"/>
  <c r="Q408" i="7" s="1"/>
  <c r="O408" i="7"/>
  <c r="F407" i="7"/>
  <c r="M409" i="7" l="1"/>
  <c r="P409" i="7" s="1"/>
  <c r="L409" i="7"/>
  <c r="O409" i="7" s="1"/>
  <c r="C408" i="7"/>
  <c r="F408" i="7" s="1"/>
  <c r="E408" i="7"/>
  <c r="D408" i="7" l="1"/>
  <c r="G408" i="7" s="1"/>
  <c r="C409" i="7" s="1"/>
  <c r="F409" i="7" s="1"/>
  <c r="N409" i="7"/>
  <c r="Q409" i="7" s="1"/>
  <c r="L410" i="7" s="1"/>
  <c r="M410" i="7" l="1"/>
  <c r="P410" i="7" s="1"/>
  <c r="B409" i="7"/>
  <c r="N410" i="7" l="1"/>
  <c r="Q410" i="7" s="1"/>
  <c r="M411" i="7" s="1"/>
  <c r="O410" i="7"/>
  <c r="E409" i="7"/>
  <c r="D409" i="7"/>
  <c r="L411" i="7" l="1"/>
  <c r="O411" i="7" s="1"/>
  <c r="G409" i="7"/>
  <c r="C410" i="7" s="1"/>
  <c r="P411" i="7" l="1"/>
  <c r="N411" i="7"/>
  <c r="Q411" i="7" s="1"/>
  <c r="L412" i="7" s="1"/>
  <c r="B410" i="7"/>
  <c r="E410" i="7" s="1"/>
  <c r="F410" i="7"/>
  <c r="M412" i="7" l="1"/>
  <c r="O412" i="7"/>
  <c r="D410" i="7"/>
  <c r="G410" i="7" s="1"/>
  <c r="C411" i="7" s="1"/>
  <c r="F411" i="7" l="1"/>
  <c r="B411" i="7"/>
  <c r="P412" i="7" l="1"/>
  <c r="N412" i="7"/>
  <c r="Q412" i="7" s="1"/>
  <c r="L413" i="7" s="1"/>
  <c r="E411" i="7"/>
  <c r="D411" i="7"/>
  <c r="M413" i="7" l="1"/>
  <c r="G411" i="7"/>
  <c r="C412" i="7" s="1"/>
  <c r="P413" i="7" l="1"/>
  <c r="N413" i="7"/>
  <c r="Q413" i="7" s="1"/>
  <c r="O413" i="7"/>
  <c r="F412" i="7"/>
  <c r="B412" i="7"/>
  <c r="M414" i="7" l="1"/>
  <c r="L414" i="7"/>
  <c r="O414" i="7" s="1"/>
  <c r="E412" i="7"/>
  <c r="D412" i="7"/>
  <c r="G412" i="7" l="1"/>
  <c r="C413" i="7" s="1"/>
  <c r="F413" i="7" l="1"/>
  <c r="B413" i="7"/>
  <c r="E413" i="7" s="1"/>
  <c r="P414" i="7" l="1"/>
  <c r="N414" i="7"/>
  <c r="Q414" i="7" s="1"/>
  <c r="L415" i="7" s="1"/>
  <c r="D413" i="7"/>
  <c r="G413" i="7" s="1"/>
  <c r="C414" i="7" s="1"/>
  <c r="F414" i="7" s="1"/>
  <c r="M415" i="7" l="1"/>
  <c r="P415" i="7" s="1"/>
  <c r="B414" i="7"/>
  <c r="E414" i="7" s="1"/>
  <c r="D414" i="7" l="1"/>
  <c r="G414" i="7" s="1"/>
  <c r="B415" i="7" s="1"/>
  <c r="O415" i="7"/>
  <c r="N415" i="7"/>
  <c r="Q415" i="7" s="1"/>
  <c r="M416" i="7" s="1"/>
  <c r="L416" i="7" l="1"/>
  <c r="E415" i="7"/>
  <c r="C415" i="7"/>
  <c r="F415" i="7" s="1"/>
  <c r="O416" i="7" l="1"/>
  <c r="P416" i="7"/>
  <c r="D415" i="7"/>
  <c r="N416" i="7" l="1"/>
  <c r="Q416" i="7" s="1"/>
  <c r="L417" i="7" s="1"/>
  <c r="G415" i="7"/>
  <c r="B416" i="7" s="1"/>
  <c r="M417" i="7" l="1"/>
  <c r="E416" i="7"/>
  <c r="C416" i="7"/>
  <c r="F416" i="7" s="1"/>
  <c r="O417" i="7" l="1"/>
  <c r="P417" i="7"/>
  <c r="D416" i="7"/>
  <c r="N417" i="7" l="1"/>
  <c r="Q417" i="7" s="1"/>
  <c r="L418" i="7" s="1"/>
  <c r="G416" i="7"/>
  <c r="B417" i="7" s="1"/>
  <c r="M418" i="7" l="1"/>
  <c r="E417" i="7"/>
  <c r="C417" i="7"/>
  <c r="F417" i="7" s="1"/>
  <c r="O418" i="7" l="1"/>
  <c r="P418" i="7"/>
  <c r="D417" i="7"/>
  <c r="N418" i="7" l="1"/>
  <c r="Q418" i="7" s="1"/>
  <c r="L419" i="7" s="1"/>
  <c r="G417" i="7"/>
  <c r="B418" i="7" s="1"/>
  <c r="M419" i="7" l="1"/>
  <c r="E418" i="7"/>
  <c r="C418" i="7"/>
  <c r="F418" i="7" s="1"/>
  <c r="O419" i="7" l="1"/>
  <c r="P419" i="7"/>
  <c r="D418" i="7"/>
  <c r="N419" i="7" l="1"/>
  <c r="Q419" i="7" s="1"/>
  <c r="L420" i="7" s="1"/>
  <c r="G418" i="7"/>
  <c r="B419" i="7" s="1"/>
  <c r="M420" i="7" l="1"/>
  <c r="E419" i="7"/>
  <c r="C419" i="7"/>
  <c r="F419" i="7" s="1"/>
  <c r="O420" i="7" l="1"/>
  <c r="P420" i="7"/>
  <c r="D419" i="7"/>
  <c r="N420" i="7" l="1"/>
  <c r="Q420" i="7" s="1"/>
  <c r="L421" i="7" s="1"/>
  <c r="G419" i="7"/>
  <c r="B420" i="7" s="1"/>
  <c r="M421" i="7" l="1"/>
  <c r="E420" i="7"/>
  <c r="C420" i="7"/>
  <c r="D420" i="7" s="1"/>
  <c r="O421" i="7" l="1"/>
  <c r="P421" i="7"/>
  <c r="G420" i="7"/>
  <c r="B421" i="7" s="1"/>
  <c r="F420" i="7"/>
  <c r="C421" i="7" l="1"/>
  <c r="F421" i="7" s="1"/>
  <c r="N421" i="7"/>
  <c r="Q421" i="7" s="1"/>
  <c r="E421" i="7"/>
  <c r="D421" i="7" l="1"/>
  <c r="G421" i="7" s="1"/>
  <c r="C422" i="7" s="1"/>
  <c r="F422" i="7" s="1"/>
  <c r="M422" i="7"/>
  <c r="P422" i="7" s="1"/>
  <c r="L422" i="7"/>
  <c r="N422" i="7" l="1"/>
  <c r="Q422" i="7" s="1"/>
  <c r="O422" i="7"/>
  <c r="B422" i="7"/>
  <c r="L423" i="7" l="1"/>
  <c r="M423" i="7"/>
  <c r="P423" i="7" s="1"/>
  <c r="E422" i="7"/>
  <c r="D422" i="7"/>
  <c r="N423" i="7" l="1"/>
  <c r="Q423" i="7" s="1"/>
  <c r="M424" i="7" s="1"/>
  <c r="O423" i="7"/>
  <c r="G422" i="7"/>
  <c r="C423" i="7" s="1"/>
  <c r="L424" i="7" l="1"/>
  <c r="O424" i="7" s="1"/>
  <c r="P424" i="7"/>
  <c r="F423" i="7"/>
  <c r="B423" i="7"/>
  <c r="N424" i="7" l="1"/>
  <c r="Q424" i="7" s="1"/>
  <c r="L425" i="7" s="1"/>
  <c r="O425" i="7" s="1"/>
  <c r="E423" i="7"/>
  <c r="D423" i="7"/>
  <c r="M425" i="7" l="1"/>
  <c r="G423" i="7"/>
  <c r="C424" i="7" s="1"/>
  <c r="F424" i="7" l="1"/>
  <c r="B424" i="7"/>
  <c r="E424" i="7" s="1"/>
  <c r="D424" i="7" l="1"/>
  <c r="G424" i="7" s="1"/>
  <c r="B425" i="7" s="1"/>
  <c r="P425" i="7"/>
  <c r="N425" i="7"/>
  <c r="Q425" i="7" s="1"/>
  <c r="L426" i="7" s="1"/>
  <c r="M426" i="7" l="1"/>
  <c r="E425" i="7"/>
  <c r="C425" i="7"/>
  <c r="F425" i="7" s="1"/>
  <c r="O426" i="7" l="1"/>
  <c r="P426" i="7"/>
  <c r="D425" i="7"/>
  <c r="N426" i="7" l="1"/>
  <c r="Q426" i="7" s="1"/>
  <c r="L427" i="7" s="1"/>
  <c r="G425" i="7"/>
  <c r="B426" i="7" s="1"/>
  <c r="M427" i="7" l="1"/>
  <c r="E426" i="7"/>
  <c r="C426" i="7"/>
  <c r="D426" i="7" s="1"/>
  <c r="O427" i="7" l="1"/>
  <c r="P427" i="7"/>
  <c r="G426" i="7"/>
  <c r="B427" i="7" s="1"/>
  <c r="F426" i="7"/>
  <c r="C427" i="7" l="1"/>
  <c r="F427" i="7" s="1"/>
  <c r="N427" i="7"/>
  <c r="Q427" i="7" s="1"/>
  <c r="E427" i="7"/>
  <c r="D427" i="7" l="1"/>
  <c r="G427" i="7" s="1"/>
  <c r="B428" i="7" s="1"/>
  <c r="M428" i="7"/>
  <c r="P428" i="7" s="1"/>
  <c r="L428" i="7"/>
  <c r="O428" i="7" l="1"/>
  <c r="N428" i="7"/>
  <c r="Q428" i="7" s="1"/>
  <c r="M429" i="7" s="1"/>
  <c r="E428" i="7"/>
  <c r="C428" i="7"/>
  <c r="F428" i="7" s="1"/>
  <c r="L429" i="7" l="1"/>
  <c r="P429" i="7"/>
  <c r="D428" i="7"/>
  <c r="N429" i="7" l="1"/>
  <c r="Q429" i="7" s="1"/>
  <c r="M430" i="7" s="1"/>
  <c r="O429" i="7"/>
  <c r="G428" i="7"/>
  <c r="B429" i="7" s="1"/>
  <c r="L430" i="7" l="1"/>
  <c r="O430" i="7" s="1"/>
  <c r="E429" i="7"/>
  <c r="C429" i="7"/>
  <c r="F429" i="7" s="1"/>
  <c r="D429" i="7" l="1"/>
  <c r="P430" i="7" l="1"/>
  <c r="N430" i="7"/>
  <c r="Q430" i="7" s="1"/>
  <c r="L431" i="7" s="1"/>
  <c r="G429" i="7"/>
  <c r="B430" i="7" s="1"/>
  <c r="M431" i="7" l="1"/>
  <c r="C430" i="7"/>
  <c r="F430" i="7" s="1"/>
  <c r="E430" i="7"/>
  <c r="D430" i="7" l="1"/>
  <c r="G430" i="7" s="1"/>
  <c r="B431" i="7" s="1"/>
  <c r="O431" i="7"/>
  <c r="P431" i="7"/>
  <c r="N431" i="7" l="1"/>
  <c r="Q431" i="7" s="1"/>
  <c r="L432" i="7" s="1"/>
  <c r="E431" i="7"/>
  <c r="C431" i="7"/>
  <c r="F431" i="7" s="1"/>
  <c r="M432" i="7" l="1"/>
  <c r="P432" i="7" s="1"/>
  <c r="D431" i="7"/>
  <c r="N432" i="7" l="1"/>
  <c r="Q432" i="7" s="1"/>
  <c r="M433" i="7" s="1"/>
  <c r="O432" i="7"/>
  <c r="G431" i="7"/>
  <c r="B432" i="7" s="1"/>
  <c r="L433" i="7" l="1"/>
  <c r="O433" i="7" s="1"/>
  <c r="E432" i="7"/>
  <c r="C432" i="7"/>
  <c r="D432" i="7" s="1"/>
  <c r="G432" i="7" l="1"/>
  <c r="B433" i="7" s="1"/>
  <c r="F432" i="7"/>
  <c r="C433" i="7" l="1"/>
  <c r="F433" i="7" s="1"/>
  <c r="P433" i="7"/>
  <c r="N433" i="7"/>
  <c r="Q433" i="7" s="1"/>
  <c r="L434" i="7" s="1"/>
  <c r="E433" i="7"/>
  <c r="D433" i="7" l="1"/>
  <c r="G433" i="7" s="1"/>
  <c r="C434" i="7" s="1"/>
  <c r="F434" i="7" s="1"/>
  <c r="M434" i="7"/>
  <c r="P434" i="7" s="1"/>
  <c r="N434" i="7" l="1"/>
  <c r="Q434" i="7" s="1"/>
  <c r="O434" i="7"/>
  <c r="B434" i="7"/>
  <c r="L435" i="7" l="1"/>
  <c r="M435" i="7"/>
  <c r="P435" i="7" s="1"/>
  <c r="E434" i="7"/>
  <c r="D434" i="7"/>
  <c r="N435" i="7" l="1"/>
  <c r="Q435" i="7" s="1"/>
  <c r="M436" i="7" s="1"/>
  <c r="O435" i="7"/>
  <c r="G434" i="7"/>
  <c r="C435" i="7" s="1"/>
  <c r="P436" i="7" l="1"/>
  <c r="L436" i="7"/>
  <c r="O436" i="7" s="1"/>
  <c r="B435" i="7"/>
  <c r="E435" i="7" s="1"/>
  <c r="F435" i="7"/>
  <c r="D435" i="7" l="1"/>
  <c r="G435" i="7" s="1"/>
  <c r="B436" i="7" s="1"/>
  <c r="N436" i="7"/>
  <c r="Q436" i="7" s="1"/>
  <c r="M437" i="7" s="1"/>
  <c r="L437" i="7" l="1"/>
  <c r="O437" i="7" s="1"/>
  <c r="E436" i="7"/>
  <c r="C436" i="7"/>
  <c r="F436" i="7" l="1"/>
  <c r="D436" i="7"/>
  <c r="P437" i="7" l="1"/>
  <c r="N437" i="7"/>
  <c r="Q437" i="7" s="1"/>
  <c r="L438" i="7" s="1"/>
  <c r="G436" i="7"/>
  <c r="B437" i="7" s="1"/>
  <c r="M438" i="7" l="1"/>
  <c r="E437" i="7"/>
  <c r="C437" i="7"/>
  <c r="F437" i="7" s="1"/>
  <c r="O438" i="7" l="1"/>
  <c r="P438" i="7"/>
  <c r="D437" i="7"/>
  <c r="N438" i="7" l="1"/>
  <c r="Q438" i="7" s="1"/>
  <c r="L439" i="7" s="1"/>
  <c r="G437" i="7"/>
  <c r="B438" i="7" s="1"/>
  <c r="M439" i="7" l="1"/>
  <c r="E438" i="7"/>
  <c r="C438" i="7"/>
  <c r="F438" i="7" s="1"/>
  <c r="O439" i="7" l="1"/>
  <c r="P439" i="7"/>
  <c r="D438" i="7"/>
  <c r="N439" i="7" l="1"/>
  <c r="Q439" i="7" s="1"/>
  <c r="L440" i="7" s="1"/>
  <c r="G438" i="7"/>
  <c r="B439" i="7" s="1"/>
  <c r="M440" i="7" l="1"/>
  <c r="E439" i="7"/>
  <c r="C439" i="7"/>
  <c r="D439" i="7" s="1"/>
  <c r="O440" i="7" l="1"/>
  <c r="P440" i="7"/>
  <c r="G439" i="7"/>
  <c r="B440" i="7" s="1"/>
  <c r="F439" i="7"/>
  <c r="C440" i="7" l="1"/>
  <c r="F440" i="7" s="1"/>
  <c r="N440" i="7"/>
  <c r="Q440" i="7" s="1"/>
  <c r="E440" i="7"/>
  <c r="D440" i="7" l="1"/>
  <c r="G440" i="7" s="1"/>
  <c r="C441" i="7" s="1"/>
  <c r="F441" i="7" s="1"/>
  <c r="M441" i="7"/>
  <c r="P441" i="7" s="1"/>
  <c r="L441" i="7"/>
  <c r="N441" i="7" l="1"/>
  <c r="Q441" i="7" s="1"/>
  <c r="M442" i="7" s="1"/>
  <c r="P442" i="7" s="1"/>
  <c r="O441" i="7"/>
  <c r="B441" i="7"/>
  <c r="L442" i="7" l="1"/>
  <c r="O442" i="7" s="1"/>
  <c r="E441" i="7"/>
  <c r="D441" i="7"/>
  <c r="N442" i="7" l="1"/>
  <c r="Q442" i="7" s="1"/>
  <c r="G441" i="7"/>
  <c r="C442" i="7" s="1"/>
  <c r="B442" i="7" l="1"/>
  <c r="E442" i="7" s="1"/>
  <c r="L443" i="7"/>
  <c r="O443" i="7" s="1"/>
  <c r="M443" i="7"/>
  <c r="P443" i="7" s="1"/>
  <c r="F442" i="7"/>
  <c r="N443" i="7" l="1"/>
  <c r="Q443" i="7" s="1"/>
  <c r="M444" i="7" s="1"/>
  <c r="D442" i="7"/>
  <c r="G442" i="7" s="1"/>
  <c r="B443" i="7" s="1"/>
  <c r="L444" i="7" l="1"/>
  <c r="O444" i="7" s="1"/>
  <c r="E443" i="7"/>
  <c r="C443" i="7"/>
  <c r="F443" i="7" l="1"/>
  <c r="D443" i="7"/>
  <c r="P444" i="7" l="1"/>
  <c r="N444" i="7"/>
  <c r="Q444" i="7" s="1"/>
  <c r="L445" i="7" s="1"/>
  <c r="G443" i="7"/>
  <c r="B444" i="7" s="1"/>
  <c r="M445" i="7" l="1"/>
  <c r="E444" i="7"/>
  <c r="C444" i="7"/>
  <c r="F444" i="7" s="1"/>
  <c r="O445" i="7" l="1"/>
  <c r="P445" i="7"/>
  <c r="D444" i="7"/>
  <c r="N445" i="7" l="1"/>
  <c r="Q445" i="7" s="1"/>
  <c r="L446" i="7" s="1"/>
  <c r="G444" i="7"/>
  <c r="B445" i="7" s="1"/>
  <c r="M446" i="7" l="1"/>
  <c r="E445" i="7"/>
  <c r="C445" i="7"/>
  <c r="P446" i="7" l="1"/>
  <c r="N446" i="7"/>
  <c r="Q446" i="7" s="1"/>
  <c r="O446" i="7"/>
  <c r="F445" i="7"/>
  <c r="D445" i="7"/>
  <c r="L447" i="7" l="1"/>
  <c r="O447" i="7" s="1"/>
  <c r="M447" i="7"/>
  <c r="G445" i="7"/>
  <c r="B446" i="7" s="1"/>
  <c r="E446" i="7" l="1"/>
  <c r="C446" i="7"/>
  <c r="P447" i="7" l="1"/>
  <c r="N447" i="7"/>
  <c r="Q447" i="7" s="1"/>
  <c r="L448" i="7" s="1"/>
  <c r="F446" i="7"/>
  <c r="D446" i="7"/>
  <c r="M448" i="7" l="1"/>
  <c r="G446" i="7"/>
  <c r="B447" i="7" s="1"/>
  <c r="O448" i="7" l="1"/>
  <c r="E447" i="7"/>
  <c r="C447" i="7"/>
  <c r="F447" i="7" l="1"/>
  <c r="D447" i="7"/>
  <c r="P448" i="7" l="1"/>
  <c r="N448" i="7"/>
  <c r="Q448" i="7" s="1"/>
  <c r="L449" i="7" s="1"/>
  <c r="G447" i="7"/>
  <c r="B448" i="7" s="1"/>
  <c r="M449" i="7" l="1"/>
  <c r="E448" i="7"/>
  <c r="C448" i="7"/>
  <c r="F448" i="7" s="1"/>
  <c r="O449" i="7" l="1"/>
  <c r="P449" i="7"/>
  <c r="D448" i="7"/>
  <c r="N449" i="7" l="1"/>
  <c r="Q449" i="7" s="1"/>
  <c r="L450" i="7" s="1"/>
  <c r="G448" i="7"/>
  <c r="B449" i="7" s="1"/>
  <c r="M450" i="7" l="1"/>
  <c r="E449" i="7"/>
  <c r="C449" i="7"/>
  <c r="P450" i="7" l="1"/>
  <c r="N450" i="7"/>
  <c r="Q450" i="7" s="1"/>
  <c r="O450" i="7"/>
  <c r="F449" i="7"/>
  <c r="D449" i="7"/>
  <c r="L451" i="7" l="1"/>
  <c r="O451" i="7" s="1"/>
  <c r="M451" i="7"/>
  <c r="G449" i="7"/>
  <c r="B450" i="7" s="1"/>
  <c r="E450" i="7" l="1"/>
  <c r="C450" i="7"/>
  <c r="F450" i="7" l="1"/>
  <c r="D450" i="7"/>
  <c r="P451" i="7" l="1"/>
  <c r="N451" i="7"/>
  <c r="Q451" i="7" s="1"/>
  <c r="L452" i="7" s="1"/>
  <c r="G450" i="7"/>
  <c r="B451" i="7" s="1"/>
  <c r="M452" i="7" l="1"/>
  <c r="E451" i="7"/>
  <c r="C451" i="7"/>
  <c r="F451" i="7" s="1"/>
  <c r="O452" i="7" l="1"/>
  <c r="P452" i="7"/>
  <c r="D451" i="7"/>
  <c r="N452" i="7" l="1"/>
  <c r="Q452" i="7" s="1"/>
  <c r="L453" i="7" s="1"/>
  <c r="G451" i="7"/>
  <c r="B452" i="7" s="1"/>
  <c r="M453" i="7" l="1"/>
  <c r="C452" i="7"/>
  <c r="E452" i="7"/>
  <c r="P453" i="7" l="1"/>
  <c r="D452" i="7"/>
  <c r="G452" i="7" s="1"/>
  <c r="B453" i="7" s="1"/>
  <c r="N453" i="7"/>
  <c r="Q453" i="7" s="1"/>
  <c r="O453" i="7"/>
  <c r="F452" i="7"/>
  <c r="M454" i="7" l="1"/>
  <c r="P454" i="7" s="1"/>
  <c r="L454" i="7"/>
  <c r="O454" i="7" s="1"/>
  <c r="C453" i="7"/>
  <c r="F453" i="7" s="1"/>
  <c r="E453" i="7"/>
  <c r="D453" i="7" l="1"/>
  <c r="G453" i="7" s="1"/>
  <c r="B454" i="7" s="1"/>
  <c r="N454" i="7"/>
  <c r="Q454" i="7" s="1"/>
  <c r="L455" i="7" s="1"/>
  <c r="M455" i="7" l="1"/>
  <c r="E454" i="7"/>
  <c r="C454" i="7"/>
  <c r="F454" i="7" s="1"/>
  <c r="O455" i="7" l="1"/>
  <c r="P455" i="7"/>
  <c r="D454" i="7"/>
  <c r="N455" i="7" l="1"/>
  <c r="Q455" i="7" s="1"/>
  <c r="L456" i="7" s="1"/>
  <c r="G454" i="7"/>
  <c r="B455" i="7" s="1"/>
  <c r="M456" i="7" l="1"/>
  <c r="E455" i="7"/>
  <c r="C455" i="7"/>
  <c r="D455" i="7" s="1"/>
  <c r="O456" i="7" l="1"/>
  <c r="P456" i="7"/>
  <c r="G455" i="7"/>
  <c r="B456" i="7" s="1"/>
  <c r="F455" i="7"/>
  <c r="C456" i="7" l="1"/>
  <c r="F456" i="7" s="1"/>
  <c r="N456" i="7"/>
  <c r="Q456" i="7" s="1"/>
  <c r="E456" i="7"/>
  <c r="D456" i="7" l="1"/>
  <c r="G456" i="7" s="1"/>
  <c r="C457" i="7" s="1"/>
  <c r="F457" i="7" s="1"/>
  <c r="M457" i="7"/>
  <c r="P457" i="7" s="1"/>
  <c r="L457" i="7"/>
  <c r="O457" i="7" l="1"/>
  <c r="N457" i="7"/>
  <c r="Q457" i="7" s="1"/>
  <c r="B457" i="7"/>
  <c r="D457" i="7" s="1"/>
  <c r="E457" i="7" l="1"/>
  <c r="M458" i="7"/>
  <c r="P458" i="7" s="1"/>
  <c r="L458" i="7"/>
  <c r="G457" i="7"/>
  <c r="C458" i="7" s="1"/>
  <c r="F458" i="7" s="1"/>
  <c r="O458" i="7" l="1"/>
  <c r="N458" i="7"/>
  <c r="Q458" i="7" s="1"/>
  <c r="B458" i="7"/>
  <c r="E458" i="7" s="1"/>
  <c r="D458" i="7" l="1"/>
  <c r="G458" i="7" s="1"/>
  <c r="C459" i="7" s="1"/>
  <c r="F459" i="7" s="1"/>
  <c r="M459" i="7"/>
  <c r="P459" i="7" s="1"/>
  <c r="L459" i="7"/>
  <c r="B459" i="7" l="1"/>
  <c r="E459" i="7" s="1"/>
  <c r="O459" i="7"/>
  <c r="N459" i="7"/>
  <c r="Q459" i="7" s="1"/>
  <c r="D459" i="7" l="1"/>
  <c r="G459" i="7" s="1"/>
  <c r="C460" i="7" s="1"/>
  <c r="F460" i="7" s="1"/>
  <c r="M460" i="7"/>
  <c r="P460" i="7" s="1"/>
  <c r="L460" i="7"/>
  <c r="B460" i="7" l="1"/>
  <c r="D460" i="7" s="1"/>
  <c r="N460" i="7"/>
  <c r="Q460" i="7" s="1"/>
  <c r="O460" i="7"/>
  <c r="L461" i="7" l="1"/>
  <c r="O461" i="7" s="1"/>
  <c r="E460" i="7"/>
  <c r="M461" i="7"/>
  <c r="P461" i="7" s="1"/>
  <c r="G460" i="7"/>
  <c r="C461" i="7" s="1"/>
  <c r="F461" i="7" s="1"/>
  <c r="N461" i="7" l="1"/>
  <c r="Q461" i="7" s="1"/>
  <c r="L462" i="7" s="1"/>
  <c r="B461" i="7"/>
  <c r="E461" i="7" s="1"/>
  <c r="M462" i="7" l="1"/>
  <c r="P462" i="7" s="1"/>
  <c r="D461" i="7"/>
  <c r="G461" i="7" s="1"/>
  <c r="B462" i="7" s="1"/>
  <c r="O462" i="7"/>
  <c r="N462" i="7" l="1"/>
  <c r="Q462" i="7" s="1"/>
  <c r="M463" i="7" s="1"/>
  <c r="E462" i="7"/>
  <c r="C462" i="7"/>
  <c r="F462" i="7" s="1"/>
  <c r="L463" i="7" l="1"/>
  <c r="O463" i="7" s="1"/>
  <c r="D462" i="7"/>
  <c r="P463" i="7" l="1"/>
  <c r="N463" i="7"/>
  <c r="Q463" i="7" s="1"/>
  <c r="L464" i="7" s="1"/>
  <c r="G462" i="7"/>
  <c r="B463" i="7" s="1"/>
  <c r="M464" i="7" l="1"/>
  <c r="E463" i="7"/>
  <c r="C463" i="7"/>
  <c r="P464" i="7" l="1"/>
  <c r="N464" i="7"/>
  <c r="Q464" i="7" s="1"/>
  <c r="O464" i="7"/>
  <c r="F463" i="7"/>
  <c r="D463" i="7"/>
  <c r="M465" i="7" l="1"/>
  <c r="L465" i="7"/>
  <c r="O465" i="7" s="1"/>
  <c r="G463" i="7"/>
  <c r="B464" i="7" s="1"/>
  <c r="E464" i="7" l="1"/>
  <c r="C464" i="7"/>
  <c r="F464" i="7" l="1"/>
  <c r="D464" i="7"/>
  <c r="P465" i="7" l="1"/>
  <c r="N465" i="7"/>
  <c r="Q465" i="7" s="1"/>
  <c r="L466" i="7" s="1"/>
  <c r="G464" i="7"/>
  <c r="B465" i="7" s="1"/>
  <c r="M466" i="7" l="1"/>
  <c r="C465" i="7"/>
  <c r="E465" i="7"/>
  <c r="P466" i="7" l="1"/>
  <c r="D465" i="7"/>
  <c r="G465" i="7" s="1"/>
  <c r="B466" i="7" s="1"/>
  <c r="O466" i="7"/>
  <c r="N466" i="7"/>
  <c r="Q466" i="7" s="1"/>
  <c r="F465" i="7"/>
  <c r="M467" i="7" l="1"/>
  <c r="L467" i="7"/>
  <c r="C466" i="7"/>
  <c r="F466" i="7" s="1"/>
  <c r="E466" i="7"/>
  <c r="D466" i="7" l="1"/>
  <c r="G466" i="7" s="1"/>
  <c r="B467" i="7" s="1"/>
  <c r="O467" i="7"/>
  <c r="P467" i="7"/>
  <c r="N467" i="7" l="1"/>
  <c r="Q467" i="7" s="1"/>
  <c r="E467" i="7"/>
  <c r="C467" i="7"/>
  <c r="F467" i="7" s="1"/>
  <c r="M468" i="7" l="1"/>
  <c r="P468" i="7" s="1"/>
  <c r="L468" i="7"/>
  <c r="D467" i="7"/>
  <c r="O468" i="7" l="1"/>
  <c r="N468" i="7"/>
  <c r="Q468" i="7" s="1"/>
  <c r="M469" i="7" s="1"/>
  <c r="G467" i="7"/>
  <c r="B468" i="7" s="1"/>
  <c r="L469" i="7" l="1"/>
  <c r="E468" i="7"/>
  <c r="C468" i="7"/>
  <c r="P469" i="7" s="1"/>
  <c r="O469" i="7" l="1"/>
  <c r="N469" i="7"/>
  <c r="Q469" i="7" s="1"/>
  <c r="M470" i="7" s="1"/>
  <c r="F468" i="7"/>
  <c r="D468" i="7"/>
  <c r="L470" i="7" l="1"/>
  <c r="G468" i="7"/>
  <c r="B469" i="7" s="1"/>
  <c r="O470" i="7" l="1"/>
  <c r="E469" i="7"/>
  <c r="C469" i="7"/>
  <c r="D469" i="7" l="1"/>
  <c r="G469" i="7" s="1"/>
  <c r="B470" i="7" s="1"/>
  <c r="F469" i="7"/>
  <c r="P470" i="7" l="1"/>
  <c r="N470" i="7"/>
  <c r="Q470" i="7" s="1"/>
  <c r="L471" i="7" s="1"/>
  <c r="C470" i="7"/>
  <c r="F470" i="7" s="1"/>
  <c r="E470" i="7"/>
  <c r="D470" i="7" l="1"/>
  <c r="G470" i="7" s="1"/>
  <c r="C471" i="7" s="1"/>
  <c r="F471" i="7" s="1"/>
  <c r="M471" i="7"/>
  <c r="P471" i="7" s="1"/>
  <c r="N471" i="7" l="1"/>
  <c r="Q471" i="7" s="1"/>
  <c r="O471" i="7"/>
  <c r="B471" i="7"/>
  <c r="E471" i="7" s="1"/>
  <c r="D471" i="7" l="1"/>
  <c r="G471" i="7" s="1"/>
  <c r="C472" i="7" s="1"/>
  <c r="F472" i="7" s="1"/>
  <c r="L472" i="7"/>
  <c r="M472" i="7"/>
  <c r="P472" i="7" s="1"/>
  <c r="N472" i="7" l="1"/>
  <c r="Q472" i="7" s="1"/>
  <c r="M473" i="7" s="1"/>
  <c r="P473" i="7" s="1"/>
  <c r="O472" i="7"/>
  <c r="B472" i="7"/>
  <c r="E472" i="7" s="1"/>
  <c r="L473" i="7" l="1"/>
  <c r="O473" i="7" s="1"/>
  <c r="D472" i="7"/>
  <c r="G472" i="7" s="1"/>
  <c r="C473" i="7" s="1"/>
  <c r="F473" i="7" s="1"/>
  <c r="N473" i="7" l="1"/>
  <c r="Q473" i="7" s="1"/>
  <c r="M474" i="7" s="1"/>
  <c r="P474" i="7" s="1"/>
  <c r="B473" i="7"/>
  <c r="L474" i="7" l="1"/>
  <c r="O474" i="7" s="1"/>
  <c r="E473" i="7"/>
  <c r="D473" i="7"/>
  <c r="N474" i="7" l="1"/>
  <c r="Q474" i="7" s="1"/>
  <c r="M475" i="7" s="1"/>
  <c r="G473" i="7"/>
  <c r="B474" i="7" s="1"/>
  <c r="L475" i="7" l="1"/>
  <c r="O475" i="7" s="1"/>
  <c r="E474" i="7"/>
  <c r="C474" i="7"/>
  <c r="P475" i="7" s="1"/>
  <c r="N475" i="7" l="1"/>
  <c r="Q475" i="7" s="1"/>
  <c r="L476" i="7" s="1"/>
  <c r="F474" i="7"/>
  <c r="D474" i="7"/>
  <c r="M476" i="7" l="1"/>
  <c r="G474" i="7"/>
  <c r="B475" i="7" s="1"/>
  <c r="O476" i="7" l="1"/>
  <c r="E475" i="7"/>
  <c r="C475" i="7"/>
  <c r="D475" i="7" l="1"/>
  <c r="G475" i="7" s="1"/>
  <c r="B476" i="7" s="1"/>
  <c r="F475" i="7"/>
  <c r="C476" i="7" l="1"/>
  <c r="F476" i="7" s="1"/>
  <c r="P476" i="7"/>
  <c r="N476" i="7"/>
  <c r="Q476" i="7" s="1"/>
  <c r="L477" i="7" s="1"/>
  <c r="E476" i="7"/>
  <c r="D476" i="7" l="1"/>
  <c r="G476" i="7" s="1"/>
  <c r="B477" i="7" s="1"/>
  <c r="M477" i="7"/>
  <c r="P477" i="7" s="1"/>
  <c r="N477" i="7" l="1"/>
  <c r="Q477" i="7" s="1"/>
  <c r="M478" i="7" s="1"/>
  <c r="O477" i="7"/>
  <c r="E477" i="7"/>
  <c r="C477" i="7"/>
  <c r="F477" i="7" s="1"/>
  <c r="L478" i="7" l="1"/>
  <c r="O478" i="7" s="1"/>
  <c r="P478" i="7"/>
  <c r="D477" i="7"/>
  <c r="N478" i="7" l="1"/>
  <c r="Q478" i="7" s="1"/>
  <c r="L479" i="7" s="1"/>
  <c r="G477" i="7"/>
  <c r="B478" i="7" s="1"/>
  <c r="M479" i="7" l="1"/>
  <c r="E478" i="7"/>
  <c r="C478" i="7"/>
  <c r="F478" i="7" s="1"/>
  <c r="O479" i="7" l="1"/>
  <c r="P479" i="7"/>
  <c r="D478" i="7"/>
  <c r="N479" i="7" l="1"/>
  <c r="Q479" i="7" s="1"/>
  <c r="L480" i="7" s="1"/>
  <c r="G478" i="7"/>
  <c r="B479" i="7" s="1"/>
  <c r="M480" i="7" l="1"/>
  <c r="E479" i="7"/>
  <c r="C479" i="7"/>
  <c r="F479" i="7" s="1"/>
  <c r="O480" i="7" l="1"/>
  <c r="P480" i="7"/>
  <c r="D479" i="7"/>
  <c r="N480" i="7" l="1"/>
  <c r="Q480" i="7" s="1"/>
  <c r="L481" i="7" s="1"/>
  <c r="G479" i="7"/>
  <c r="B480" i="7" s="1"/>
  <c r="M481" i="7" l="1"/>
  <c r="C480" i="7"/>
  <c r="E480" i="7"/>
  <c r="P481" i="7" l="1"/>
  <c r="D480" i="7"/>
  <c r="G480" i="7" s="1"/>
  <c r="B481" i="7" s="1"/>
  <c r="N481" i="7"/>
  <c r="Q481" i="7" s="1"/>
  <c r="O481" i="7"/>
  <c r="F480" i="7"/>
  <c r="M482" i="7" l="1"/>
  <c r="L482" i="7"/>
  <c r="O482" i="7" s="1"/>
  <c r="C481" i="7"/>
  <c r="F481" i="7" s="1"/>
  <c r="E481" i="7"/>
  <c r="D481" i="7" l="1"/>
  <c r="G481" i="7" s="1"/>
  <c r="C482" i="7" s="1"/>
  <c r="F482" i="7" s="1"/>
  <c r="P482" i="7" l="1"/>
  <c r="N482" i="7"/>
  <c r="Q482" i="7" s="1"/>
  <c r="L483" i="7" s="1"/>
  <c r="B482" i="7"/>
  <c r="M483" i="7" l="1"/>
  <c r="P483" i="7" s="1"/>
  <c r="E482" i="7"/>
  <c r="D482" i="7"/>
  <c r="N483" i="7" l="1"/>
  <c r="Q483" i="7" s="1"/>
  <c r="M484" i="7" s="1"/>
  <c r="O483" i="7"/>
  <c r="G482" i="7"/>
  <c r="C483" i="7" s="1"/>
  <c r="L484" i="7" l="1"/>
  <c r="O484" i="7" s="1"/>
  <c r="P484" i="7"/>
  <c r="F483" i="7"/>
  <c r="B483" i="7"/>
  <c r="N484" i="7" l="1"/>
  <c r="Q484" i="7" s="1"/>
  <c r="L485" i="7" s="1"/>
  <c r="E483" i="7"/>
  <c r="D483" i="7"/>
  <c r="M485" i="7" l="1"/>
  <c r="G483" i="7"/>
  <c r="C484" i="7" s="1"/>
  <c r="F484" i="7" s="1"/>
  <c r="O485" i="7" l="1"/>
  <c r="P485" i="7"/>
  <c r="B484" i="7"/>
  <c r="D484" i="7" s="1"/>
  <c r="E484" i="7" l="1"/>
  <c r="N485" i="7"/>
  <c r="Q485" i="7" s="1"/>
  <c r="L486" i="7" s="1"/>
  <c r="G484" i="7"/>
  <c r="C485" i="7" s="1"/>
  <c r="F485" i="7" s="1"/>
  <c r="M486" i="7" l="1"/>
  <c r="P486" i="7" s="1"/>
  <c r="B485" i="7"/>
  <c r="E485" i="7" s="1"/>
  <c r="D485" i="7" l="1"/>
  <c r="G485" i="7" s="1"/>
  <c r="C486" i="7" s="1"/>
  <c r="F486" i="7" s="1"/>
  <c r="N486" i="7"/>
  <c r="Q486" i="7" s="1"/>
  <c r="M487" i="7" s="1"/>
  <c r="O486" i="7"/>
  <c r="L487" i="7" l="1"/>
  <c r="O487" i="7" s="1"/>
  <c r="P487" i="7"/>
  <c r="B486" i="7"/>
  <c r="E486" i="7" s="1"/>
  <c r="D486" i="7" l="1"/>
  <c r="G486" i="7" s="1"/>
  <c r="C487" i="7" s="1"/>
  <c r="F487" i="7" s="1"/>
  <c r="N487" i="7"/>
  <c r="Q487" i="7" s="1"/>
  <c r="L488" i="7" s="1"/>
  <c r="M488" i="7" l="1"/>
  <c r="P488" i="7" s="1"/>
  <c r="B487" i="7"/>
  <c r="E487" i="7" s="1"/>
  <c r="D487" i="7" l="1"/>
  <c r="G487" i="7" s="1"/>
  <c r="C488" i="7" s="1"/>
  <c r="F488" i="7" s="1"/>
  <c r="N488" i="7"/>
  <c r="Q488" i="7" s="1"/>
  <c r="M489" i="7" s="1"/>
  <c r="O488" i="7"/>
  <c r="L489" i="7" l="1"/>
  <c r="O489" i="7" s="1"/>
  <c r="B488" i="7"/>
  <c r="E488" i="7" s="1"/>
  <c r="P489" i="7"/>
  <c r="D488" i="7" l="1"/>
  <c r="G488" i="7" s="1"/>
  <c r="C489" i="7" s="1"/>
  <c r="F489" i="7" s="1"/>
  <c r="N489" i="7"/>
  <c r="Q489" i="7" s="1"/>
  <c r="L490" i="7" s="1"/>
  <c r="M490" i="7" l="1"/>
  <c r="P490" i="7" s="1"/>
  <c r="O490" i="7"/>
  <c r="B489" i="7"/>
  <c r="N490" i="7" l="1"/>
  <c r="Q490" i="7" s="1"/>
  <c r="L491" i="7" s="1"/>
  <c r="E489" i="7"/>
  <c r="D489" i="7"/>
  <c r="M491" i="7" l="1"/>
  <c r="G489" i="7"/>
  <c r="C490" i="7" s="1"/>
  <c r="F490" i="7" s="1"/>
  <c r="O491" i="7" l="1"/>
  <c r="P491" i="7"/>
  <c r="B490" i="7"/>
  <c r="D490" i="7" s="1"/>
  <c r="E490" i="7" l="1"/>
  <c r="N491" i="7"/>
  <c r="Q491" i="7" s="1"/>
  <c r="L492" i="7" s="1"/>
  <c r="G490" i="7"/>
  <c r="C491" i="7" s="1"/>
  <c r="F491" i="7" s="1"/>
  <c r="M492" i="7" l="1"/>
  <c r="P492" i="7" s="1"/>
  <c r="O492" i="7"/>
  <c r="B491" i="7"/>
  <c r="E491" i="7" s="1"/>
  <c r="D491" i="7" l="1"/>
  <c r="G491" i="7" s="1"/>
  <c r="C492" i="7" s="1"/>
  <c r="F492" i="7" s="1"/>
  <c r="N492" i="7"/>
  <c r="Q492" i="7" s="1"/>
  <c r="L493" i="7" s="1"/>
  <c r="M493" i="7" l="1"/>
  <c r="P493" i="7" s="1"/>
  <c r="B492" i="7"/>
  <c r="D492" i="7" s="1"/>
  <c r="E492" i="7" l="1"/>
  <c r="N493" i="7"/>
  <c r="Q493" i="7" s="1"/>
  <c r="M494" i="7" s="1"/>
  <c r="O493" i="7"/>
  <c r="G492" i="7"/>
  <c r="C493" i="7" s="1"/>
  <c r="F493" i="7" s="1"/>
  <c r="L494" i="7" l="1"/>
  <c r="O494" i="7" s="1"/>
  <c r="P494" i="7"/>
  <c r="B493" i="7"/>
  <c r="D493" i="7" s="1"/>
  <c r="E493" i="7" l="1"/>
  <c r="N494" i="7"/>
  <c r="Q494" i="7" s="1"/>
  <c r="L495" i="7" s="1"/>
  <c r="G493" i="7"/>
  <c r="B494" i="7" l="1"/>
  <c r="E494" i="7" s="1"/>
  <c r="M495" i="7"/>
  <c r="C494" i="7"/>
  <c r="F494" i="7" s="1"/>
  <c r="O495" i="7" l="1"/>
  <c r="P495" i="7"/>
  <c r="D494" i="7"/>
  <c r="N495" i="7" l="1"/>
  <c r="Q495" i="7" s="1"/>
  <c r="L496" i="7" s="1"/>
  <c r="G494" i="7"/>
  <c r="B495" i="7" s="1"/>
  <c r="M496" i="7" l="1"/>
  <c r="E495" i="7"/>
  <c r="C495" i="7"/>
  <c r="P496" i="7" l="1"/>
  <c r="N496" i="7"/>
  <c r="Q496" i="7" s="1"/>
  <c r="O496" i="7"/>
  <c r="F495" i="7"/>
  <c r="D495" i="7"/>
  <c r="M497" i="7" l="1"/>
  <c r="L497" i="7"/>
  <c r="O497" i="7" s="1"/>
  <c r="G495" i="7"/>
  <c r="B496" i="7" s="1"/>
  <c r="E496" i="7" l="1"/>
  <c r="C496" i="7"/>
  <c r="F496" i="7" l="1"/>
  <c r="D496" i="7"/>
  <c r="P497" i="7" l="1"/>
  <c r="N497" i="7"/>
  <c r="Q497" i="7" s="1"/>
  <c r="L498" i="7" s="1"/>
  <c r="G496" i="7"/>
  <c r="B497" i="7" s="1"/>
  <c r="M498" i="7" l="1"/>
  <c r="E497" i="7"/>
  <c r="C497" i="7"/>
  <c r="F497" i="7" s="1"/>
  <c r="O498" i="7" l="1"/>
  <c r="P498" i="7"/>
  <c r="D497" i="7"/>
  <c r="N498" i="7" l="1"/>
  <c r="Q498" i="7" s="1"/>
  <c r="L499" i="7" s="1"/>
  <c r="G497" i="7"/>
  <c r="B498" i="7" s="1"/>
  <c r="M499" i="7" l="1"/>
  <c r="O499" i="7"/>
  <c r="E498" i="7"/>
  <c r="C498" i="7"/>
  <c r="P499" i="7" l="1"/>
  <c r="N499" i="7"/>
  <c r="Q499" i="7" s="1"/>
  <c r="L500" i="7" s="1"/>
  <c r="F498" i="7"/>
  <c r="D498" i="7"/>
  <c r="M500" i="7" l="1"/>
  <c r="O500" i="7"/>
  <c r="G498" i="7"/>
  <c r="B499" i="7" s="1"/>
  <c r="E499" i="7" l="1"/>
  <c r="C499" i="7"/>
  <c r="F499" i="7" l="1"/>
  <c r="D499" i="7"/>
  <c r="P500" i="7" l="1"/>
  <c r="N500" i="7"/>
  <c r="Q500" i="7" s="1"/>
  <c r="L501" i="7" s="1"/>
  <c r="G499" i="7"/>
  <c r="B500" i="7" s="1"/>
  <c r="M501" i="7" l="1"/>
  <c r="E500" i="7"/>
  <c r="C500" i="7"/>
  <c r="F500" i="7" s="1"/>
  <c r="O501" i="7" l="1"/>
  <c r="P501" i="7"/>
  <c r="D500" i="7"/>
  <c r="N501" i="7" l="1"/>
  <c r="Q501" i="7" s="1"/>
  <c r="L502" i="7" s="1"/>
  <c r="G500" i="7"/>
  <c r="B501" i="7" s="1"/>
  <c r="M502" i="7" l="1"/>
  <c r="E501" i="7"/>
  <c r="C501" i="7"/>
  <c r="F501" i="7" s="1"/>
  <c r="O502" i="7" l="1"/>
  <c r="P502" i="7"/>
  <c r="D501" i="7"/>
  <c r="N502" i="7" l="1"/>
  <c r="Q502" i="7" s="1"/>
  <c r="L503" i="7" s="1"/>
  <c r="G501" i="7"/>
  <c r="B502" i="7" s="1"/>
  <c r="M503" i="7" l="1"/>
  <c r="E502" i="7"/>
  <c r="C502" i="7"/>
  <c r="F502" i="7" s="1"/>
  <c r="O503" i="7" l="1"/>
  <c r="P503" i="7"/>
  <c r="D502" i="7"/>
  <c r="N503" i="7" l="1"/>
  <c r="Q503" i="7" s="1"/>
  <c r="L504" i="7" s="1"/>
  <c r="G502" i="7"/>
  <c r="B503" i="7" s="1"/>
  <c r="M504" i="7" l="1"/>
  <c r="E503" i="7"/>
  <c r="C503" i="7"/>
  <c r="F503" i="7" s="1"/>
  <c r="O504" i="7" l="1"/>
  <c r="P504" i="7"/>
  <c r="D503" i="7"/>
  <c r="N504" i="7" l="1"/>
  <c r="Q504" i="7" s="1"/>
  <c r="L505" i="7" s="1"/>
  <c r="G503" i="7"/>
  <c r="B504" i="7" s="1"/>
  <c r="M505" i="7" l="1"/>
  <c r="E504" i="7"/>
  <c r="C504" i="7"/>
  <c r="P505" i="7" l="1"/>
  <c r="N505" i="7"/>
  <c r="Q505" i="7" s="1"/>
  <c r="O505" i="7"/>
  <c r="F504" i="7"/>
  <c r="D504" i="7"/>
  <c r="M506" i="7" l="1"/>
  <c r="L506" i="7"/>
  <c r="G504" i="7"/>
  <c r="B505" i="7" s="1"/>
  <c r="O506" i="7" l="1"/>
  <c r="E505" i="7"/>
  <c r="C505" i="7"/>
  <c r="P506" i="7" s="1"/>
  <c r="N506" i="7" l="1"/>
  <c r="Q506" i="7" s="1"/>
  <c r="L507" i="7" s="1"/>
  <c r="F505" i="7"/>
  <c r="D505" i="7"/>
  <c r="M507" i="7" l="1"/>
  <c r="G505" i="7"/>
  <c r="B506" i="7" s="1"/>
  <c r="O507" i="7" l="1"/>
  <c r="E506" i="7"/>
  <c r="C506" i="7"/>
  <c r="F506" i="7" l="1"/>
  <c r="D506" i="7"/>
  <c r="P507" i="7" l="1"/>
  <c r="N507" i="7"/>
  <c r="Q507" i="7" s="1"/>
  <c r="L508" i="7" s="1"/>
  <c r="G506" i="7"/>
  <c r="B507" i="7" s="1"/>
  <c r="M508" i="7" l="1"/>
  <c r="E507" i="7"/>
  <c r="C507" i="7"/>
  <c r="F507" i="7" s="1"/>
  <c r="O508" i="7" l="1"/>
  <c r="P508" i="7"/>
  <c r="D507" i="7"/>
  <c r="N508" i="7" l="1"/>
  <c r="Q508" i="7" s="1"/>
  <c r="L509" i="7" s="1"/>
  <c r="G507" i="7"/>
  <c r="B508" i="7" s="1"/>
  <c r="M509" i="7" l="1"/>
  <c r="E508" i="7"/>
  <c r="C508" i="7"/>
  <c r="F508" i="7" s="1"/>
  <c r="O509" i="7" l="1"/>
  <c r="P509" i="7"/>
  <c r="D508" i="7"/>
  <c r="N509" i="7" l="1"/>
  <c r="Q509" i="7" s="1"/>
  <c r="L510" i="7" s="1"/>
  <c r="G508" i="7"/>
  <c r="B509" i="7" s="1"/>
  <c r="M510" i="7" l="1"/>
  <c r="E509" i="7"/>
  <c r="C509" i="7"/>
  <c r="F509" i="7" s="1"/>
  <c r="O510" i="7" l="1"/>
  <c r="P510" i="7"/>
  <c r="D509" i="7"/>
  <c r="N510" i="7" l="1"/>
  <c r="Q510" i="7" s="1"/>
  <c r="L511" i="7" s="1"/>
  <c r="G509" i="7"/>
  <c r="B510" i="7" s="1"/>
  <c r="M511" i="7" l="1"/>
  <c r="E510" i="7"/>
  <c r="C510" i="7"/>
  <c r="P511" i="7" l="1"/>
  <c r="N511" i="7"/>
  <c r="Q511" i="7" s="1"/>
  <c r="O511" i="7"/>
  <c r="F510" i="7"/>
  <c r="D510" i="7"/>
  <c r="M512" i="7" l="1"/>
  <c r="L512" i="7"/>
  <c r="O512" i="7" s="1"/>
  <c r="G510" i="7"/>
  <c r="B511" i="7" s="1"/>
  <c r="E511" i="7" l="1"/>
  <c r="C511" i="7"/>
  <c r="F511" i="7" l="1"/>
  <c r="D511" i="7"/>
  <c r="P512" i="7" l="1"/>
  <c r="N512" i="7"/>
  <c r="Q512" i="7" s="1"/>
  <c r="L513" i="7" s="1"/>
  <c r="G511" i="7"/>
  <c r="B512" i="7" s="1"/>
  <c r="M513" i="7" l="1"/>
  <c r="E512" i="7"/>
  <c r="C512" i="7"/>
  <c r="F512" i="7" s="1"/>
  <c r="O513" i="7" l="1"/>
  <c r="P513" i="7"/>
  <c r="D512" i="7"/>
  <c r="N513" i="7" l="1"/>
  <c r="Q513" i="7" s="1"/>
  <c r="L514" i="7" s="1"/>
  <c r="G512" i="7"/>
  <c r="B513" i="7" s="1"/>
  <c r="M514" i="7" l="1"/>
  <c r="E513" i="7"/>
  <c r="C513" i="7"/>
  <c r="P514" i="7" l="1"/>
  <c r="N514" i="7"/>
  <c r="Q514" i="7" s="1"/>
  <c r="O514" i="7"/>
  <c r="F513" i="7"/>
  <c r="D513" i="7"/>
  <c r="M515" i="7" l="1"/>
  <c r="L515" i="7"/>
  <c r="O515" i="7" s="1"/>
  <c r="G513" i="7"/>
  <c r="B514" i="7" s="1"/>
  <c r="E514" i="7" l="1"/>
  <c r="C514" i="7"/>
  <c r="D514" i="7" l="1"/>
  <c r="G514" i="7" s="1"/>
  <c r="B515" i="7" s="1"/>
  <c r="F514" i="7"/>
  <c r="C515" i="7" l="1"/>
  <c r="F515" i="7" s="1"/>
  <c r="P515" i="7"/>
  <c r="N515" i="7"/>
  <c r="Q515" i="7" s="1"/>
  <c r="L516" i="7" s="1"/>
  <c r="E515" i="7"/>
  <c r="D515" i="7" l="1"/>
  <c r="G515" i="7" s="1"/>
  <c r="C516" i="7" s="1"/>
  <c r="F516" i="7" s="1"/>
  <c r="M516" i="7"/>
  <c r="P516" i="7" s="1"/>
  <c r="N516" i="7" l="1"/>
  <c r="Q516" i="7" s="1"/>
  <c r="O516" i="7"/>
  <c r="B516" i="7"/>
  <c r="E516" i="7" s="1"/>
  <c r="L517" i="7" l="1"/>
  <c r="D516" i="7"/>
  <c r="G516" i="7" s="1"/>
  <c r="C517" i="7" s="1"/>
  <c r="F517" i="7" s="1"/>
  <c r="M517" i="7"/>
  <c r="P517" i="7" s="1"/>
  <c r="N517" i="7" l="1"/>
  <c r="Q517" i="7" s="1"/>
  <c r="M518" i="7" s="1"/>
  <c r="P518" i="7" s="1"/>
  <c r="O517" i="7"/>
  <c r="B517" i="7"/>
  <c r="E517" i="7" s="1"/>
  <c r="D517" i="7" l="1"/>
  <c r="G517" i="7" s="1"/>
  <c r="C518" i="7" s="1"/>
  <c r="F518" i="7" s="1"/>
  <c r="L518" i="7"/>
  <c r="O518" i="7" s="1"/>
  <c r="N518" i="7" l="1"/>
  <c r="Q518" i="7" s="1"/>
  <c r="M519" i="7" s="1"/>
  <c r="P519" i="7" s="1"/>
  <c r="B518" i="7"/>
  <c r="D518" i="7" s="1"/>
  <c r="L519" i="7" l="1"/>
  <c r="N519" i="7" s="1"/>
  <c r="Q519" i="7" s="1"/>
  <c r="M520" i="7" s="1"/>
  <c r="E518" i="7"/>
  <c r="G518" i="7"/>
  <c r="O519" i="7" l="1"/>
  <c r="L520" i="7" s="1"/>
  <c r="O520" i="7" s="1"/>
  <c r="B519" i="7"/>
  <c r="E519" i="7" s="1"/>
  <c r="C519" i="7"/>
  <c r="F519" i="7" s="1"/>
  <c r="D519" i="7" l="1"/>
  <c r="P520" i="7" l="1"/>
  <c r="N520" i="7"/>
  <c r="Q520" i="7" s="1"/>
  <c r="L521" i="7" s="1"/>
  <c r="G519" i="7"/>
  <c r="B520" i="7" s="1"/>
  <c r="M521" i="7" l="1"/>
  <c r="E520" i="7"/>
  <c r="C520" i="7"/>
  <c r="D520" i="7" s="1"/>
  <c r="O521" i="7" l="1"/>
  <c r="P521" i="7"/>
  <c r="G520" i="7"/>
  <c r="B521" i="7" s="1"/>
  <c r="F520" i="7"/>
  <c r="C521" i="7" l="1"/>
  <c r="F521" i="7" s="1"/>
  <c r="N521" i="7"/>
  <c r="Q521" i="7" s="1"/>
  <c r="E521" i="7"/>
  <c r="D521" i="7" l="1"/>
  <c r="G521" i="7" s="1"/>
  <c r="B522" i="7" s="1"/>
  <c r="M522" i="7"/>
  <c r="P522" i="7" s="1"/>
  <c r="L522" i="7"/>
  <c r="N522" i="7" l="1"/>
  <c r="Q522" i="7" s="1"/>
  <c r="O522" i="7"/>
  <c r="E522" i="7"/>
  <c r="C522" i="7"/>
  <c r="F522" i="7" s="1"/>
  <c r="M523" i="7" l="1"/>
  <c r="P523" i="7" s="1"/>
  <c r="L523" i="7"/>
  <c r="D522" i="7"/>
  <c r="N523" i="7" l="1"/>
  <c r="Q523" i="7" s="1"/>
  <c r="M524" i="7" s="1"/>
  <c r="O523" i="7"/>
  <c r="G522" i="7"/>
  <c r="B523" i="7" s="1"/>
  <c r="L524" i="7" l="1"/>
  <c r="O524" i="7" s="1"/>
  <c r="E523" i="7"/>
  <c r="C523" i="7"/>
  <c r="F523" i="7" l="1"/>
  <c r="D523" i="7"/>
  <c r="P524" i="7" l="1"/>
  <c r="N524" i="7"/>
  <c r="Q524" i="7" s="1"/>
  <c r="L525" i="7" s="1"/>
  <c r="G523" i="7"/>
  <c r="B524" i="7" s="1"/>
  <c r="M525" i="7" l="1"/>
  <c r="E524" i="7"/>
  <c r="C524" i="7"/>
  <c r="D524" i="7" s="1"/>
  <c r="O525" i="7" l="1"/>
  <c r="P525" i="7"/>
  <c r="G524" i="7"/>
  <c r="B525" i="7" s="1"/>
  <c r="F524" i="7"/>
  <c r="C525" i="7" l="1"/>
  <c r="F525" i="7" s="1"/>
  <c r="N525" i="7"/>
  <c r="Q525" i="7" s="1"/>
  <c r="L526" i="7" s="1"/>
  <c r="E525" i="7"/>
  <c r="D525" i="7" l="1"/>
  <c r="G525" i="7" s="1"/>
  <c r="B526" i="7" s="1"/>
  <c r="M526" i="7"/>
  <c r="P526" i="7" s="1"/>
  <c r="O526" i="7"/>
  <c r="N526" i="7" l="1"/>
  <c r="Q526" i="7" s="1"/>
  <c r="L527" i="7" s="1"/>
  <c r="E526" i="7"/>
  <c r="C526" i="7"/>
  <c r="F526" i="7" s="1"/>
  <c r="M527" i="7" l="1"/>
  <c r="P527" i="7" s="1"/>
  <c r="O527" i="7"/>
  <c r="D526" i="7"/>
  <c r="N527" i="7" l="1"/>
  <c r="Q527" i="7" s="1"/>
  <c r="L528" i="7" s="1"/>
  <c r="G526" i="7"/>
  <c r="B527" i="7" s="1"/>
  <c r="M528" i="7" l="1"/>
  <c r="O528" i="7"/>
  <c r="E527" i="7"/>
  <c r="C527" i="7"/>
  <c r="P528" i="7" l="1"/>
  <c r="N528" i="7"/>
  <c r="Q528" i="7" s="1"/>
  <c r="L529" i="7" s="1"/>
  <c r="F527" i="7"/>
  <c r="D527" i="7"/>
  <c r="M529" i="7" l="1"/>
  <c r="G527" i="7"/>
  <c r="B528" i="7" s="1"/>
  <c r="O529" i="7" l="1"/>
  <c r="C528" i="7"/>
  <c r="P529" i="7" s="1"/>
  <c r="E528" i="7"/>
  <c r="D528" i="7" l="1"/>
  <c r="G528" i="7" s="1"/>
  <c r="B529" i="7" s="1"/>
  <c r="N529" i="7"/>
  <c r="Q529" i="7" s="1"/>
  <c r="L530" i="7" s="1"/>
  <c r="F528" i="7"/>
  <c r="M530" i="7" l="1"/>
  <c r="C529" i="7"/>
  <c r="F529" i="7" s="1"/>
  <c r="E529" i="7"/>
  <c r="D529" i="7" l="1"/>
  <c r="G529" i="7" s="1"/>
  <c r="C530" i="7" s="1"/>
  <c r="F530" i="7" s="1"/>
  <c r="O530" i="7"/>
  <c r="P530" i="7"/>
  <c r="B530" i="7" l="1"/>
  <c r="E530" i="7" s="1"/>
  <c r="N530" i="7"/>
  <c r="Q530" i="7" s="1"/>
  <c r="D530" i="7" l="1"/>
  <c r="G530" i="7" s="1"/>
  <c r="C531" i="7" s="1"/>
  <c r="F531" i="7" s="1"/>
  <c r="M531" i="7"/>
  <c r="P531" i="7" s="1"/>
  <c r="L531" i="7"/>
  <c r="N531" i="7" l="1"/>
  <c r="Q531" i="7" s="1"/>
  <c r="O531" i="7"/>
  <c r="B531" i="7"/>
  <c r="L532" i="7" l="1"/>
  <c r="M532" i="7"/>
  <c r="P532" i="7" s="1"/>
  <c r="E531" i="7"/>
  <c r="D531" i="7"/>
  <c r="N532" i="7" l="1"/>
  <c r="Q532" i="7" s="1"/>
  <c r="M533" i="7" s="1"/>
  <c r="O532" i="7"/>
  <c r="G531" i="7"/>
  <c r="C532" i="7" s="1"/>
  <c r="L533" i="7" l="1"/>
  <c r="O533" i="7" s="1"/>
  <c r="P533" i="7"/>
  <c r="F532" i="7"/>
  <c r="B532" i="7"/>
  <c r="N533" i="7" l="1"/>
  <c r="Q533" i="7" s="1"/>
  <c r="L534" i="7" s="1"/>
  <c r="O534" i="7" s="1"/>
  <c r="E532" i="7"/>
  <c r="D532" i="7"/>
  <c r="M534" i="7" l="1"/>
  <c r="G532" i="7"/>
  <c r="C533" i="7" s="1"/>
  <c r="F533" i="7" l="1"/>
  <c r="B533" i="7"/>
  <c r="E533" i="7" s="1"/>
  <c r="D533" i="7" l="1"/>
  <c r="G533" i="7" s="1"/>
  <c r="C534" i="7" s="1"/>
  <c r="F534" i="7" s="1"/>
  <c r="P534" i="7"/>
  <c r="N534" i="7"/>
  <c r="Q534" i="7" s="1"/>
  <c r="L535" i="7" s="1"/>
  <c r="M535" i="7" l="1"/>
  <c r="P535" i="7" s="1"/>
  <c r="B534" i="7"/>
  <c r="E534" i="7" s="1"/>
  <c r="D534" i="7" l="1"/>
  <c r="G534" i="7" s="1"/>
  <c r="C535" i="7" s="1"/>
  <c r="F535" i="7" s="1"/>
  <c r="N535" i="7"/>
  <c r="Q535" i="7" s="1"/>
  <c r="M536" i="7" s="1"/>
  <c r="O535" i="7"/>
  <c r="L536" i="7" l="1"/>
  <c r="O536" i="7" s="1"/>
  <c r="B535" i="7"/>
  <c r="E535" i="7" s="1"/>
  <c r="P536" i="7"/>
  <c r="D535" i="7" l="1"/>
  <c r="G535" i="7" s="1"/>
  <c r="B536" i="7" s="1"/>
  <c r="N536" i="7"/>
  <c r="Q536" i="7" s="1"/>
  <c r="L537" i="7" s="1"/>
  <c r="M537" i="7" l="1"/>
  <c r="O537" i="7"/>
  <c r="E536" i="7"/>
  <c r="C536" i="7"/>
  <c r="F536" i="7" s="1"/>
  <c r="D536" i="7" l="1"/>
  <c r="P537" i="7" l="1"/>
  <c r="N537" i="7"/>
  <c r="Q537" i="7" s="1"/>
  <c r="L538" i="7" s="1"/>
  <c r="G536" i="7"/>
  <c r="B537" i="7" s="1"/>
  <c r="M538" i="7" l="1"/>
  <c r="E537" i="7"/>
  <c r="C537" i="7"/>
  <c r="F537" i="7" s="1"/>
  <c r="O538" i="7" l="1"/>
  <c r="P538" i="7"/>
  <c r="D537" i="7"/>
  <c r="N538" i="7" l="1"/>
  <c r="Q538" i="7" s="1"/>
  <c r="L539" i="7" s="1"/>
  <c r="G537" i="7"/>
  <c r="B538" i="7" s="1"/>
  <c r="M539" i="7" l="1"/>
  <c r="E538" i="7"/>
  <c r="C538" i="7"/>
  <c r="D538" i="7" s="1"/>
  <c r="O539" i="7" l="1"/>
  <c r="P539" i="7"/>
  <c r="G538" i="7"/>
  <c r="B539" i="7" s="1"/>
  <c r="F538" i="7"/>
  <c r="C539" i="7" l="1"/>
  <c r="F539" i="7" s="1"/>
  <c r="N539" i="7"/>
  <c r="Q539" i="7" s="1"/>
  <c r="E539" i="7"/>
  <c r="D539" i="7" l="1"/>
  <c r="G539" i="7" s="1"/>
  <c r="C540" i="7" s="1"/>
  <c r="F540" i="7" s="1"/>
  <c r="M540" i="7"/>
  <c r="P540" i="7" s="1"/>
  <c r="L540" i="7"/>
  <c r="N540" i="7" l="1"/>
  <c r="Q540" i="7" s="1"/>
  <c r="O540" i="7"/>
  <c r="B540" i="7"/>
  <c r="M541" i="7" l="1"/>
  <c r="P541" i="7" s="1"/>
  <c r="L541" i="7"/>
  <c r="E540" i="7"/>
  <c r="D540" i="7"/>
  <c r="N541" i="7" l="1"/>
  <c r="Q541" i="7" s="1"/>
  <c r="M542" i="7" s="1"/>
  <c r="O541" i="7"/>
  <c r="G540" i="7"/>
  <c r="C541" i="7" s="1"/>
  <c r="L542" i="7" l="1"/>
  <c r="O542" i="7" s="1"/>
  <c r="P542" i="7"/>
  <c r="B541" i="7"/>
  <c r="D541" i="7" s="1"/>
  <c r="F541" i="7"/>
  <c r="N542" i="7" l="1"/>
  <c r="Q542" i="7" s="1"/>
  <c r="M543" i="7" s="1"/>
  <c r="E541" i="7"/>
  <c r="G541" i="7"/>
  <c r="C542" i="7" s="1"/>
  <c r="F542" i="7" s="1"/>
  <c r="L543" i="7" l="1"/>
  <c r="O543" i="7" s="1"/>
  <c r="P543" i="7"/>
  <c r="B542" i="7"/>
  <c r="E542" i="7" s="1"/>
  <c r="D542" i="7" l="1"/>
  <c r="G542" i="7" s="1"/>
  <c r="C543" i="7" s="1"/>
  <c r="F543" i="7" s="1"/>
  <c r="N543" i="7"/>
  <c r="Q543" i="7" s="1"/>
  <c r="L544" i="7" s="1"/>
  <c r="M544" i="7" l="1"/>
  <c r="P544" i="7" s="1"/>
  <c r="B543" i="7"/>
  <c r="E543" i="7" s="1"/>
  <c r="D543" i="7" l="1"/>
  <c r="G543" i="7" s="1"/>
  <c r="C544" i="7" s="1"/>
  <c r="N544" i="7"/>
  <c r="Q544" i="7" s="1"/>
  <c r="M545" i="7" s="1"/>
  <c r="O544" i="7"/>
  <c r="L545" i="7" l="1"/>
  <c r="O545" i="7" s="1"/>
  <c r="P545" i="7"/>
  <c r="B544" i="7"/>
  <c r="D544" i="7" s="1"/>
  <c r="F544" i="7"/>
  <c r="E544" i="7" l="1"/>
  <c r="N545" i="7"/>
  <c r="Q545" i="7" s="1"/>
  <c r="L546" i="7" s="1"/>
  <c r="G544" i="7"/>
  <c r="C545" i="7" s="1"/>
  <c r="F545" i="7" s="1"/>
  <c r="M546" i="7" l="1"/>
  <c r="P546" i="7" s="1"/>
  <c r="B545" i="7"/>
  <c r="N546" i="7" l="1"/>
  <c r="Q546" i="7" s="1"/>
  <c r="M547" i="7" s="1"/>
  <c r="O546" i="7"/>
  <c r="E545" i="7"/>
  <c r="D545" i="7"/>
  <c r="L547" i="7" l="1"/>
  <c r="O547" i="7" s="1"/>
  <c r="G545" i="7"/>
  <c r="C546" i="7" s="1"/>
  <c r="P547" i="7" l="1"/>
  <c r="N547" i="7"/>
  <c r="Q547" i="7" s="1"/>
  <c r="L548" i="7" s="1"/>
  <c r="F546" i="7"/>
  <c r="B546" i="7"/>
  <c r="M548" i="7" l="1"/>
  <c r="O548" i="7"/>
  <c r="E546" i="7"/>
  <c r="D546" i="7"/>
  <c r="G546" i="7" l="1"/>
  <c r="C547" i="7" s="1"/>
  <c r="B547" i="7" l="1"/>
  <c r="E547" i="7" s="1"/>
  <c r="F547" i="7"/>
  <c r="D547" i="7" l="1"/>
  <c r="G547" i="7" s="1"/>
  <c r="C548" i="7" s="1"/>
  <c r="F548" i="7" s="1"/>
  <c r="P548" i="7"/>
  <c r="N548" i="7"/>
  <c r="Q548" i="7" s="1"/>
  <c r="L549" i="7" s="1"/>
  <c r="M549" i="7" l="1"/>
  <c r="P549" i="7" s="1"/>
  <c r="B548" i="7"/>
  <c r="E548" i="7" s="1"/>
  <c r="D548" i="7" l="1"/>
  <c r="G548" i="7" s="1"/>
  <c r="C549" i="7" s="1"/>
  <c r="F549" i="7" s="1"/>
  <c r="N549" i="7"/>
  <c r="Q549" i="7" s="1"/>
  <c r="M550" i="7" s="1"/>
  <c r="O549" i="7"/>
  <c r="L550" i="7" l="1"/>
  <c r="O550" i="7" s="1"/>
  <c r="P550" i="7"/>
  <c r="B549" i="7"/>
  <c r="E549" i="7" s="1"/>
  <c r="D549" i="7" l="1"/>
  <c r="G549" i="7" s="1"/>
  <c r="B550" i="7" s="1"/>
  <c r="N550" i="7"/>
  <c r="Q550" i="7" s="1"/>
  <c r="L551" i="7" s="1"/>
  <c r="M551" i="7" l="1"/>
  <c r="E550" i="7"/>
  <c r="C550" i="7"/>
  <c r="F550" i="7" s="1"/>
  <c r="O551" i="7" l="1"/>
  <c r="P551" i="7"/>
  <c r="D550" i="7"/>
  <c r="N551" i="7" l="1"/>
  <c r="Q551" i="7" s="1"/>
  <c r="L552" i="7" s="1"/>
  <c r="G550" i="7"/>
  <c r="B551" i="7" s="1"/>
  <c r="M552" i="7" l="1"/>
  <c r="E551" i="7"/>
  <c r="C551" i="7"/>
  <c r="F551" i="7" s="1"/>
  <c r="O552" i="7" l="1"/>
  <c r="P552" i="7"/>
  <c r="D551" i="7"/>
  <c r="N552" i="7" l="1"/>
  <c r="Q552" i="7" s="1"/>
  <c r="L553" i="7" s="1"/>
  <c r="G551" i="7"/>
  <c r="B552" i="7" s="1"/>
  <c r="M553" i="7" l="1"/>
  <c r="E552" i="7"/>
  <c r="C552" i="7"/>
  <c r="F552" i="7" s="1"/>
  <c r="O553" i="7" l="1"/>
  <c r="P553" i="7"/>
  <c r="D552" i="7"/>
  <c r="N553" i="7" l="1"/>
  <c r="Q553" i="7" s="1"/>
  <c r="L554" i="7" s="1"/>
  <c r="G552" i="7"/>
  <c r="B553" i="7" s="1"/>
  <c r="M554" i="7" l="1"/>
  <c r="E553" i="7"/>
  <c r="C553" i="7"/>
  <c r="D553" i="7" s="1"/>
  <c r="O554" i="7" l="1"/>
  <c r="P554" i="7"/>
  <c r="G553" i="7"/>
  <c r="B554" i="7" s="1"/>
  <c r="F553" i="7"/>
  <c r="C554" i="7" l="1"/>
  <c r="F554" i="7" s="1"/>
  <c r="N554" i="7"/>
  <c r="Q554" i="7" s="1"/>
  <c r="E554" i="7"/>
  <c r="D554" i="7" l="1"/>
  <c r="G554" i="7" s="1"/>
  <c r="B555" i="7" s="1"/>
  <c r="M555" i="7"/>
  <c r="P555" i="7" s="1"/>
  <c r="L555" i="7"/>
  <c r="N555" i="7" l="1"/>
  <c r="Q555" i="7" s="1"/>
  <c r="M556" i="7" s="1"/>
  <c r="O555" i="7"/>
  <c r="E555" i="7"/>
  <c r="C555" i="7"/>
  <c r="F555" i="7" s="1"/>
  <c r="L556" i="7" l="1"/>
  <c r="O556" i="7" s="1"/>
  <c r="P556" i="7"/>
  <c r="D555" i="7"/>
  <c r="N556" i="7" l="1"/>
  <c r="Q556" i="7" s="1"/>
  <c r="L557" i="7" s="1"/>
  <c r="G555" i="7"/>
  <c r="B556" i="7" s="1"/>
  <c r="M557" i="7" l="1"/>
  <c r="E556" i="7"/>
  <c r="C556" i="7"/>
  <c r="F556" i="7" s="1"/>
  <c r="O557" i="7" l="1"/>
  <c r="P557" i="7"/>
  <c r="D556" i="7"/>
  <c r="N557" i="7" l="1"/>
  <c r="Q557" i="7" s="1"/>
  <c r="L558" i="7" s="1"/>
  <c r="G556" i="7"/>
  <c r="B557" i="7" s="1"/>
  <c r="M558" i="7" l="1"/>
  <c r="E557" i="7"/>
  <c r="C557" i="7"/>
  <c r="F557" i="7" s="1"/>
  <c r="O558" i="7" l="1"/>
  <c r="P558" i="7"/>
  <c r="D557" i="7"/>
  <c r="N558" i="7" l="1"/>
  <c r="Q558" i="7" s="1"/>
  <c r="L559" i="7" s="1"/>
  <c r="G557" i="7"/>
  <c r="B558" i="7" s="1"/>
  <c r="M559" i="7" l="1"/>
  <c r="E558" i="7"/>
  <c r="C558" i="7"/>
  <c r="P559" i="7" l="1"/>
  <c r="N559" i="7"/>
  <c r="Q559" i="7" s="1"/>
  <c r="O559" i="7"/>
  <c r="F558" i="7"/>
  <c r="D558" i="7"/>
  <c r="M560" i="7" l="1"/>
  <c r="L560" i="7"/>
  <c r="O560" i="7" s="1"/>
  <c r="G558" i="7"/>
  <c r="B559" i="7" s="1"/>
  <c r="E559" i="7" l="1"/>
  <c r="C559" i="7"/>
  <c r="P560" i="7" l="1"/>
  <c r="N560" i="7"/>
  <c r="Q560" i="7" s="1"/>
  <c r="L561" i="7" s="1"/>
  <c r="F559" i="7"/>
  <c r="D559" i="7"/>
  <c r="M561" i="7" l="1"/>
  <c r="G559" i="7"/>
  <c r="B560" i="7" s="1"/>
  <c r="O561" i="7" l="1"/>
  <c r="E560" i="7"/>
  <c r="C560" i="7"/>
  <c r="F560" i="7" l="1"/>
  <c r="D560" i="7"/>
  <c r="P561" i="7" l="1"/>
  <c r="N561" i="7"/>
  <c r="Q561" i="7" s="1"/>
  <c r="L562" i="7" s="1"/>
  <c r="G560" i="7"/>
  <c r="B561" i="7" s="1"/>
  <c r="M562" i="7" l="1"/>
  <c r="E561" i="7"/>
  <c r="C561" i="7"/>
  <c r="F561" i="7" s="1"/>
  <c r="O562" i="7" l="1"/>
  <c r="P562" i="7"/>
  <c r="D561" i="7"/>
  <c r="N562" i="7" l="1"/>
  <c r="Q562" i="7" s="1"/>
  <c r="L563" i="7" s="1"/>
  <c r="G561" i="7"/>
  <c r="B562" i="7" s="1"/>
  <c r="M563" i="7" l="1"/>
  <c r="E562" i="7"/>
  <c r="C562" i="7"/>
  <c r="D562" i="7" s="1"/>
  <c r="O563" i="7" l="1"/>
  <c r="P563" i="7"/>
  <c r="G562" i="7"/>
  <c r="B563" i="7" s="1"/>
  <c r="F562" i="7"/>
  <c r="C563" i="7" l="1"/>
  <c r="F563" i="7" s="1"/>
  <c r="N563" i="7"/>
  <c r="Q563" i="7" s="1"/>
  <c r="E563" i="7"/>
  <c r="D563" i="7" l="1"/>
  <c r="G563" i="7" s="1"/>
  <c r="B564" i="7" s="1"/>
  <c r="M564" i="7"/>
  <c r="P564" i="7" s="1"/>
  <c r="L564" i="7"/>
  <c r="N564" i="7" l="1"/>
  <c r="Q564" i="7" s="1"/>
  <c r="M565" i="7" s="1"/>
  <c r="O564" i="7"/>
  <c r="E564" i="7"/>
  <c r="C564" i="7"/>
  <c r="F564" i="7" s="1"/>
  <c r="L565" i="7" l="1"/>
  <c r="O565" i="7" s="1"/>
  <c r="P565" i="7"/>
  <c r="D564" i="7"/>
  <c r="N565" i="7" l="1"/>
  <c r="Q565" i="7" s="1"/>
  <c r="L566" i="7" s="1"/>
  <c r="G564" i="7"/>
  <c r="B565" i="7" s="1"/>
  <c r="M566" i="7" l="1"/>
  <c r="E565" i="7"/>
  <c r="C565" i="7"/>
  <c r="F565" i="7" s="1"/>
  <c r="O566" i="7" l="1"/>
  <c r="P566" i="7"/>
  <c r="D565" i="7"/>
  <c r="N566" i="7" l="1"/>
  <c r="Q566" i="7" s="1"/>
  <c r="L567" i="7" s="1"/>
  <c r="G565" i="7"/>
  <c r="B566" i="7" s="1"/>
  <c r="M567" i="7" l="1"/>
  <c r="E566" i="7"/>
  <c r="C566" i="7"/>
  <c r="F566" i="7" s="1"/>
  <c r="O567" i="7" l="1"/>
  <c r="P567" i="7"/>
  <c r="D566" i="7"/>
  <c r="N567" i="7" l="1"/>
  <c r="Q567" i="7" s="1"/>
  <c r="L568" i="7" s="1"/>
  <c r="G566" i="7"/>
  <c r="B567" i="7" s="1"/>
  <c r="M568" i="7" l="1"/>
  <c r="E567" i="7"/>
  <c r="C567" i="7"/>
  <c r="F567" i="7" s="1"/>
  <c r="O568" i="7" l="1"/>
  <c r="P568" i="7"/>
  <c r="D567" i="7"/>
  <c r="N568" i="7" l="1"/>
  <c r="Q568" i="7" s="1"/>
  <c r="L569" i="7" s="1"/>
  <c r="G567" i="7"/>
  <c r="B568" i="7" s="1"/>
  <c r="M569" i="7" l="1"/>
  <c r="E568" i="7"/>
  <c r="C568" i="7"/>
  <c r="F568" i="7" s="1"/>
  <c r="O569" i="7" l="1"/>
  <c r="P569" i="7"/>
  <c r="D568" i="7"/>
  <c r="N569" i="7" l="1"/>
  <c r="Q569" i="7" s="1"/>
  <c r="L570" i="7" s="1"/>
  <c r="G568" i="7"/>
  <c r="B569" i="7" s="1"/>
  <c r="M570" i="7" l="1"/>
  <c r="E569" i="7"/>
  <c r="C569" i="7"/>
  <c r="F569" i="7" s="1"/>
  <c r="O570" i="7" l="1"/>
  <c r="P570" i="7"/>
  <c r="D569" i="7"/>
  <c r="N570" i="7" l="1"/>
  <c r="Q570" i="7" s="1"/>
  <c r="L571" i="7" s="1"/>
  <c r="G569" i="7"/>
  <c r="B570" i="7" s="1"/>
  <c r="M571" i="7" l="1"/>
  <c r="E570" i="7"/>
  <c r="C570" i="7"/>
  <c r="F570" i="7" s="1"/>
  <c r="O571" i="7" l="1"/>
  <c r="P571" i="7"/>
  <c r="D570" i="7"/>
  <c r="N571" i="7" l="1"/>
  <c r="Q571" i="7" s="1"/>
  <c r="L572" i="7" s="1"/>
  <c r="G570" i="7"/>
  <c r="B571" i="7" s="1"/>
  <c r="M572" i="7" l="1"/>
  <c r="E571" i="7"/>
  <c r="C571" i="7"/>
  <c r="P572" i="7" l="1"/>
  <c r="N572" i="7"/>
  <c r="Q572" i="7" s="1"/>
  <c r="O572" i="7"/>
  <c r="F571" i="7"/>
  <c r="D571" i="7"/>
  <c r="M573" i="7" l="1"/>
  <c r="L573" i="7"/>
  <c r="O573" i="7" s="1"/>
  <c r="G571" i="7"/>
  <c r="B572" i="7" s="1"/>
  <c r="E572" i="7" l="1"/>
  <c r="C572" i="7"/>
  <c r="D572" i="7" l="1"/>
  <c r="G572" i="7" s="1"/>
  <c r="B573" i="7" s="1"/>
  <c r="F572" i="7"/>
  <c r="C573" i="7" l="1"/>
  <c r="F573" i="7" s="1"/>
  <c r="P573" i="7"/>
  <c r="N573" i="7"/>
  <c r="Q573" i="7" s="1"/>
  <c r="L574" i="7" s="1"/>
  <c r="E573" i="7"/>
  <c r="D573" i="7" l="1"/>
  <c r="G573" i="7" s="1"/>
  <c r="B574" i="7" s="1"/>
  <c r="M574" i="7"/>
  <c r="P574" i="7" s="1"/>
  <c r="N574" i="7" l="1"/>
  <c r="Q574" i="7" s="1"/>
  <c r="M575" i="7" s="1"/>
  <c r="O574" i="7"/>
  <c r="E574" i="7"/>
  <c r="C574" i="7"/>
  <c r="F574" i="7" s="1"/>
  <c r="L575" i="7" l="1"/>
  <c r="O575" i="7" s="1"/>
  <c r="P575" i="7"/>
  <c r="D574" i="7"/>
  <c r="N575" i="7" l="1"/>
  <c r="Q575" i="7" s="1"/>
  <c r="L576" i="7" s="1"/>
  <c r="G574" i="7"/>
  <c r="B575" i="7" s="1"/>
  <c r="M576" i="7" l="1"/>
  <c r="E575" i="7"/>
  <c r="C575" i="7"/>
  <c r="F575" i="7" s="1"/>
  <c r="O576" i="7" l="1"/>
  <c r="P576" i="7"/>
  <c r="D575" i="7"/>
  <c r="N576" i="7" l="1"/>
  <c r="Q576" i="7" s="1"/>
  <c r="L577" i="7" s="1"/>
  <c r="G575" i="7"/>
  <c r="B576" i="7" s="1"/>
  <c r="M577" i="7" l="1"/>
  <c r="E576" i="7"/>
  <c r="C576" i="7"/>
  <c r="D576" i="7" s="1"/>
  <c r="O577" i="7" l="1"/>
  <c r="P577" i="7"/>
  <c r="G576" i="7"/>
  <c r="B577" i="7" s="1"/>
  <c r="F576" i="7"/>
  <c r="C577" i="7" l="1"/>
  <c r="F577" i="7" s="1"/>
  <c r="N577" i="7"/>
  <c r="Q577" i="7" s="1"/>
  <c r="M578" i="7" s="1"/>
  <c r="E577" i="7"/>
  <c r="D577" i="7" l="1"/>
  <c r="G577" i="7" s="1"/>
  <c r="C578" i="7" s="1"/>
  <c r="F578" i="7" s="1"/>
  <c r="P578" i="7"/>
  <c r="L578" i="7"/>
  <c r="N578" i="7" l="1"/>
  <c r="Q578" i="7" s="1"/>
  <c r="O578" i="7"/>
  <c r="B578" i="7"/>
  <c r="L579" i="7" l="1"/>
  <c r="O579" i="7" s="1"/>
  <c r="M579" i="7"/>
  <c r="P579" i="7" s="1"/>
  <c r="E578" i="7"/>
  <c r="D578" i="7"/>
  <c r="N579" i="7" l="1"/>
  <c r="Q579" i="7" s="1"/>
  <c r="M580" i="7" s="1"/>
  <c r="G578" i="7"/>
  <c r="C579" i="7" s="1"/>
  <c r="F579" i="7" s="1"/>
  <c r="L580" i="7" l="1"/>
  <c r="O580" i="7" s="1"/>
  <c r="B579" i="7"/>
  <c r="E579" i="7" s="1"/>
  <c r="D579" i="7" l="1"/>
  <c r="G579" i="7" s="1"/>
  <c r="B580" i="7" s="1"/>
  <c r="P580" i="7"/>
  <c r="N580" i="7"/>
  <c r="Q580" i="7" s="1"/>
  <c r="L581" i="7" s="1"/>
  <c r="M581" i="7" l="1"/>
  <c r="E580" i="7"/>
  <c r="C580" i="7"/>
  <c r="F580" i="7" s="1"/>
  <c r="O581" i="7" l="1"/>
  <c r="P581" i="7"/>
  <c r="D580" i="7"/>
  <c r="N581" i="7" l="1"/>
  <c r="Q581" i="7" s="1"/>
  <c r="L582" i="7" s="1"/>
  <c r="G580" i="7"/>
  <c r="B581" i="7" s="1"/>
  <c r="M582" i="7" l="1"/>
  <c r="E581" i="7"/>
  <c r="C581" i="7"/>
  <c r="F581" i="7" s="1"/>
  <c r="O582" i="7" l="1"/>
  <c r="P582" i="7"/>
  <c r="D581" i="7"/>
  <c r="N582" i="7" l="1"/>
  <c r="Q582" i="7" s="1"/>
  <c r="L583" i="7" s="1"/>
  <c r="G581" i="7"/>
  <c r="B582" i="7" s="1"/>
  <c r="M583" i="7" l="1"/>
  <c r="E582" i="7"/>
  <c r="C582" i="7"/>
  <c r="F582" i="7" s="1"/>
  <c r="O583" i="7" l="1"/>
  <c r="P583" i="7"/>
  <c r="D582" i="7"/>
  <c r="N583" i="7" l="1"/>
  <c r="Q583" i="7" s="1"/>
  <c r="L584" i="7" s="1"/>
  <c r="G582" i="7"/>
  <c r="B583" i="7" s="1"/>
  <c r="M584" i="7" l="1"/>
  <c r="E583" i="7"/>
  <c r="C583" i="7"/>
  <c r="F583" i="7" s="1"/>
  <c r="O584" i="7" l="1"/>
  <c r="P584" i="7"/>
  <c r="D583" i="7"/>
  <c r="N584" i="7" l="1"/>
  <c r="Q584" i="7" s="1"/>
  <c r="L585" i="7" s="1"/>
  <c r="G583" i="7"/>
  <c r="B584" i="7" s="1"/>
  <c r="M585" i="7" l="1"/>
  <c r="E584" i="7"/>
  <c r="C584" i="7"/>
  <c r="P585" i="7" l="1"/>
  <c r="N585" i="7"/>
  <c r="Q585" i="7" s="1"/>
  <c r="O585" i="7"/>
  <c r="F584" i="7"/>
  <c r="D584" i="7"/>
  <c r="M586" i="7" l="1"/>
  <c r="L586" i="7"/>
  <c r="O586" i="7" s="1"/>
  <c r="G584" i="7"/>
  <c r="B585" i="7" s="1"/>
  <c r="E585" i="7" l="1"/>
  <c r="C585" i="7"/>
  <c r="F585" i="7" l="1"/>
  <c r="D585" i="7"/>
  <c r="P586" i="7" l="1"/>
  <c r="N586" i="7"/>
  <c r="Q586" i="7" s="1"/>
  <c r="L587" i="7" s="1"/>
  <c r="G585" i="7"/>
  <c r="B586" i="7" s="1"/>
  <c r="M587" i="7" l="1"/>
  <c r="E586" i="7"/>
  <c r="C586" i="7"/>
  <c r="F586" i="7" s="1"/>
  <c r="O587" i="7" l="1"/>
  <c r="P587" i="7"/>
  <c r="D586" i="7"/>
  <c r="N587" i="7" l="1"/>
  <c r="Q587" i="7" s="1"/>
  <c r="L588" i="7" s="1"/>
  <c r="G586" i="7"/>
  <c r="B587" i="7" s="1"/>
  <c r="M588" i="7" l="1"/>
  <c r="C587" i="7"/>
  <c r="E587" i="7"/>
  <c r="P588" i="7" l="1"/>
  <c r="D587" i="7"/>
  <c r="G587" i="7" s="1"/>
  <c r="B588" i="7" s="1"/>
  <c r="N588" i="7"/>
  <c r="Q588" i="7" s="1"/>
  <c r="O588" i="7"/>
  <c r="F587" i="7"/>
  <c r="M589" i="7" l="1"/>
  <c r="P589" i="7" s="1"/>
  <c r="L589" i="7"/>
  <c r="O589" i="7" s="1"/>
  <c r="C588" i="7"/>
  <c r="F588" i="7" s="1"/>
  <c r="E588" i="7"/>
  <c r="D588" i="7" l="1"/>
  <c r="G588" i="7" s="1"/>
  <c r="C589" i="7" s="1"/>
  <c r="F589" i="7" s="1"/>
  <c r="N589" i="7"/>
  <c r="Q589" i="7" s="1"/>
  <c r="L590" i="7" s="1"/>
  <c r="M590" i="7" l="1"/>
  <c r="P590" i="7" s="1"/>
  <c r="B589" i="7"/>
  <c r="E589" i="7" s="1"/>
  <c r="D589" i="7" l="1"/>
  <c r="G589" i="7" s="1"/>
  <c r="C590" i="7" s="1"/>
  <c r="F590" i="7" s="1"/>
  <c r="N590" i="7"/>
  <c r="Q590" i="7" s="1"/>
  <c r="M591" i="7" s="1"/>
  <c r="O590" i="7"/>
  <c r="L591" i="7" l="1"/>
  <c r="O591" i="7" s="1"/>
  <c r="P591" i="7"/>
  <c r="B590" i="7"/>
  <c r="E590" i="7" s="1"/>
  <c r="D590" i="7" l="1"/>
  <c r="G590" i="7" s="1"/>
  <c r="C591" i="7" s="1"/>
  <c r="F591" i="7" s="1"/>
  <c r="N591" i="7"/>
  <c r="Q591" i="7" s="1"/>
  <c r="L592" i="7" s="1"/>
  <c r="M592" i="7" l="1"/>
  <c r="P592" i="7" s="1"/>
  <c r="B591" i="7"/>
  <c r="N592" i="7" l="1"/>
  <c r="Q592" i="7" s="1"/>
  <c r="M593" i="7" s="1"/>
  <c r="O592" i="7"/>
  <c r="E591" i="7"/>
  <c r="D591" i="7"/>
  <c r="L593" i="7" l="1"/>
  <c r="O593" i="7" s="1"/>
  <c r="G591" i="7"/>
  <c r="C592" i="7" s="1"/>
  <c r="F592" i="7" s="1"/>
  <c r="B592" i="7" l="1"/>
  <c r="P593" i="7" l="1"/>
  <c r="N593" i="7"/>
  <c r="Q593" i="7" s="1"/>
  <c r="L594" i="7" s="1"/>
  <c r="E592" i="7"/>
  <c r="D592" i="7"/>
  <c r="M594" i="7" l="1"/>
  <c r="G592" i="7"/>
  <c r="C593" i="7" s="1"/>
  <c r="F593" i="7" s="1"/>
  <c r="B593" i="7" l="1"/>
  <c r="E593" i="7" s="1"/>
  <c r="O594" i="7"/>
  <c r="P594" i="7"/>
  <c r="D593" i="7" l="1"/>
  <c r="G593" i="7" s="1"/>
  <c r="C594" i="7" s="1"/>
  <c r="F594" i="7" s="1"/>
  <c r="N594" i="7"/>
  <c r="Q594" i="7" s="1"/>
  <c r="L595" i="7" s="1"/>
  <c r="M595" i="7" l="1"/>
  <c r="P595" i="7" s="1"/>
  <c r="B594" i="7"/>
  <c r="E594" i="7" s="1"/>
  <c r="D594" i="7" l="1"/>
  <c r="G594" i="7" s="1"/>
  <c r="C595" i="7" s="1"/>
  <c r="F595" i="7" s="1"/>
  <c r="N595" i="7"/>
  <c r="Q595" i="7" s="1"/>
  <c r="M596" i="7" s="1"/>
  <c r="O595" i="7"/>
  <c r="L596" i="7" l="1"/>
  <c r="O596" i="7" s="1"/>
  <c r="P596" i="7"/>
  <c r="B595" i="7"/>
  <c r="E595" i="7" s="1"/>
  <c r="D595" i="7" l="1"/>
  <c r="G595" i="7" s="1"/>
  <c r="C596" i="7" s="1"/>
  <c r="F596" i="7" s="1"/>
  <c r="N596" i="7"/>
  <c r="Q596" i="7" s="1"/>
  <c r="L597" i="7" s="1"/>
  <c r="M597" i="7" l="1"/>
  <c r="P597" i="7" s="1"/>
  <c r="B596" i="7"/>
  <c r="E596" i="7" s="1"/>
  <c r="D596" i="7" l="1"/>
  <c r="G596" i="7" s="1"/>
  <c r="B597" i="7" s="1"/>
  <c r="N597" i="7"/>
  <c r="Q597" i="7" s="1"/>
  <c r="M598" i="7" s="1"/>
  <c r="O597" i="7"/>
  <c r="L598" i="7" l="1"/>
  <c r="O598" i="7" s="1"/>
  <c r="E597" i="7"/>
  <c r="C597" i="7"/>
  <c r="F597" i="7" s="1"/>
  <c r="D597" i="7" l="1"/>
  <c r="G597" i="7" s="1"/>
  <c r="B598" i="7" s="1"/>
  <c r="P598" i="7" l="1"/>
  <c r="N598" i="7"/>
  <c r="Q598" i="7" s="1"/>
  <c r="L599" i="7" s="1"/>
  <c r="E598" i="7"/>
  <c r="C598" i="7"/>
  <c r="F598" i="7" s="1"/>
  <c r="M599" i="7" l="1"/>
  <c r="P599" i="7" s="1"/>
  <c r="D598" i="7"/>
  <c r="N599" i="7" l="1"/>
  <c r="Q599" i="7" s="1"/>
  <c r="M600" i="7" s="1"/>
  <c r="O599" i="7"/>
  <c r="G598" i="7"/>
  <c r="B599" i="7" s="1"/>
  <c r="L600" i="7" l="1"/>
  <c r="O600" i="7" s="1"/>
  <c r="E599" i="7"/>
  <c r="C599" i="7"/>
  <c r="F599" i="7" s="1"/>
  <c r="D599" i="7" l="1"/>
  <c r="P600" i="7" l="1"/>
  <c r="N600" i="7"/>
  <c r="Q600" i="7" s="1"/>
  <c r="L601" i="7" s="1"/>
  <c r="G599" i="7"/>
  <c r="B600" i="7" s="1"/>
  <c r="M601" i="7" l="1"/>
  <c r="E600" i="7"/>
  <c r="C600" i="7"/>
  <c r="F600" i="7" s="1"/>
  <c r="O601" i="7" l="1"/>
  <c r="P601" i="7"/>
  <c r="D600" i="7"/>
  <c r="N601" i="7" l="1"/>
  <c r="Q601" i="7" s="1"/>
  <c r="L602" i="7" s="1"/>
  <c r="G600" i="7"/>
  <c r="B601" i="7" s="1"/>
  <c r="M602" i="7" l="1"/>
  <c r="E601" i="7"/>
  <c r="C601" i="7"/>
  <c r="D601" i="7" s="1"/>
  <c r="O602" i="7" l="1"/>
  <c r="P602" i="7"/>
  <c r="G601" i="7"/>
  <c r="B602" i="7" s="1"/>
  <c r="F601" i="7"/>
  <c r="C602" i="7" l="1"/>
  <c r="F602" i="7" s="1"/>
  <c r="N602" i="7"/>
  <c r="Q602" i="7" s="1"/>
  <c r="E602" i="7"/>
  <c r="D602" i="7" l="1"/>
  <c r="G602" i="7" s="1"/>
  <c r="C603" i="7" s="1"/>
  <c r="F603" i="7" s="1"/>
  <c r="M603" i="7"/>
  <c r="P603" i="7" s="1"/>
  <c r="L603" i="7"/>
  <c r="N603" i="7" l="1"/>
  <c r="Q603" i="7" s="1"/>
  <c r="O603" i="7"/>
  <c r="B603" i="7"/>
  <c r="L604" i="7" l="1"/>
  <c r="O604" i="7" s="1"/>
  <c r="M604" i="7"/>
  <c r="P604" i="7" s="1"/>
  <c r="E603" i="7"/>
  <c r="D603" i="7"/>
  <c r="N604" i="7" l="1"/>
  <c r="Q604" i="7" s="1"/>
  <c r="M605" i="7" s="1"/>
  <c r="G603" i="7"/>
  <c r="C604" i="7" s="1"/>
  <c r="L605" i="7" l="1"/>
  <c r="O605" i="7" s="1"/>
  <c r="P605" i="7"/>
  <c r="B604" i="7"/>
  <c r="E604" i="7" s="1"/>
  <c r="F604" i="7"/>
  <c r="N605" i="7" l="1"/>
  <c r="Q605" i="7" s="1"/>
  <c r="L606" i="7" s="1"/>
  <c r="O606" i="7" s="1"/>
  <c r="D604" i="7"/>
  <c r="G604" i="7" s="1"/>
  <c r="M606" i="7" l="1"/>
  <c r="C605" i="7"/>
  <c r="F605" i="7" s="1"/>
  <c r="B605" i="7"/>
  <c r="E605" i="7" s="1"/>
  <c r="D605" i="7" l="1"/>
  <c r="G605" i="7" s="1"/>
  <c r="C606" i="7" s="1"/>
  <c r="F606" i="7" s="1"/>
  <c r="P606" i="7"/>
  <c r="N606" i="7"/>
  <c r="Q606" i="7" s="1"/>
  <c r="L607" i="7" s="1"/>
  <c r="M607" i="7" l="1"/>
  <c r="P607" i="7" s="1"/>
  <c r="B606" i="7"/>
  <c r="E606" i="7" s="1"/>
  <c r="D606" i="7" l="1"/>
  <c r="G606" i="7" s="1"/>
  <c r="C607" i="7" s="1"/>
  <c r="F607" i="7" s="1"/>
  <c r="N607" i="7"/>
  <c r="Q607" i="7" s="1"/>
  <c r="M608" i="7" s="1"/>
  <c r="O607" i="7"/>
  <c r="L608" i="7" l="1"/>
  <c r="O608" i="7" s="1"/>
  <c r="B607" i="7"/>
  <c r="E607" i="7" s="1"/>
  <c r="P608" i="7"/>
  <c r="D607" i="7" l="1"/>
  <c r="G607" i="7" s="1"/>
  <c r="C608" i="7" s="1"/>
  <c r="F608" i="7" s="1"/>
  <c r="N608" i="7"/>
  <c r="Q608" i="7" s="1"/>
  <c r="L609" i="7" s="1"/>
  <c r="M609" i="7" l="1"/>
  <c r="P609" i="7" s="1"/>
  <c r="B608" i="7"/>
  <c r="E608" i="7" s="1"/>
  <c r="D608" i="7" l="1"/>
  <c r="G608" i="7" s="1"/>
  <c r="C609" i="7" s="1"/>
  <c r="F609" i="7" s="1"/>
  <c r="N609" i="7"/>
  <c r="Q609" i="7" s="1"/>
  <c r="M610" i="7" s="1"/>
  <c r="O609" i="7"/>
  <c r="L610" i="7" l="1"/>
  <c r="O610" i="7" s="1"/>
  <c r="P610" i="7"/>
  <c r="B609" i="7"/>
  <c r="E609" i="7" s="1"/>
  <c r="D609" i="7" l="1"/>
  <c r="G609" i="7" s="1"/>
  <c r="C610" i="7" s="1"/>
  <c r="F610" i="7" s="1"/>
  <c r="N610" i="7"/>
  <c r="Q610" i="7" s="1"/>
  <c r="M611" i="7" l="1"/>
  <c r="P611" i="7" s="1"/>
  <c r="L611" i="7"/>
  <c r="B610" i="7"/>
  <c r="N611" i="7" l="1"/>
  <c r="Q611" i="7" s="1"/>
  <c r="M612" i="7" s="1"/>
  <c r="O611" i="7"/>
  <c r="E610" i="7"/>
  <c r="D610" i="7"/>
  <c r="L612" i="7" l="1"/>
  <c r="O612" i="7" s="1"/>
  <c r="G610" i="7"/>
  <c r="C611" i="7" s="1"/>
  <c r="P612" i="7" l="1"/>
  <c r="N612" i="7"/>
  <c r="Q612" i="7" s="1"/>
  <c r="L613" i="7" s="1"/>
  <c r="B611" i="7"/>
  <c r="E611" i="7" s="1"/>
  <c r="F611" i="7"/>
  <c r="D611" i="7" l="1"/>
  <c r="G611" i="7" s="1"/>
  <c r="B612" i="7" s="1"/>
  <c r="M613" i="7"/>
  <c r="O613" i="7"/>
  <c r="E612" i="7" l="1"/>
  <c r="C612" i="7"/>
  <c r="P613" i="7" l="1"/>
  <c r="N613" i="7"/>
  <c r="Q613" i="7" s="1"/>
  <c r="L614" i="7" s="1"/>
  <c r="F612" i="7"/>
  <c r="D612" i="7"/>
  <c r="M614" i="7" l="1"/>
  <c r="G612" i="7"/>
  <c r="B613" i="7" s="1"/>
  <c r="O614" i="7" l="1"/>
  <c r="E613" i="7"/>
  <c r="C613" i="7"/>
  <c r="F613" i="7" l="1"/>
  <c r="D613" i="7"/>
  <c r="P614" i="7" l="1"/>
  <c r="N614" i="7"/>
  <c r="Q614" i="7" s="1"/>
  <c r="L615" i="7" s="1"/>
  <c r="G613" i="7"/>
  <c r="B614" i="7" s="1"/>
  <c r="M615" i="7" l="1"/>
  <c r="C614" i="7"/>
  <c r="F614" i="7" s="1"/>
  <c r="E614" i="7"/>
  <c r="D614" i="7" l="1"/>
  <c r="G614" i="7" s="1"/>
  <c r="C615" i="7" s="1"/>
  <c r="F615" i="7" s="1"/>
  <c r="O615" i="7"/>
  <c r="P615" i="7"/>
  <c r="B615" i="7" l="1"/>
  <c r="E615" i="7" s="1"/>
  <c r="N615" i="7"/>
  <c r="Q615" i="7" s="1"/>
  <c r="D615" i="7" l="1"/>
  <c r="G615" i="7" s="1"/>
  <c r="C616" i="7" s="1"/>
  <c r="F616" i="7" s="1"/>
  <c r="M616" i="7"/>
  <c r="P616" i="7" s="1"/>
  <c r="L616" i="7"/>
  <c r="N616" i="7" l="1"/>
  <c r="Q616" i="7" s="1"/>
  <c r="O616" i="7"/>
  <c r="B616" i="7"/>
  <c r="E616" i="7" s="1"/>
  <c r="D616" i="7" l="1"/>
  <c r="G616" i="7" s="1"/>
  <c r="C617" i="7" s="1"/>
  <c r="F617" i="7" s="1"/>
  <c r="L617" i="7"/>
  <c r="M617" i="7"/>
  <c r="P617" i="7" s="1"/>
  <c r="N617" i="7" l="1"/>
  <c r="Q617" i="7" s="1"/>
  <c r="M618" i="7" s="1"/>
  <c r="P618" i="7" s="1"/>
  <c r="O617" i="7"/>
  <c r="B617" i="7"/>
  <c r="E617" i="7" s="1"/>
  <c r="L618" i="7" l="1"/>
  <c r="O618" i="7" s="1"/>
  <c r="D617" i="7"/>
  <c r="G617" i="7" s="1"/>
  <c r="B618" i="7" s="1"/>
  <c r="N618" i="7" l="1"/>
  <c r="Q618" i="7" s="1"/>
  <c r="L619" i="7" s="1"/>
  <c r="E618" i="7"/>
  <c r="C618" i="7"/>
  <c r="F618" i="7" s="1"/>
  <c r="M619" i="7" l="1"/>
  <c r="P619" i="7" s="1"/>
  <c r="O619" i="7"/>
  <c r="D618" i="7"/>
  <c r="N619" i="7" l="1"/>
  <c r="Q619" i="7" s="1"/>
  <c r="L620" i="7" s="1"/>
  <c r="G618" i="7"/>
  <c r="B619" i="7" s="1"/>
  <c r="M620" i="7" l="1"/>
  <c r="E619" i="7"/>
  <c r="C619" i="7"/>
  <c r="D619" i="7" s="1"/>
  <c r="O620" i="7" l="1"/>
  <c r="P620" i="7"/>
  <c r="G619" i="7"/>
  <c r="B620" i="7" s="1"/>
  <c r="F619" i="7"/>
  <c r="C620" i="7" l="1"/>
  <c r="F620" i="7" s="1"/>
  <c r="N620" i="7"/>
  <c r="Q620" i="7" s="1"/>
  <c r="E620" i="7"/>
  <c r="D620" i="7" l="1"/>
  <c r="G620" i="7" s="1"/>
  <c r="C621" i="7" s="1"/>
  <c r="F621" i="7" s="1"/>
  <c r="M621" i="7"/>
  <c r="P621" i="7" s="1"/>
  <c r="L621" i="7"/>
  <c r="B621" i="7" l="1"/>
  <c r="E621" i="7" s="1"/>
  <c r="N621" i="7"/>
  <c r="Q621" i="7" s="1"/>
  <c r="O621" i="7"/>
  <c r="D621" i="7" l="1"/>
  <c r="G621" i="7" s="1"/>
  <c r="C622" i="7" s="1"/>
  <c r="F622" i="7" s="1"/>
  <c r="M622" i="7"/>
  <c r="L622" i="7"/>
  <c r="O622" i="7" s="1"/>
  <c r="N622" i="7" l="1"/>
  <c r="Q622" i="7" s="1"/>
  <c r="L623" i="7" s="1"/>
  <c r="O623" i="7" s="1"/>
  <c r="P622" i="7"/>
  <c r="B622" i="7"/>
  <c r="M623" i="7" l="1"/>
  <c r="P623" i="7" s="1"/>
  <c r="E622" i="7"/>
  <c r="D622" i="7"/>
  <c r="N623" i="7" l="1"/>
  <c r="Q623" i="7" s="1"/>
  <c r="L624" i="7" s="1"/>
  <c r="O624" i="7" s="1"/>
  <c r="G622" i="7"/>
  <c r="C623" i="7" s="1"/>
  <c r="F623" i="7" s="1"/>
  <c r="M624" i="7" l="1"/>
  <c r="B623" i="7"/>
  <c r="E623" i="7" s="1"/>
  <c r="D623" i="7" l="1"/>
  <c r="G623" i="7" s="1"/>
  <c r="B624" i="7" s="1"/>
  <c r="P624" i="7"/>
  <c r="N624" i="7"/>
  <c r="Q624" i="7" s="1"/>
  <c r="L625" i="7" s="1"/>
  <c r="M625" i="7" l="1"/>
  <c r="E624" i="7"/>
  <c r="C624" i="7"/>
  <c r="F624" i="7" s="1"/>
  <c r="O625" i="7" l="1"/>
  <c r="P625" i="7"/>
  <c r="D624" i="7"/>
  <c r="N625" i="7" l="1"/>
  <c r="Q625" i="7" s="1"/>
  <c r="L626" i="7" s="1"/>
  <c r="G624" i="7"/>
  <c r="B625" i="7" s="1"/>
  <c r="M626" i="7" l="1"/>
  <c r="E625" i="7"/>
  <c r="C625" i="7"/>
  <c r="F625" i="7" s="1"/>
  <c r="O626" i="7" l="1"/>
  <c r="P626" i="7"/>
  <c r="D625" i="7"/>
  <c r="N626" i="7" l="1"/>
  <c r="Q626" i="7" s="1"/>
  <c r="L627" i="7" s="1"/>
  <c r="G625" i="7"/>
  <c r="B626" i="7" s="1"/>
  <c r="M627" i="7" l="1"/>
  <c r="E626" i="7"/>
  <c r="C626" i="7"/>
  <c r="F626" i="7" s="1"/>
  <c r="O627" i="7" l="1"/>
  <c r="P627" i="7"/>
  <c r="D626" i="7"/>
  <c r="N627" i="7" l="1"/>
  <c r="Q627" i="7" s="1"/>
  <c r="L628" i="7" s="1"/>
  <c r="G626" i="7"/>
  <c r="B627" i="7" s="1"/>
  <c r="M628" i="7" l="1"/>
  <c r="E627" i="7"/>
  <c r="C627" i="7"/>
  <c r="D627" i="7" s="1"/>
  <c r="O628" i="7" l="1"/>
  <c r="P628" i="7"/>
  <c r="G627" i="7"/>
  <c r="B628" i="7" s="1"/>
  <c r="F627" i="7"/>
  <c r="N628" i="7" l="1"/>
  <c r="Q628" i="7" s="1"/>
  <c r="L629" i="7" s="1"/>
  <c r="C628" i="7"/>
  <c r="F628" i="7" s="1"/>
  <c r="E628" i="7"/>
  <c r="D628" i="7" l="1"/>
  <c r="G628" i="7" s="1"/>
  <c r="C629" i="7" s="1"/>
  <c r="F629" i="7" s="1"/>
  <c r="M629" i="7"/>
  <c r="P629" i="7" s="1"/>
  <c r="B629" i="7" l="1"/>
  <c r="E629" i="7" s="1"/>
  <c r="N629" i="7"/>
  <c r="Q629" i="7" s="1"/>
  <c r="M630" i="7" s="1"/>
  <c r="P630" i="7" s="1"/>
  <c r="O629" i="7"/>
  <c r="D629" i="7" l="1"/>
  <c r="G629" i="7" s="1"/>
  <c r="C630" i="7" s="1"/>
  <c r="F630" i="7" s="1"/>
  <c r="L630" i="7"/>
  <c r="N630" i="7" s="1"/>
  <c r="Q630" i="7" s="1"/>
  <c r="M631" i="7" s="1"/>
  <c r="O630" i="7" l="1"/>
  <c r="L631" i="7" s="1"/>
  <c r="O631" i="7" s="1"/>
  <c r="P631" i="7"/>
  <c r="B630" i="7"/>
  <c r="N631" i="7" l="1"/>
  <c r="Q631" i="7" s="1"/>
  <c r="L632" i="7" s="1"/>
  <c r="E630" i="7"/>
  <c r="D630" i="7"/>
  <c r="M632" i="7" l="1"/>
  <c r="G630" i="7"/>
  <c r="C631" i="7" s="1"/>
  <c r="F631" i="7" s="1"/>
  <c r="O632" i="7" l="1"/>
  <c r="P632" i="7"/>
  <c r="B631" i="7"/>
  <c r="E631" i="7" s="1"/>
  <c r="D631" i="7" l="1"/>
  <c r="G631" i="7" s="1"/>
  <c r="C632" i="7" s="1"/>
  <c r="F632" i="7" s="1"/>
  <c r="N632" i="7"/>
  <c r="Q632" i="7" s="1"/>
  <c r="L633" i="7" s="1"/>
  <c r="M633" i="7" l="1"/>
  <c r="P633" i="7" s="1"/>
  <c r="B632" i="7"/>
  <c r="E632" i="7" s="1"/>
  <c r="D632" i="7" l="1"/>
  <c r="G632" i="7" s="1"/>
  <c r="B633" i="7" s="1"/>
  <c r="N633" i="7"/>
  <c r="Q633" i="7" s="1"/>
  <c r="M634" i="7" s="1"/>
  <c r="O633" i="7"/>
  <c r="L634" i="7" l="1"/>
  <c r="O634" i="7" s="1"/>
  <c r="E633" i="7"/>
  <c r="C633" i="7"/>
  <c r="P634" i="7" l="1"/>
  <c r="N634" i="7"/>
  <c r="Q634" i="7" s="1"/>
  <c r="L635" i="7" s="1"/>
  <c r="F633" i="7"/>
  <c r="D633" i="7"/>
  <c r="M635" i="7" l="1"/>
  <c r="O635" i="7"/>
  <c r="G633" i="7"/>
  <c r="B634" i="7" s="1"/>
  <c r="E634" i="7" l="1"/>
  <c r="C634" i="7"/>
  <c r="F634" i="7" l="1"/>
  <c r="D634" i="7"/>
  <c r="P635" i="7" l="1"/>
  <c r="N635" i="7"/>
  <c r="Q635" i="7" s="1"/>
  <c r="L636" i="7" s="1"/>
  <c r="G634" i="7"/>
  <c r="B635" i="7" s="1"/>
  <c r="M636" i="7" l="1"/>
  <c r="E635" i="7"/>
  <c r="C635" i="7"/>
  <c r="P636" i="7" l="1"/>
  <c r="N636" i="7"/>
  <c r="Q636" i="7" s="1"/>
  <c r="O636" i="7"/>
  <c r="F635" i="7"/>
  <c r="D635" i="7"/>
  <c r="M637" i="7" l="1"/>
  <c r="L637" i="7"/>
  <c r="O637" i="7" s="1"/>
  <c r="G635" i="7"/>
  <c r="B636" i="7" s="1"/>
  <c r="E636" i="7" l="1"/>
  <c r="C636" i="7"/>
  <c r="F636" i="7" l="1"/>
  <c r="D636" i="7"/>
  <c r="P637" i="7" l="1"/>
  <c r="N637" i="7"/>
  <c r="Q637" i="7" s="1"/>
  <c r="L638" i="7" s="1"/>
  <c r="G636" i="7"/>
  <c r="B637" i="7" s="1"/>
  <c r="M638" i="7" l="1"/>
  <c r="E637" i="7"/>
  <c r="C637" i="7"/>
  <c r="D637" i="7" s="1"/>
  <c r="O638" i="7" l="1"/>
  <c r="P638" i="7"/>
  <c r="G637" i="7"/>
  <c r="B638" i="7" s="1"/>
  <c r="F637" i="7"/>
  <c r="N638" i="7" l="1"/>
  <c r="Q638" i="7" s="1"/>
  <c r="L639" i="7" s="1"/>
  <c r="C638" i="7"/>
  <c r="F638" i="7" s="1"/>
  <c r="E638" i="7"/>
  <c r="D638" i="7" l="1"/>
  <c r="G638" i="7" s="1"/>
  <c r="C639" i="7" s="1"/>
  <c r="F639" i="7" s="1"/>
  <c r="M639" i="7"/>
  <c r="P639" i="7" s="1"/>
  <c r="N639" i="7" l="1"/>
  <c r="Q639" i="7" s="1"/>
  <c r="O639" i="7"/>
  <c r="B639" i="7"/>
  <c r="M640" i="7" l="1"/>
  <c r="P640" i="7" s="1"/>
  <c r="L640" i="7"/>
  <c r="E639" i="7"/>
  <c r="D639" i="7"/>
  <c r="N640" i="7" l="1"/>
  <c r="Q640" i="7" s="1"/>
  <c r="M641" i="7" s="1"/>
  <c r="O640" i="7"/>
  <c r="G639" i="7"/>
  <c r="C640" i="7" s="1"/>
  <c r="L641" i="7" l="1"/>
  <c r="O641" i="7" s="1"/>
  <c r="P641" i="7"/>
  <c r="F640" i="7"/>
  <c r="B640" i="7"/>
  <c r="N641" i="7" l="1"/>
  <c r="Q641" i="7" s="1"/>
  <c r="L642" i="7" s="1"/>
  <c r="E640" i="7"/>
  <c r="D640" i="7"/>
  <c r="M642" i="7" l="1"/>
  <c r="G640" i="7"/>
  <c r="C641" i="7" s="1"/>
  <c r="F641" i="7" s="1"/>
  <c r="O642" i="7" l="1"/>
  <c r="P642" i="7"/>
  <c r="B641" i="7"/>
  <c r="E641" i="7" s="1"/>
  <c r="D641" i="7" l="1"/>
  <c r="G641" i="7" s="1"/>
  <c r="C642" i="7" s="1"/>
  <c r="F642" i="7" s="1"/>
  <c r="N642" i="7"/>
  <c r="Q642" i="7" s="1"/>
  <c r="L643" i="7" s="1"/>
  <c r="M643" i="7" l="1"/>
  <c r="P643" i="7" s="1"/>
  <c r="B642" i="7"/>
  <c r="D642" i="7" s="1"/>
  <c r="N643" i="7" l="1"/>
  <c r="Q643" i="7" s="1"/>
  <c r="M644" i="7" s="1"/>
  <c r="O643" i="7"/>
  <c r="E642" i="7"/>
  <c r="G642" i="7"/>
  <c r="C643" i="7" s="1"/>
  <c r="F643" i="7" s="1"/>
  <c r="L644" i="7" l="1"/>
  <c r="O644" i="7" s="1"/>
  <c r="P644" i="7"/>
  <c r="B643" i="7"/>
  <c r="N644" i="7" l="1"/>
  <c r="Q644" i="7" s="1"/>
  <c r="L645" i="7" s="1"/>
  <c r="E643" i="7"/>
  <c r="D643" i="7"/>
  <c r="M645" i="7" l="1"/>
  <c r="G643" i="7"/>
  <c r="B644" i="7" s="1"/>
  <c r="O645" i="7" l="1"/>
  <c r="E644" i="7"/>
  <c r="C644" i="7"/>
  <c r="F644" i="7" l="1"/>
  <c r="D644" i="7"/>
  <c r="P645" i="7" l="1"/>
  <c r="N645" i="7"/>
  <c r="Q645" i="7" s="1"/>
  <c r="L646" i="7" s="1"/>
  <c r="G644" i="7"/>
  <c r="B645" i="7" s="1"/>
  <c r="M646" i="7" l="1"/>
  <c r="C645" i="7"/>
  <c r="E645" i="7"/>
  <c r="P646" i="7" l="1"/>
  <c r="D645" i="7"/>
  <c r="G645" i="7" s="1"/>
  <c r="B646" i="7" s="1"/>
  <c r="N646" i="7"/>
  <c r="Q646" i="7" s="1"/>
  <c r="O646" i="7"/>
  <c r="F645" i="7"/>
  <c r="M647" i="7" l="1"/>
  <c r="L647" i="7"/>
  <c r="O647" i="7" s="1"/>
  <c r="C646" i="7"/>
  <c r="F646" i="7" s="1"/>
  <c r="E646" i="7"/>
  <c r="D646" i="7" l="1"/>
  <c r="G646" i="7" s="1"/>
  <c r="C647" i="7" s="1"/>
  <c r="F647" i="7" s="1"/>
  <c r="P647" i="7" l="1"/>
  <c r="N647" i="7"/>
  <c r="Q647" i="7" s="1"/>
  <c r="L648" i="7" s="1"/>
  <c r="B647" i="7"/>
  <c r="E647" i="7" s="1"/>
  <c r="M648" i="7" l="1"/>
  <c r="P648" i="7" s="1"/>
  <c r="D647" i="7"/>
  <c r="G647" i="7" s="1"/>
  <c r="C648" i="7" s="1"/>
  <c r="F648" i="7" s="1"/>
  <c r="N648" i="7" l="1"/>
  <c r="Q648" i="7" s="1"/>
  <c r="O648" i="7"/>
  <c r="B648" i="7"/>
  <c r="L649" i="7" l="1"/>
  <c r="O649" i="7" s="1"/>
  <c r="M649" i="7"/>
  <c r="P649" i="7" s="1"/>
  <c r="E648" i="7"/>
  <c r="D648" i="7"/>
  <c r="N649" i="7" l="1"/>
  <c r="Q649" i="7" s="1"/>
  <c r="M650" i="7" s="1"/>
  <c r="G648" i="7"/>
  <c r="C649" i="7" s="1"/>
  <c r="L650" i="7" l="1"/>
  <c r="O650" i="7" s="1"/>
  <c r="P650" i="7"/>
  <c r="B649" i="7"/>
  <c r="E649" i="7" s="1"/>
  <c r="F649" i="7"/>
  <c r="N650" i="7" l="1"/>
  <c r="Q650" i="7" s="1"/>
  <c r="L651" i="7" s="1"/>
  <c r="O651" i="7" s="1"/>
  <c r="D649" i="7"/>
  <c r="G649" i="7" s="1"/>
  <c r="C650" i="7" s="1"/>
  <c r="F650" i="7" s="1"/>
  <c r="M651" i="7" l="1"/>
  <c r="B650" i="7"/>
  <c r="E650" i="7" s="1"/>
  <c r="D650" i="7" l="1"/>
  <c r="G650" i="7" s="1"/>
  <c r="B651" i="7" s="1"/>
  <c r="P651" i="7"/>
  <c r="N651" i="7"/>
  <c r="Q651" i="7" s="1"/>
  <c r="L652" i="7" s="1"/>
  <c r="M652" i="7" l="1"/>
  <c r="E651" i="7"/>
  <c r="C651" i="7"/>
  <c r="D651" i="7" s="1"/>
  <c r="O652" i="7" l="1"/>
  <c r="P652" i="7"/>
  <c r="G651" i="7"/>
  <c r="B652" i="7" s="1"/>
  <c r="F651" i="7"/>
  <c r="C652" i="7" l="1"/>
  <c r="F652" i="7" s="1"/>
  <c r="N652" i="7"/>
  <c r="Q652" i="7" s="1"/>
  <c r="M653" i="7" s="1"/>
  <c r="E652" i="7"/>
  <c r="D652" i="7" l="1"/>
  <c r="G652" i="7" s="1"/>
  <c r="C653" i="7" s="1"/>
  <c r="F653" i="7" s="1"/>
  <c r="P653" i="7"/>
  <c r="L653" i="7"/>
  <c r="N653" i="7" l="1"/>
  <c r="Q653" i="7" s="1"/>
  <c r="O653" i="7"/>
  <c r="B653" i="7"/>
  <c r="D653" i="7" s="1"/>
  <c r="L654" i="7" l="1"/>
  <c r="O654" i="7" s="1"/>
  <c r="M654" i="7"/>
  <c r="P654" i="7" s="1"/>
  <c r="E653" i="7"/>
  <c r="G653" i="7"/>
  <c r="C654" i="7" s="1"/>
  <c r="F654" i="7" s="1"/>
  <c r="B654" i="7" l="1"/>
  <c r="E654" i="7" s="1"/>
  <c r="N654" i="7"/>
  <c r="Q654" i="7" s="1"/>
  <c r="M655" i="7" s="1"/>
  <c r="P655" i="7" s="1"/>
  <c r="L655" i="7" l="1"/>
  <c r="O655" i="7" s="1"/>
  <c r="D654" i="7"/>
  <c r="G654" i="7" s="1"/>
  <c r="C655" i="7" s="1"/>
  <c r="F655" i="7" s="1"/>
  <c r="N655" i="7" l="1"/>
  <c r="Q655" i="7" s="1"/>
  <c r="M656" i="7" s="1"/>
  <c r="P656" i="7" s="1"/>
  <c r="B655" i="7"/>
  <c r="E655" i="7" s="1"/>
  <c r="L656" i="7" l="1"/>
  <c r="N656" i="7" s="1"/>
  <c r="Q656" i="7" s="1"/>
  <c r="M657" i="7" s="1"/>
  <c r="D655" i="7"/>
  <c r="G655" i="7" s="1"/>
  <c r="C656" i="7" s="1"/>
  <c r="F656" i="7" s="1"/>
  <c r="O656" i="7" l="1"/>
  <c r="L657" i="7" s="1"/>
  <c r="O657" i="7" s="1"/>
  <c r="P657" i="7"/>
  <c r="B656" i="7"/>
  <c r="N657" i="7" l="1"/>
  <c r="Q657" i="7" s="1"/>
  <c r="L658" i="7" s="1"/>
  <c r="E656" i="7"/>
  <c r="D656" i="7"/>
  <c r="M658" i="7" l="1"/>
  <c r="G656" i="7"/>
  <c r="C657" i="7" s="1"/>
  <c r="P658" i="7" l="1"/>
  <c r="N658" i="7"/>
  <c r="Q658" i="7" s="1"/>
  <c r="O658" i="7"/>
  <c r="B657" i="7"/>
  <c r="E657" i="7" s="1"/>
  <c r="F657" i="7"/>
  <c r="M659" i="7" l="1"/>
  <c r="D657" i="7"/>
  <c r="G657" i="7" s="1"/>
  <c r="C658" i="7" s="1"/>
  <c r="L659" i="7"/>
  <c r="O659" i="7" s="1"/>
  <c r="P659" i="7" l="1"/>
  <c r="N659" i="7"/>
  <c r="Q659" i="7" s="1"/>
  <c r="L660" i="7" s="1"/>
  <c r="B658" i="7"/>
  <c r="E658" i="7" s="1"/>
  <c r="F658" i="7"/>
  <c r="M660" i="7" l="1"/>
  <c r="D658" i="7"/>
  <c r="G658" i="7" s="1"/>
  <c r="C659" i="7" s="1"/>
  <c r="O660" i="7"/>
  <c r="P660" i="7" l="1"/>
  <c r="N660" i="7"/>
  <c r="Q660" i="7" s="1"/>
  <c r="L661" i="7" s="1"/>
  <c r="F659" i="7"/>
  <c r="B659" i="7"/>
  <c r="M661" i="7" l="1"/>
  <c r="E659" i="7"/>
  <c r="D659" i="7"/>
  <c r="O661" i="7" l="1"/>
  <c r="G659" i="7"/>
  <c r="C660" i="7" s="1"/>
  <c r="F660" i="7" l="1"/>
  <c r="B660" i="7"/>
  <c r="P661" i="7" l="1"/>
  <c r="N661" i="7"/>
  <c r="Q661" i="7" s="1"/>
  <c r="L662" i="7" s="1"/>
  <c r="E660" i="7"/>
  <c r="D660" i="7"/>
  <c r="M662" i="7" l="1"/>
  <c r="O662" i="7"/>
  <c r="G660" i="7"/>
  <c r="C661" i="7" s="1"/>
  <c r="P662" i="7" l="1"/>
  <c r="N662" i="7"/>
  <c r="Q662" i="7" s="1"/>
  <c r="L663" i="7" s="1"/>
  <c r="F661" i="7"/>
  <c r="B661" i="7"/>
  <c r="M663" i="7" l="1"/>
  <c r="O663" i="7"/>
  <c r="E661" i="7"/>
  <c r="D661" i="7"/>
  <c r="G661" i="7" l="1"/>
  <c r="C662" i="7" s="1"/>
  <c r="F662" i="7" l="1"/>
  <c r="B662" i="7"/>
  <c r="D662" i="7" s="1"/>
  <c r="E662" i="7" l="1"/>
  <c r="P663" i="7"/>
  <c r="N663" i="7"/>
  <c r="Q663" i="7" s="1"/>
  <c r="L664" i="7" s="1"/>
  <c r="G662" i="7"/>
  <c r="C663" i="7" s="1"/>
  <c r="F663" i="7" s="1"/>
  <c r="M664" i="7" l="1"/>
  <c r="P664" i="7" s="1"/>
  <c r="B663" i="7"/>
  <c r="E663" i="7" s="1"/>
  <c r="D663" i="7" l="1"/>
  <c r="G663" i="7" s="1"/>
  <c r="B664" i="7" s="1"/>
  <c r="N664" i="7"/>
  <c r="Q664" i="7" s="1"/>
  <c r="M665" i="7" s="1"/>
  <c r="O664" i="7"/>
  <c r="L665" i="7" l="1"/>
  <c r="O665" i="7" s="1"/>
  <c r="E664" i="7"/>
  <c r="C664" i="7"/>
  <c r="D664" i="7" s="1"/>
  <c r="G664" i="7" l="1"/>
  <c r="B665" i="7" s="1"/>
  <c r="F664" i="7"/>
  <c r="P665" i="7" l="1"/>
  <c r="N665" i="7"/>
  <c r="Q665" i="7" s="1"/>
  <c r="L666" i="7" s="1"/>
  <c r="C665" i="7"/>
  <c r="F665" i="7" s="1"/>
  <c r="E665" i="7"/>
  <c r="D665" i="7" l="1"/>
  <c r="G665" i="7" s="1"/>
  <c r="C666" i="7" s="1"/>
  <c r="F666" i="7" s="1"/>
  <c r="M666" i="7"/>
  <c r="P666" i="7" s="1"/>
  <c r="B666" i="7" l="1"/>
  <c r="E666" i="7" s="1"/>
  <c r="N666" i="7"/>
  <c r="Q666" i="7" s="1"/>
  <c r="M667" i="7" s="1"/>
  <c r="O666" i="7"/>
  <c r="L667" i="7" l="1"/>
  <c r="N667" i="7" s="1"/>
  <c r="Q667" i="7" s="1"/>
  <c r="D666" i="7"/>
  <c r="G666" i="7" s="1"/>
  <c r="C667" i="7" s="1"/>
  <c r="P667" i="7"/>
  <c r="O667" i="7" l="1"/>
  <c r="L668" i="7" s="1"/>
  <c r="O668" i="7" s="1"/>
  <c r="M668" i="7"/>
  <c r="P668" i="7" s="1"/>
  <c r="B667" i="7"/>
  <c r="D667" i="7" s="1"/>
  <c r="F667" i="7"/>
  <c r="N668" i="7" l="1"/>
  <c r="Q668" i="7" s="1"/>
  <c r="L669" i="7" s="1"/>
  <c r="E667" i="7"/>
  <c r="G667" i="7"/>
  <c r="B668" i="7" l="1"/>
  <c r="E668" i="7" s="1"/>
  <c r="M669" i="7"/>
  <c r="C668" i="7"/>
  <c r="F668" i="7" s="1"/>
  <c r="O669" i="7" l="1"/>
  <c r="P669" i="7"/>
  <c r="D668" i="7"/>
  <c r="N669" i="7" l="1"/>
  <c r="Q669" i="7" s="1"/>
  <c r="L670" i="7" s="1"/>
  <c r="G668" i="7"/>
  <c r="B669" i="7" s="1"/>
  <c r="M670" i="7" l="1"/>
  <c r="E669" i="7"/>
  <c r="C669" i="7"/>
  <c r="F669" i="7" s="1"/>
  <c r="O670" i="7" l="1"/>
  <c r="P670" i="7"/>
  <c r="D669" i="7"/>
  <c r="N670" i="7" l="1"/>
  <c r="Q670" i="7" s="1"/>
  <c r="L671" i="7" s="1"/>
  <c r="G669" i="7"/>
  <c r="B670" i="7" s="1"/>
  <c r="M671" i="7" l="1"/>
  <c r="E670" i="7"/>
  <c r="C670" i="7"/>
  <c r="F670" i="7" s="1"/>
  <c r="O671" i="7" l="1"/>
  <c r="P671" i="7"/>
  <c r="D670" i="7"/>
  <c r="N671" i="7" l="1"/>
  <c r="Q671" i="7" s="1"/>
  <c r="L672" i="7" s="1"/>
  <c r="G670" i="7"/>
  <c r="B671" i="7" s="1"/>
  <c r="M672" i="7" l="1"/>
  <c r="E671" i="7"/>
  <c r="C671" i="7"/>
  <c r="P672" i="7" l="1"/>
  <c r="N672" i="7"/>
  <c r="Q672" i="7" s="1"/>
  <c r="O672" i="7"/>
  <c r="F671" i="7"/>
  <c r="D671" i="7"/>
  <c r="M673" i="7" l="1"/>
  <c r="L673" i="7"/>
  <c r="O673" i="7" s="1"/>
  <c r="G671" i="7"/>
  <c r="B672" i="7" s="1"/>
  <c r="E672" i="7" l="1"/>
  <c r="C672" i="7"/>
  <c r="P673" i="7" l="1"/>
  <c r="N673" i="7"/>
  <c r="Q673" i="7" s="1"/>
  <c r="L674" i="7" s="1"/>
  <c r="F672" i="7"/>
  <c r="D672" i="7"/>
  <c r="M674" i="7" l="1"/>
  <c r="G672" i="7"/>
  <c r="B673" i="7" s="1"/>
  <c r="O674" i="7" l="1"/>
  <c r="E673" i="7"/>
  <c r="C673" i="7"/>
  <c r="D673" i="7" l="1"/>
  <c r="G673" i="7" s="1"/>
  <c r="B674" i="7" s="1"/>
  <c r="F673" i="7"/>
  <c r="C674" i="7" l="1"/>
  <c r="F674" i="7" s="1"/>
  <c r="P674" i="7"/>
  <c r="N674" i="7"/>
  <c r="Q674" i="7" s="1"/>
  <c r="L675" i="7" s="1"/>
  <c r="E674" i="7"/>
  <c r="D674" i="7" l="1"/>
  <c r="G674" i="7" s="1"/>
  <c r="C675" i="7" s="1"/>
  <c r="F675" i="7" s="1"/>
  <c r="M675" i="7"/>
  <c r="P675" i="7" s="1"/>
  <c r="N675" i="7" l="1"/>
  <c r="Q675" i="7" s="1"/>
  <c r="O675" i="7"/>
  <c r="B675" i="7"/>
  <c r="L676" i="7" l="1"/>
  <c r="M676" i="7"/>
  <c r="P676" i="7" s="1"/>
  <c r="E675" i="7"/>
  <c r="D675" i="7"/>
  <c r="N676" i="7" l="1"/>
  <c r="Q676" i="7" s="1"/>
  <c r="M677" i="7" s="1"/>
  <c r="O676" i="7"/>
  <c r="G675" i="7"/>
  <c r="C676" i="7" s="1"/>
  <c r="F676" i="7" s="1"/>
  <c r="L677" i="7" l="1"/>
  <c r="O677" i="7" s="1"/>
  <c r="B676" i="7"/>
  <c r="E676" i="7" s="1"/>
  <c r="D676" i="7" l="1"/>
  <c r="G676" i="7" s="1"/>
  <c r="P677" i="7"/>
  <c r="N677" i="7"/>
  <c r="Q677" i="7" s="1"/>
  <c r="L678" i="7" s="1"/>
  <c r="C677" i="7" l="1"/>
  <c r="F677" i="7" s="1"/>
  <c r="B677" i="7"/>
  <c r="E677" i="7" s="1"/>
  <c r="M678" i="7"/>
  <c r="P678" i="7" s="1"/>
  <c r="D677" i="7" l="1"/>
  <c r="G677" i="7" s="1"/>
  <c r="C678" i="7" s="1"/>
  <c r="F678" i="7" s="1"/>
  <c r="N678" i="7"/>
  <c r="Q678" i="7" s="1"/>
  <c r="M679" i="7" s="1"/>
  <c r="O678" i="7"/>
  <c r="L679" i="7" l="1"/>
  <c r="O679" i="7" s="1"/>
  <c r="B678" i="7"/>
  <c r="E678" i="7" s="1"/>
  <c r="P679" i="7"/>
  <c r="D678" i="7" l="1"/>
  <c r="G678" i="7" s="1"/>
  <c r="C679" i="7" s="1"/>
  <c r="F679" i="7" s="1"/>
  <c r="N679" i="7"/>
  <c r="Q679" i="7" s="1"/>
  <c r="M680" i="7" l="1"/>
  <c r="P680" i="7" s="1"/>
  <c r="L680" i="7"/>
  <c r="B679" i="7"/>
  <c r="E679" i="7" s="1"/>
  <c r="D679" i="7" l="1"/>
  <c r="G679" i="7" s="1"/>
  <c r="C680" i="7" s="1"/>
  <c r="F680" i="7" s="1"/>
  <c r="N680" i="7"/>
  <c r="Q680" i="7" s="1"/>
  <c r="M681" i="7" s="1"/>
  <c r="O680" i="7"/>
  <c r="L681" i="7" l="1"/>
  <c r="O681" i="7" s="1"/>
  <c r="P681" i="7"/>
  <c r="B680" i="7"/>
  <c r="E680" i="7" s="1"/>
  <c r="D680" i="7" l="1"/>
  <c r="G680" i="7" s="1"/>
  <c r="B681" i="7" s="1"/>
  <c r="N681" i="7"/>
  <c r="Q681" i="7" s="1"/>
  <c r="L682" i="7" s="1"/>
  <c r="M682" i="7" l="1"/>
  <c r="E681" i="7"/>
  <c r="C681" i="7"/>
  <c r="F681" i="7" s="1"/>
  <c r="O682" i="7" l="1"/>
  <c r="P682" i="7"/>
  <c r="D681" i="7"/>
  <c r="N682" i="7" l="1"/>
  <c r="Q682" i="7" s="1"/>
  <c r="L683" i="7" s="1"/>
  <c r="G681" i="7"/>
  <c r="B682" i="7" s="1"/>
  <c r="M683" i="7" l="1"/>
  <c r="E682" i="7"/>
  <c r="C682" i="7"/>
  <c r="P683" i="7" l="1"/>
  <c r="N683" i="7"/>
  <c r="Q683" i="7" s="1"/>
  <c r="O683" i="7"/>
  <c r="F682" i="7"/>
  <c r="D682" i="7"/>
  <c r="M684" i="7" l="1"/>
  <c r="L684" i="7"/>
  <c r="G682" i="7"/>
  <c r="B683" i="7" s="1"/>
  <c r="O684" i="7" l="1"/>
  <c r="E683" i="7"/>
  <c r="C683" i="7"/>
  <c r="P684" i="7" s="1"/>
  <c r="N684" i="7" l="1"/>
  <c r="Q684" i="7" s="1"/>
  <c r="L685" i="7" s="1"/>
  <c r="F683" i="7"/>
  <c r="D683" i="7"/>
  <c r="M685" i="7" l="1"/>
  <c r="G683" i="7"/>
  <c r="B684" i="7" s="1"/>
  <c r="O685" i="7" l="1"/>
  <c r="E684" i="7"/>
  <c r="C684" i="7"/>
  <c r="F684" i="7" l="1"/>
  <c r="D684" i="7"/>
  <c r="P685" i="7" l="1"/>
  <c r="N685" i="7"/>
  <c r="Q685" i="7" s="1"/>
  <c r="L686" i="7" s="1"/>
  <c r="G684" i="7"/>
  <c r="B685" i="7" s="1"/>
  <c r="M686" i="7" l="1"/>
  <c r="E685" i="7"/>
  <c r="C685" i="7"/>
  <c r="F685" i="7" s="1"/>
  <c r="O686" i="7" l="1"/>
  <c r="P686" i="7"/>
  <c r="D685" i="7"/>
  <c r="N686" i="7" l="1"/>
  <c r="Q686" i="7" s="1"/>
  <c r="L687" i="7" s="1"/>
  <c r="G685" i="7"/>
  <c r="B686" i="7" s="1"/>
  <c r="M687" i="7" l="1"/>
  <c r="E686" i="7"/>
  <c r="C686" i="7"/>
  <c r="D686" i="7" s="1"/>
  <c r="O687" i="7" l="1"/>
  <c r="P687" i="7"/>
  <c r="G686" i="7"/>
  <c r="B687" i="7" s="1"/>
  <c r="F686" i="7"/>
  <c r="C687" i="7" l="1"/>
  <c r="F687" i="7" s="1"/>
  <c r="N687" i="7"/>
  <c r="Q687" i="7" s="1"/>
  <c r="E687" i="7"/>
  <c r="D687" i="7" l="1"/>
  <c r="G687" i="7" s="1"/>
  <c r="C688" i="7" s="1"/>
  <c r="F688" i="7" s="1"/>
  <c r="M688" i="7"/>
  <c r="P688" i="7" s="1"/>
  <c r="L688" i="7"/>
  <c r="N688" i="7" l="1"/>
  <c r="Q688" i="7" s="1"/>
  <c r="O688" i="7"/>
  <c r="B688" i="7"/>
  <c r="L689" i="7" l="1"/>
  <c r="M689" i="7"/>
  <c r="P689" i="7" s="1"/>
  <c r="E688" i="7"/>
  <c r="D688" i="7"/>
  <c r="N689" i="7" l="1"/>
  <c r="Q689" i="7" s="1"/>
  <c r="M690" i="7" s="1"/>
  <c r="O689" i="7"/>
  <c r="G688" i="7"/>
  <c r="C689" i="7" s="1"/>
  <c r="F689" i="7" s="1"/>
  <c r="L690" i="7" l="1"/>
  <c r="N690" i="7" s="1"/>
  <c r="Q690" i="7" s="1"/>
  <c r="B689" i="7"/>
  <c r="E689" i="7" s="1"/>
  <c r="P690" i="7"/>
  <c r="O690" i="7" l="1"/>
  <c r="L691" i="7" s="1"/>
  <c r="D689" i="7"/>
  <c r="G689" i="7" s="1"/>
  <c r="B690" i="7" s="1"/>
  <c r="M691" i="7"/>
  <c r="O691" i="7" l="1"/>
  <c r="E690" i="7"/>
  <c r="C690" i="7"/>
  <c r="F690" i="7" l="1"/>
  <c r="D690" i="7"/>
  <c r="P691" i="7" l="1"/>
  <c r="N691" i="7"/>
  <c r="Q691" i="7" s="1"/>
  <c r="L692" i="7" s="1"/>
  <c r="G690" i="7"/>
  <c r="B691" i="7" s="1"/>
  <c r="M692" i="7" l="1"/>
  <c r="E691" i="7"/>
  <c r="C691" i="7"/>
  <c r="D691" i="7" s="1"/>
  <c r="O692" i="7" l="1"/>
  <c r="P692" i="7"/>
  <c r="G691" i="7"/>
  <c r="B692" i="7" s="1"/>
  <c r="F691" i="7"/>
  <c r="C692" i="7" l="1"/>
  <c r="F692" i="7" s="1"/>
  <c r="N692" i="7"/>
  <c r="Q692" i="7" s="1"/>
  <c r="E692" i="7"/>
  <c r="D692" i="7" l="1"/>
  <c r="G692" i="7" s="1"/>
  <c r="C693" i="7" s="1"/>
  <c r="F693" i="7" s="1"/>
  <c r="M693" i="7"/>
  <c r="P693" i="7" s="1"/>
  <c r="L693" i="7"/>
  <c r="B693" i="7" l="1"/>
  <c r="E693" i="7" s="1"/>
  <c r="N693" i="7"/>
  <c r="Q693" i="7" s="1"/>
  <c r="O693" i="7"/>
  <c r="L694" i="7" l="1"/>
  <c r="O694" i="7" s="1"/>
  <c r="D693" i="7"/>
  <c r="G693" i="7" s="1"/>
  <c r="C694" i="7" s="1"/>
  <c r="F694" i="7" s="1"/>
  <c r="M694" i="7"/>
  <c r="P694" i="7" s="1"/>
  <c r="N694" i="7" l="1"/>
  <c r="Q694" i="7" s="1"/>
  <c r="M695" i="7" s="1"/>
  <c r="P695" i="7" s="1"/>
  <c r="B694" i="7"/>
  <c r="L695" i="7" l="1"/>
  <c r="O695" i="7" s="1"/>
  <c r="E694" i="7"/>
  <c r="D694" i="7"/>
  <c r="N695" i="7" l="1"/>
  <c r="Q695" i="7" s="1"/>
  <c r="G694" i="7"/>
  <c r="C695" i="7" s="1"/>
  <c r="L696" i="7" l="1"/>
  <c r="O696" i="7" s="1"/>
  <c r="M696" i="7"/>
  <c r="P696" i="7" s="1"/>
  <c r="F695" i="7"/>
  <c r="B695" i="7"/>
  <c r="N696" i="7" l="1"/>
  <c r="Q696" i="7" s="1"/>
  <c r="M697" i="7" s="1"/>
  <c r="E695" i="7"/>
  <c r="D695" i="7"/>
  <c r="L697" i="7" l="1"/>
  <c r="O697" i="7" s="1"/>
  <c r="G695" i="7"/>
  <c r="C696" i="7" s="1"/>
  <c r="F696" i="7" l="1"/>
  <c r="B696" i="7"/>
  <c r="E696" i="7" s="1"/>
  <c r="D696" i="7" l="1"/>
  <c r="G696" i="7" s="1"/>
  <c r="C697" i="7" s="1"/>
  <c r="F697" i="7" s="1"/>
  <c r="P697" i="7"/>
  <c r="N697" i="7"/>
  <c r="Q697" i="7" s="1"/>
  <c r="L698" i="7" s="1"/>
  <c r="M698" i="7" l="1"/>
  <c r="P698" i="7" s="1"/>
  <c r="B697" i="7"/>
  <c r="N698" i="7" l="1"/>
  <c r="Q698" i="7" s="1"/>
  <c r="M699" i="7" s="1"/>
  <c r="O698" i="7"/>
  <c r="E697" i="7"/>
  <c r="D697" i="7"/>
  <c r="L699" i="7" l="1"/>
  <c r="O699" i="7" s="1"/>
  <c r="G697" i="7"/>
  <c r="C698" i="7" s="1"/>
  <c r="P699" i="7" l="1"/>
  <c r="N699" i="7"/>
  <c r="Q699" i="7" s="1"/>
  <c r="L700" i="7" s="1"/>
  <c r="F698" i="7"/>
  <c r="B698" i="7"/>
  <c r="M700" i="7" l="1"/>
  <c r="E698" i="7"/>
  <c r="D698" i="7"/>
  <c r="O700" i="7" l="1"/>
  <c r="G698" i="7"/>
  <c r="C699" i="7" s="1"/>
  <c r="B699" i="7" l="1"/>
  <c r="E699" i="7" s="1"/>
  <c r="F699" i="7"/>
  <c r="D699" i="7" l="1"/>
  <c r="G699" i="7" s="1"/>
  <c r="B700" i="7" s="1"/>
  <c r="P700" i="7"/>
  <c r="N700" i="7"/>
  <c r="Q700" i="7" s="1"/>
  <c r="L701" i="7" s="1"/>
  <c r="M701" i="7" l="1"/>
  <c r="E700" i="7"/>
  <c r="C700" i="7"/>
  <c r="F700" i="7" s="1"/>
  <c r="O701" i="7" l="1"/>
  <c r="P701" i="7"/>
  <c r="D700" i="7"/>
  <c r="N701" i="7" l="1"/>
  <c r="Q701" i="7" s="1"/>
  <c r="L702" i="7" s="1"/>
  <c r="G700" i="7"/>
  <c r="B701" i="7" s="1"/>
  <c r="M702" i="7" l="1"/>
  <c r="O702" i="7"/>
  <c r="E701" i="7"/>
  <c r="C701" i="7"/>
  <c r="P702" i="7" l="1"/>
  <c r="N702" i="7"/>
  <c r="Q702" i="7" s="1"/>
  <c r="L703" i="7" s="1"/>
  <c r="F701" i="7"/>
  <c r="D701" i="7"/>
  <c r="M703" i="7" l="1"/>
  <c r="G701" i="7"/>
  <c r="B702" i="7" s="1"/>
  <c r="O703" i="7" l="1"/>
  <c r="E702" i="7"/>
  <c r="C702" i="7"/>
  <c r="F702" i="7" l="1"/>
  <c r="D702" i="7"/>
  <c r="P703" i="7" l="1"/>
  <c r="N703" i="7"/>
  <c r="Q703" i="7" s="1"/>
  <c r="L704" i="7" s="1"/>
  <c r="G702" i="7"/>
  <c r="B703" i="7" s="1"/>
  <c r="M704" i="7" l="1"/>
  <c r="P704" i="7" s="1"/>
  <c r="E703" i="7"/>
  <c r="C703" i="7"/>
  <c r="F703" i="7" s="1"/>
  <c r="N704" i="7" l="1"/>
  <c r="Q704" i="7" s="1"/>
  <c r="M705" i="7" s="1"/>
  <c r="O704" i="7"/>
  <c r="D703" i="7"/>
  <c r="L705" i="7" l="1"/>
  <c r="G703" i="7"/>
  <c r="B704" i="7" s="1"/>
  <c r="O705" i="7" l="1"/>
  <c r="E704" i="7"/>
  <c r="C704" i="7"/>
  <c r="P705" i="7" s="1"/>
  <c r="N705" i="7" l="1"/>
  <c r="Q705" i="7" s="1"/>
  <c r="L706" i="7" s="1"/>
  <c r="F704" i="7"/>
  <c r="D704" i="7"/>
  <c r="M706" i="7" l="1"/>
  <c r="G704" i="7"/>
  <c r="B705" i="7" s="1"/>
  <c r="O706" i="7" l="1"/>
  <c r="E705" i="7"/>
  <c r="C705" i="7"/>
  <c r="P706" i="7" s="1"/>
  <c r="N706" i="7" l="1"/>
  <c r="Q706" i="7" s="1"/>
  <c r="L707" i="7" s="1"/>
  <c r="F705" i="7"/>
  <c r="D705" i="7"/>
  <c r="M707" i="7" l="1"/>
  <c r="G705" i="7"/>
  <c r="B706" i="7" s="1"/>
  <c r="O707" i="7" l="1"/>
  <c r="E706" i="7"/>
  <c r="C706" i="7"/>
  <c r="F706" i="7" l="1"/>
  <c r="D706" i="7"/>
  <c r="P707" i="7" l="1"/>
  <c r="N707" i="7"/>
  <c r="Q707" i="7" s="1"/>
  <c r="L708" i="7" s="1"/>
  <c r="G706" i="7"/>
  <c r="B707" i="7" s="1"/>
  <c r="M708" i="7" l="1"/>
  <c r="E707" i="7"/>
  <c r="C707" i="7"/>
  <c r="F707" i="7" s="1"/>
  <c r="O708" i="7" l="1"/>
  <c r="P708" i="7"/>
  <c r="D707" i="7"/>
  <c r="N708" i="7" l="1"/>
  <c r="Q708" i="7" s="1"/>
  <c r="L709" i="7" s="1"/>
  <c r="G707" i="7"/>
  <c r="B708" i="7" s="1"/>
  <c r="M709" i="7" l="1"/>
  <c r="E708" i="7"/>
  <c r="C708" i="7"/>
  <c r="F708" i="7" s="1"/>
  <c r="O709" i="7" l="1"/>
  <c r="P709" i="7"/>
  <c r="D708" i="7"/>
  <c r="N709" i="7" l="1"/>
  <c r="Q709" i="7" s="1"/>
  <c r="L710" i="7" s="1"/>
  <c r="G708" i="7"/>
  <c r="B709" i="7" s="1"/>
  <c r="M710" i="7" l="1"/>
  <c r="E709" i="7"/>
  <c r="C709" i="7"/>
  <c r="D709" i="7" s="1"/>
  <c r="O710" i="7" l="1"/>
  <c r="P710" i="7"/>
  <c r="G709" i="7"/>
  <c r="B710" i="7" s="1"/>
  <c r="F709" i="7"/>
  <c r="N710" i="7" l="1"/>
  <c r="Q710" i="7" s="1"/>
  <c r="L711" i="7" s="1"/>
  <c r="C710" i="7"/>
  <c r="F710" i="7" s="1"/>
  <c r="E710" i="7"/>
  <c r="D710" i="7" l="1"/>
  <c r="G710" i="7" s="1"/>
  <c r="B711" i="7" s="1"/>
  <c r="M711" i="7"/>
  <c r="P711" i="7" s="1"/>
  <c r="N711" i="7" l="1"/>
  <c r="Q711" i="7" s="1"/>
  <c r="M712" i="7" s="1"/>
  <c r="O711" i="7"/>
  <c r="E711" i="7"/>
  <c r="C711" i="7"/>
  <c r="F711" i="7" s="1"/>
  <c r="L712" i="7" l="1"/>
  <c r="O712" i="7" s="1"/>
  <c r="P712" i="7"/>
  <c r="D711" i="7"/>
  <c r="N712" i="7" l="1"/>
  <c r="Q712" i="7" s="1"/>
  <c r="L713" i="7" s="1"/>
  <c r="G711" i="7"/>
  <c r="B712" i="7" s="1"/>
  <c r="M713" i="7" l="1"/>
  <c r="E712" i="7"/>
  <c r="C712" i="7"/>
  <c r="D712" i="7" s="1"/>
  <c r="O713" i="7" l="1"/>
  <c r="P713" i="7"/>
  <c r="G712" i="7"/>
  <c r="B713" i="7" s="1"/>
  <c r="F712" i="7"/>
  <c r="C713" i="7" l="1"/>
  <c r="F713" i="7" s="1"/>
  <c r="N713" i="7"/>
  <c r="Q713" i="7" s="1"/>
  <c r="E713" i="7"/>
  <c r="D713" i="7" l="1"/>
  <c r="G713" i="7" s="1"/>
  <c r="C714" i="7" s="1"/>
  <c r="F714" i="7" s="1"/>
  <c r="M714" i="7"/>
  <c r="P714" i="7" s="1"/>
  <c r="L714" i="7"/>
  <c r="N714" i="7" l="1"/>
  <c r="Q714" i="7" s="1"/>
  <c r="O714" i="7"/>
  <c r="B714" i="7"/>
  <c r="L715" i="7" l="1"/>
  <c r="O715" i="7" s="1"/>
  <c r="M715" i="7"/>
  <c r="P715" i="7" s="1"/>
  <c r="E714" i="7"/>
  <c r="D714" i="7"/>
  <c r="N715" i="7" l="1"/>
  <c r="Q715" i="7" s="1"/>
  <c r="M716" i="7" s="1"/>
  <c r="P716" i="7" s="1"/>
  <c r="G714" i="7"/>
  <c r="C715" i="7" s="1"/>
  <c r="L716" i="7" l="1"/>
  <c r="N716" i="7" s="1"/>
  <c r="Q716" i="7" s="1"/>
  <c r="M717" i="7" s="1"/>
  <c r="B715" i="7"/>
  <c r="E715" i="7" s="1"/>
  <c r="F715" i="7"/>
  <c r="O716" i="7" l="1"/>
  <c r="L717" i="7" s="1"/>
  <c r="D715" i="7"/>
  <c r="G715" i="7" s="1"/>
  <c r="B716" i="7" s="1"/>
  <c r="O717" i="7" l="1"/>
  <c r="E716" i="7"/>
  <c r="C716" i="7"/>
  <c r="P717" i="7" s="1"/>
  <c r="N717" i="7" l="1"/>
  <c r="Q717" i="7" s="1"/>
  <c r="L718" i="7" s="1"/>
  <c r="F716" i="7"/>
  <c r="D716" i="7"/>
  <c r="M718" i="7" l="1"/>
  <c r="G716" i="7"/>
  <c r="B717" i="7" s="1"/>
  <c r="O718" i="7" l="1"/>
  <c r="E717" i="7"/>
  <c r="C717" i="7"/>
  <c r="F717" i="7" l="1"/>
  <c r="D717" i="7"/>
  <c r="P718" i="7" l="1"/>
  <c r="N718" i="7"/>
  <c r="Q718" i="7" s="1"/>
  <c r="L719" i="7" s="1"/>
  <c r="G717" i="7"/>
  <c r="B718" i="7" s="1"/>
  <c r="M719" i="7" l="1"/>
  <c r="E718" i="7"/>
  <c r="C718" i="7"/>
  <c r="F718" i="7" s="1"/>
  <c r="O719" i="7" l="1"/>
  <c r="P719" i="7"/>
  <c r="D718" i="7"/>
  <c r="N719" i="7" l="1"/>
  <c r="Q719" i="7" s="1"/>
  <c r="L720" i="7" s="1"/>
  <c r="G718" i="7"/>
  <c r="B719" i="7" s="1"/>
  <c r="M720" i="7" l="1"/>
  <c r="E719" i="7"/>
  <c r="C719" i="7"/>
  <c r="P720" i="7" l="1"/>
  <c r="N720" i="7"/>
  <c r="Q720" i="7" s="1"/>
  <c r="O720" i="7"/>
  <c r="F719" i="7"/>
  <c r="D719" i="7"/>
  <c r="M721" i="7" l="1"/>
  <c r="L721" i="7"/>
  <c r="O721" i="7" s="1"/>
  <c r="G719" i="7"/>
  <c r="B720" i="7" s="1"/>
  <c r="E720" i="7" l="1"/>
  <c r="C720" i="7"/>
  <c r="F720" i="7" l="1"/>
  <c r="D720" i="7"/>
  <c r="P721" i="7" l="1"/>
  <c r="N721" i="7"/>
  <c r="Q721" i="7" s="1"/>
  <c r="L722" i="7" s="1"/>
  <c r="G720" i="7"/>
  <c r="B721" i="7" s="1"/>
  <c r="M722" i="7" l="1"/>
  <c r="C721" i="7"/>
  <c r="F721" i="7" s="1"/>
  <c r="E721" i="7"/>
  <c r="O722" i="7" l="1"/>
  <c r="P722" i="7"/>
  <c r="D721" i="7"/>
  <c r="G721" i="7" s="1"/>
  <c r="B722" i="7" s="1"/>
  <c r="N722" i="7" l="1"/>
  <c r="Q722" i="7" s="1"/>
  <c r="L723" i="7" s="1"/>
  <c r="E722" i="7"/>
  <c r="C722" i="7"/>
  <c r="F722" i="7" s="1"/>
  <c r="M723" i="7" l="1"/>
  <c r="P723" i="7" s="1"/>
  <c r="O723" i="7"/>
  <c r="D722" i="7"/>
  <c r="N723" i="7" l="1"/>
  <c r="Q723" i="7" s="1"/>
  <c r="L724" i="7" s="1"/>
  <c r="G722" i="7"/>
  <c r="B723" i="7" s="1"/>
  <c r="M724" i="7" l="1"/>
  <c r="E723" i="7"/>
  <c r="C723" i="7"/>
  <c r="F723" i="7" s="1"/>
  <c r="O724" i="7" l="1"/>
  <c r="P724" i="7"/>
  <c r="D723" i="7"/>
  <c r="N724" i="7" l="1"/>
  <c r="Q724" i="7" s="1"/>
  <c r="L725" i="7" s="1"/>
  <c r="G723" i="7"/>
  <c r="B724" i="7" s="1"/>
  <c r="M725" i="7" l="1"/>
  <c r="E724" i="7"/>
  <c r="C724" i="7"/>
  <c r="F724" i="7" s="1"/>
  <c r="O725" i="7" l="1"/>
  <c r="P725" i="7"/>
  <c r="D724" i="7"/>
  <c r="N725" i="7" l="1"/>
  <c r="Q725" i="7" s="1"/>
  <c r="L726" i="7" s="1"/>
  <c r="G724" i="7"/>
  <c r="B725" i="7" s="1"/>
  <c r="M726" i="7" l="1"/>
  <c r="C725" i="7"/>
  <c r="E725" i="7"/>
  <c r="P726" i="7" l="1"/>
  <c r="D725" i="7"/>
  <c r="G725" i="7" s="1"/>
  <c r="B726" i="7" s="1"/>
  <c r="N726" i="7"/>
  <c r="Q726" i="7" s="1"/>
  <c r="O726" i="7"/>
  <c r="F725" i="7"/>
  <c r="M727" i="7" l="1"/>
  <c r="P727" i="7" s="1"/>
  <c r="L727" i="7"/>
  <c r="O727" i="7" s="1"/>
  <c r="C726" i="7"/>
  <c r="F726" i="7" s="1"/>
  <c r="E726" i="7"/>
  <c r="D726" i="7" l="1"/>
  <c r="G726" i="7" s="1"/>
  <c r="C727" i="7" s="1"/>
  <c r="F727" i="7" s="1"/>
  <c r="N727" i="7"/>
  <c r="Q727" i="7" s="1"/>
  <c r="L728" i="7" s="1"/>
  <c r="M728" i="7" l="1"/>
  <c r="P728" i="7" s="1"/>
  <c r="B727" i="7"/>
  <c r="N728" i="7" l="1"/>
  <c r="Q728" i="7" s="1"/>
  <c r="M729" i="7" s="1"/>
  <c r="O728" i="7"/>
  <c r="E727" i="7"/>
  <c r="D727" i="7"/>
  <c r="L729" i="7" l="1"/>
  <c r="O729" i="7" s="1"/>
  <c r="G727" i="7"/>
  <c r="C728" i="7" s="1"/>
  <c r="F728" i="7" s="1"/>
  <c r="B728" i="7" l="1"/>
  <c r="P729" i="7" l="1"/>
  <c r="N729" i="7"/>
  <c r="Q729" i="7" s="1"/>
  <c r="L730" i="7" s="1"/>
  <c r="E728" i="7"/>
  <c r="D728" i="7"/>
  <c r="M730" i="7" l="1"/>
  <c r="G728" i="7"/>
  <c r="C729" i="7" s="1"/>
  <c r="F729" i="7" s="1"/>
  <c r="O730" i="7" l="1"/>
  <c r="P730" i="7"/>
  <c r="B729" i="7"/>
  <c r="E729" i="7" s="1"/>
  <c r="D729" i="7" l="1"/>
  <c r="G729" i="7" s="1"/>
  <c r="C730" i="7" s="1"/>
  <c r="F730" i="7" s="1"/>
  <c r="N730" i="7"/>
  <c r="Q730" i="7" s="1"/>
  <c r="L731" i="7" s="1"/>
  <c r="M731" i="7" l="1"/>
  <c r="P731" i="7" s="1"/>
  <c r="B730" i="7"/>
  <c r="N731" i="7" l="1"/>
  <c r="Q731" i="7" s="1"/>
  <c r="M732" i="7" s="1"/>
  <c r="O731" i="7"/>
  <c r="E730" i="7"/>
  <c r="D730" i="7"/>
  <c r="L732" i="7" l="1"/>
  <c r="O732" i="7" s="1"/>
  <c r="G730" i="7"/>
  <c r="C731" i="7" s="1"/>
  <c r="P732" i="7" l="1"/>
  <c r="N732" i="7"/>
  <c r="Q732" i="7" s="1"/>
  <c r="L733" i="7" s="1"/>
  <c r="B731" i="7"/>
  <c r="E731" i="7" s="1"/>
  <c r="F731" i="7"/>
  <c r="D731" i="7" l="1"/>
  <c r="G731" i="7" s="1"/>
  <c r="B732" i="7" s="1"/>
  <c r="M733" i="7"/>
  <c r="O733" i="7"/>
  <c r="E732" i="7" l="1"/>
  <c r="C732" i="7"/>
  <c r="F732" i="7" l="1"/>
  <c r="D732" i="7"/>
  <c r="P733" i="7" l="1"/>
  <c r="N733" i="7"/>
  <c r="Q733" i="7" s="1"/>
  <c r="L734" i="7" s="1"/>
  <c r="G732" i="7"/>
  <c r="B733" i="7" s="1"/>
  <c r="M734" i="7" l="1"/>
  <c r="O734" i="7"/>
  <c r="E733" i="7"/>
  <c r="C733" i="7"/>
  <c r="P734" i="7" l="1"/>
  <c r="N734" i="7"/>
  <c r="Q734" i="7" s="1"/>
  <c r="L735" i="7" s="1"/>
  <c r="F733" i="7"/>
  <c r="D733" i="7"/>
  <c r="M735" i="7" l="1"/>
  <c r="O735" i="7"/>
  <c r="G733" i="7"/>
  <c r="B734" i="7" s="1"/>
  <c r="E734" i="7" l="1"/>
  <c r="C734" i="7"/>
  <c r="F734" i="7" l="1"/>
  <c r="D734" i="7"/>
  <c r="P735" i="7" l="1"/>
  <c r="N735" i="7"/>
  <c r="Q735" i="7" s="1"/>
  <c r="L736" i="7" s="1"/>
  <c r="G734" i="7"/>
  <c r="B735" i="7" s="1"/>
  <c r="M736" i="7" l="1"/>
  <c r="E735" i="7"/>
  <c r="C735" i="7"/>
  <c r="F735" i="7" s="1"/>
  <c r="O736" i="7" l="1"/>
  <c r="P736" i="7"/>
  <c r="D735" i="7"/>
  <c r="N736" i="7" l="1"/>
  <c r="Q736" i="7" s="1"/>
  <c r="L737" i="7" s="1"/>
  <c r="G735" i="7"/>
  <c r="B736" i="7" s="1"/>
  <c r="M737" i="7" l="1"/>
  <c r="E736" i="7"/>
  <c r="C736" i="7"/>
  <c r="P737" i="7" l="1"/>
  <c r="N737" i="7"/>
  <c r="Q737" i="7" s="1"/>
  <c r="O737" i="7"/>
  <c r="F736" i="7"/>
  <c r="D736" i="7"/>
  <c r="M738" i="7" l="1"/>
  <c r="L738" i="7"/>
  <c r="O738" i="7" s="1"/>
  <c r="G736" i="7"/>
  <c r="B737" i="7" s="1"/>
  <c r="E737" i="7" l="1"/>
  <c r="C737" i="7"/>
  <c r="F737" i="7" l="1"/>
  <c r="D737" i="7"/>
  <c r="P738" i="7" l="1"/>
  <c r="N738" i="7"/>
  <c r="Q738" i="7" s="1"/>
  <c r="L739" i="7" s="1"/>
  <c r="G737" i="7"/>
  <c r="B738" i="7" s="1"/>
  <c r="M739" i="7" l="1"/>
  <c r="E738" i="7"/>
  <c r="C738" i="7"/>
  <c r="D738" i="7" s="1"/>
  <c r="O739" i="7" l="1"/>
  <c r="P739" i="7"/>
  <c r="G738" i="7"/>
  <c r="B739" i="7" s="1"/>
  <c r="F738" i="7"/>
  <c r="C739" i="7" l="1"/>
  <c r="F739" i="7" s="1"/>
  <c r="N739" i="7"/>
  <c r="Q739" i="7" s="1"/>
  <c r="E739" i="7"/>
  <c r="D739" i="7" l="1"/>
  <c r="G739" i="7" s="1"/>
  <c r="C740" i="7" s="1"/>
  <c r="F740" i="7" s="1"/>
  <c r="M740" i="7"/>
  <c r="P740" i="7" s="1"/>
  <c r="L740" i="7"/>
  <c r="N740" i="7" l="1"/>
  <c r="Q740" i="7" s="1"/>
  <c r="O740" i="7"/>
  <c r="B740" i="7"/>
  <c r="L741" i="7" l="1"/>
  <c r="O741" i="7" s="1"/>
  <c r="M741" i="7"/>
  <c r="P741" i="7" s="1"/>
  <c r="E740" i="7"/>
  <c r="D740" i="7"/>
  <c r="N741" i="7" l="1"/>
  <c r="Q741" i="7" s="1"/>
  <c r="L742" i="7" s="1"/>
  <c r="O742" i="7" s="1"/>
  <c r="G740" i="7"/>
  <c r="C741" i="7" s="1"/>
  <c r="F741" i="7" s="1"/>
  <c r="M742" i="7" l="1"/>
  <c r="B741" i="7"/>
  <c r="P742" i="7" l="1"/>
  <c r="N742" i="7"/>
  <c r="Q742" i="7" s="1"/>
  <c r="L743" i="7" s="1"/>
  <c r="E741" i="7"/>
  <c r="D741" i="7"/>
  <c r="M743" i="7" l="1"/>
  <c r="O743" i="7"/>
  <c r="G741" i="7"/>
  <c r="C742" i="7" s="1"/>
  <c r="B742" i="7" l="1"/>
  <c r="E742" i="7" s="1"/>
  <c r="P743" i="7"/>
  <c r="N743" i="7"/>
  <c r="Q743" i="7" s="1"/>
  <c r="L744" i="7" s="1"/>
  <c r="F742" i="7"/>
  <c r="D742" i="7" l="1"/>
  <c r="G742" i="7" s="1"/>
  <c r="B743" i="7" s="1"/>
  <c r="M744" i="7"/>
  <c r="O744" i="7"/>
  <c r="E743" i="7" l="1"/>
  <c r="C743" i="7"/>
  <c r="D743" i="7" l="1"/>
  <c r="G743" i="7" s="1"/>
  <c r="B744" i="7" s="1"/>
  <c r="F743" i="7"/>
  <c r="C744" i="7" l="1"/>
  <c r="F744" i="7" s="1"/>
  <c r="P744" i="7"/>
  <c r="N744" i="7"/>
  <c r="Q744" i="7" s="1"/>
  <c r="L745" i="7" s="1"/>
  <c r="E744" i="7"/>
  <c r="D744" i="7" l="1"/>
  <c r="G744" i="7" s="1"/>
  <c r="B745" i="7" s="1"/>
  <c r="M745" i="7"/>
  <c r="P745" i="7" s="1"/>
  <c r="N745" i="7" l="1"/>
  <c r="Q745" i="7" s="1"/>
  <c r="M746" i="7" s="1"/>
  <c r="O745" i="7"/>
  <c r="E745" i="7"/>
  <c r="C745" i="7"/>
  <c r="F745" i="7" s="1"/>
  <c r="L746" i="7" l="1"/>
  <c r="O746" i="7" s="1"/>
  <c r="P746" i="7"/>
  <c r="D745" i="7"/>
  <c r="N746" i="7" l="1"/>
  <c r="Q746" i="7" s="1"/>
  <c r="L747" i="7" s="1"/>
  <c r="G745" i="7"/>
  <c r="B746" i="7" s="1"/>
  <c r="M747" i="7" l="1"/>
  <c r="E746" i="7"/>
  <c r="C746" i="7"/>
  <c r="P747" i="7" l="1"/>
  <c r="N747" i="7"/>
  <c r="Q747" i="7" s="1"/>
  <c r="O747" i="7"/>
  <c r="F746" i="7"/>
  <c r="D746" i="7"/>
  <c r="M748" i="7" l="1"/>
  <c r="L748" i="7"/>
  <c r="O748" i="7" s="1"/>
  <c r="G746" i="7"/>
  <c r="B747" i="7" s="1"/>
  <c r="E747" i="7" l="1"/>
  <c r="C747" i="7"/>
  <c r="F747" i="7" l="1"/>
  <c r="D747" i="7"/>
  <c r="P748" i="7" l="1"/>
  <c r="N748" i="7"/>
  <c r="Q748" i="7" s="1"/>
  <c r="L749" i="7" s="1"/>
  <c r="G747" i="7"/>
  <c r="B748" i="7" s="1"/>
  <c r="M749" i="7" l="1"/>
  <c r="E748" i="7"/>
  <c r="C748" i="7"/>
  <c r="P749" i="7" l="1"/>
  <c r="N749" i="7"/>
  <c r="Q749" i="7" s="1"/>
  <c r="O749" i="7"/>
  <c r="F748" i="7"/>
  <c r="D748" i="7"/>
  <c r="M750" i="7" l="1"/>
  <c r="L750" i="7"/>
  <c r="O750" i="7" s="1"/>
  <c r="G748" i="7"/>
  <c r="B749" i="7" s="1"/>
  <c r="E749" i="7" l="1"/>
  <c r="C749" i="7"/>
  <c r="P750" i="7" l="1"/>
  <c r="N750" i="7"/>
  <c r="Q750" i="7" s="1"/>
  <c r="L751" i="7" s="1"/>
  <c r="F749" i="7"/>
  <c r="D749" i="7"/>
  <c r="M751" i="7" l="1"/>
  <c r="G749" i="7"/>
  <c r="B750" i="7" s="1"/>
  <c r="O751" i="7" l="1"/>
  <c r="E750" i="7"/>
  <c r="C750" i="7"/>
  <c r="F750" i="7" l="1"/>
  <c r="D750" i="7"/>
  <c r="P751" i="7" l="1"/>
  <c r="N751" i="7"/>
  <c r="Q751" i="7" s="1"/>
  <c r="L752" i="7" s="1"/>
  <c r="G750" i="7"/>
  <c r="B751" i="7" s="1"/>
  <c r="M752" i="7" l="1"/>
  <c r="E751" i="7"/>
  <c r="C751" i="7"/>
  <c r="D751" i="7" s="1"/>
  <c r="O752" i="7" l="1"/>
  <c r="P752" i="7"/>
  <c r="G751" i="7"/>
  <c r="B752" i="7" s="1"/>
  <c r="F751" i="7"/>
  <c r="C752" i="7" l="1"/>
  <c r="F752" i="7" s="1"/>
  <c r="N752" i="7"/>
  <c r="Q752" i="7" s="1"/>
  <c r="E752" i="7"/>
  <c r="D752" i="7" l="1"/>
  <c r="G752" i="7" s="1"/>
  <c r="C753" i="7" s="1"/>
  <c r="F753" i="7" s="1"/>
  <c r="M753" i="7"/>
  <c r="P753" i="7" s="1"/>
  <c r="L753" i="7"/>
  <c r="B753" i="7" l="1"/>
  <c r="E753" i="7" s="1"/>
  <c r="N753" i="7"/>
  <c r="Q753" i="7" s="1"/>
  <c r="O753" i="7"/>
  <c r="D753" i="7" l="1"/>
  <c r="G753" i="7" s="1"/>
  <c r="C754" i="7" s="1"/>
  <c r="F754" i="7" s="1"/>
  <c r="M754" i="7"/>
  <c r="P754" i="7" s="1"/>
  <c r="L754" i="7"/>
  <c r="B754" i="7" l="1"/>
  <c r="E754" i="7" s="1"/>
  <c r="N754" i="7"/>
  <c r="Q754" i="7" s="1"/>
  <c r="M755" i="7" s="1"/>
  <c r="O754" i="7"/>
  <c r="L755" i="7" l="1"/>
  <c r="N755" i="7" s="1"/>
  <c r="Q755" i="7" s="1"/>
  <c r="D754" i="7"/>
  <c r="G754" i="7" s="1"/>
  <c r="B755" i="7" s="1"/>
  <c r="P755" i="7"/>
  <c r="O755" i="7" l="1"/>
  <c r="L756" i="7" s="1"/>
  <c r="M756" i="7"/>
  <c r="E755" i="7"/>
  <c r="C755" i="7"/>
  <c r="F755" i="7" s="1"/>
  <c r="O756" i="7" l="1"/>
  <c r="P756" i="7"/>
  <c r="D755" i="7"/>
  <c r="N756" i="7" l="1"/>
  <c r="Q756" i="7" s="1"/>
  <c r="L757" i="7" s="1"/>
  <c r="G755" i="7"/>
  <c r="B756" i="7" s="1"/>
  <c r="M757" i="7" l="1"/>
  <c r="E756" i="7"/>
  <c r="C756" i="7"/>
  <c r="F756" i="7" s="1"/>
  <c r="O757" i="7" l="1"/>
  <c r="P757" i="7"/>
  <c r="D756" i="7"/>
  <c r="N757" i="7" l="1"/>
  <c r="Q757" i="7" s="1"/>
  <c r="L758" i="7" s="1"/>
  <c r="G756" i="7"/>
  <c r="B757" i="7" s="1"/>
  <c r="M758" i="7" l="1"/>
  <c r="E757" i="7"/>
  <c r="C757" i="7"/>
  <c r="P758" i="7" l="1"/>
  <c r="N758" i="7"/>
  <c r="Q758" i="7" s="1"/>
  <c r="O758" i="7"/>
  <c r="F757" i="7"/>
  <c r="D757" i="7"/>
  <c r="L759" i="7" l="1"/>
  <c r="O759" i="7" s="1"/>
  <c r="M759" i="7"/>
  <c r="G757" i="7"/>
  <c r="B758" i="7" s="1"/>
  <c r="E758" i="7" l="1"/>
  <c r="C758" i="7"/>
  <c r="F758" i="7" l="1"/>
  <c r="D758" i="7"/>
  <c r="P759" i="7" l="1"/>
  <c r="N759" i="7"/>
  <c r="Q759" i="7" s="1"/>
  <c r="L760" i="7" s="1"/>
  <c r="G758" i="7"/>
  <c r="B759" i="7" s="1"/>
  <c r="M760" i="7" l="1"/>
  <c r="E759" i="7"/>
  <c r="C759" i="7"/>
  <c r="F759" i="7" s="1"/>
  <c r="O760" i="7" l="1"/>
  <c r="P760" i="7"/>
  <c r="D759" i="7"/>
  <c r="N760" i="7" l="1"/>
  <c r="Q760" i="7" s="1"/>
  <c r="L761" i="7" s="1"/>
  <c r="G759" i="7"/>
  <c r="B760" i="7" s="1"/>
  <c r="M761" i="7" l="1"/>
  <c r="E760" i="7"/>
  <c r="C760" i="7"/>
  <c r="D760" i="7" s="1"/>
  <c r="O761" i="7" l="1"/>
  <c r="P761" i="7"/>
  <c r="G760" i="7"/>
  <c r="B761" i="7" s="1"/>
  <c r="F760" i="7"/>
  <c r="C761" i="7" l="1"/>
  <c r="F761" i="7" s="1"/>
  <c r="N761" i="7"/>
  <c r="Q761" i="7" s="1"/>
  <c r="M762" i="7" s="1"/>
  <c r="E761" i="7"/>
  <c r="D761" i="7" l="1"/>
  <c r="G761" i="7" s="1"/>
  <c r="C762" i="7" s="1"/>
  <c r="F762" i="7" s="1"/>
  <c r="P762" i="7"/>
  <c r="L762" i="7"/>
  <c r="B762" i="7" l="1"/>
  <c r="E762" i="7" s="1"/>
  <c r="N762" i="7"/>
  <c r="Q762" i="7" s="1"/>
  <c r="O762" i="7"/>
  <c r="L763" i="7" l="1"/>
  <c r="O763" i="7" s="1"/>
  <c r="D762" i="7"/>
  <c r="G762" i="7" s="1"/>
  <c r="C763" i="7" s="1"/>
  <c r="F763" i="7" s="1"/>
  <c r="M763" i="7"/>
  <c r="P763" i="7" s="1"/>
  <c r="N763" i="7" l="1"/>
  <c r="Q763" i="7" s="1"/>
  <c r="M764" i="7" s="1"/>
  <c r="P764" i="7" s="1"/>
  <c r="B763" i="7"/>
  <c r="E763" i="7" s="1"/>
  <c r="L764" i="7" l="1"/>
  <c r="O764" i="7" s="1"/>
  <c r="D763" i="7"/>
  <c r="G763" i="7" s="1"/>
  <c r="C764" i="7" s="1"/>
  <c r="F764" i="7" s="1"/>
  <c r="N764" i="7" l="1"/>
  <c r="Q764" i="7" s="1"/>
  <c r="L765" i="7" s="1"/>
  <c r="B764" i="7"/>
  <c r="M765" i="7" l="1"/>
  <c r="P765" i="7" s="1"/>
  <c r="O765" i="7"/>
  <c r="E764" i="7"/>
  <c r="D764" i="7"/>
  <c r="N765" i="7" l="1"/>
  <c r="Q765" i="7" s="1"/>
  <c r="M766" i="7" s="1"/>
  <c r="G764" i="7"/>
  <c r="C765" i="7" s="1"/>
  <c r="L766" i="7" l="1"/>
  <c r="O766" i="7" s="1"/>
  <c r="P766" i="7"/>
  <c r="F765" i="7"/>
  <c r="B765" i="7"/>
  <c r="N766" i="7" l="1"/>
  <c r="Q766" i="7" s="1"/>
  <c r="L767" i="7" s="1"/>
  <c r="O767" i="7" s="1"/>
  <c r="E765" i="7"/>
  <c r="D765" i="7"/>
  <c r="M767" i="7" l="1"/>
  <c r="G765" i="7"/>
  <c r="C766" i="7" s="1"/>
  <c r="B766" i="7" l="1"/>
  <c r="E766" i="7" s="1"/>
  <c r="F766" i="7"/>
  <c r="D766" i="7" l="1"/>
  <c r="G766" i="7" s="1"/>
  <c r="C767" i="7" s="1"/>
  <c r="F767" i="7" s="1"/>
  <c r="P767" i="7"/>
  <c r="N767" i="7"/>
  <c r="Q767" i="7" s="1"/>
  <c r="L768" i="7" s="1"/>
  <c r="M768" i="7" l="1"/>
  <c r="P768" i="7" s="1"/>
  <c r="B767" i="7"/>
  <c r="E767" i="7" s="1"/>
  <c r="D767" i="7" l="1"/>
  <c r="G767" i="7" s="1"/>
  <c r="C768" i="7" s="1"/>
  <c r="F768" i="7" s="1"/>
  <c r="N768" i="7"/>
  <c r="Q768" i="7" s="1"/>
  <c r="M769" i="7" s="1"/>
  <c r="O768" i="7"/>
  <c r="L769" i="7" l="1"/>
  <c r="O769" i="7" s="1"/>
  <c r="B768" i="7"/>
  <c r="E768" i="7" s="1"/>
  <c r="P769" i="7"/>
  <c r="D768" i="7" l="1"/>
  <c r="G768" i="7" s="1"/>
  <c r="B769" i="7" s="1"/>
  <c r="N769" i="7"/>
  <c r="Q769" i="7" s="1"/>
  <c r="L770" i="7" s="1"/>
  <c r="M770" i="7" l="1"/>
  <c r="E769" i="7"/>
  <c r="C769" i="7"/>
  <c r="F769" i="7" s="1"/>
  <c r="O770" i="7" l="1"/>
  <c r="P770" i="7"/>
  <c r="D769" i="7"/>
  <c r="N770" i="7" l="1"/>
  <c r="Q770" i="7" s="1"/>
  <c r="L771" i="7" s="1"/>
  <c r="G769" i="7"/>
  <c r="B770" i="7" s="1"/>
  <c r="M771" i="7" l="1"/>
  <c r="E770" i="7"/>
  <c r="C770" i="7"/>
  <c r="F770" i="7" s="1"/>
  <c r="O771" i="7" l="1"/>
  <c r="P771" i="7"/>
  <c r="D770" i="7"/>
  <c r="N771" i="7" l="1"/>
  <c r="Q771" i="7" s="1"/>
  <c r="L772" i="7" s="1"/>
  <c r="G770" i="7"/>
  <c r="B771" i="7" s="1"/>
  <c r="M772" i="7" l="1"/>
  <c r="E771" i="7"/>
  <c r="C771" i="7"/>
  <c r="F771" i="7" s="1"/>
  <c r="O772" i="7" l="1"/>
  <c r="P772" i="7"/>
  <c r="D771" i="7"/>
  <c r="N772" i="7" l="1"/>
  <c r="Q772" i="7" s="1"/>
  <c r="L773" i="7" s="1"/>
  <c r="G771" i="7"/>
  <c r="B772" i="7" s="1"/>
  <c r="M773" i="7" l="1"/>
  <c r="E772" i="7"/>
  <c r="C772" i="7"/>
  <c r="P773" i="7" l="1"/>
  <c r="N773" i="7"/>
  <c r="Q773" i="7" s="1"/>
  <c r="O773" i="7"/>
  <c r="F772" i="7"/>
  <c r="D772" i="7"/>
  <c r="L774" i="7" l="1"/>
  <c r="O774" i="7" s="1"/>
  <c r="M774" i="7"/>
  <c r="G772" i="7"/>
  <c r="B773" i="7" s="1"/>
  <c r="E773" i="7" l="1"/>
  <c r="C773" i="7"/>
  <c r="F773" i="7" l="1"/>
  <c r="D773" i="7"/>
  <c r="P774" i="7" l="1"/>
  <c r="N774" i="7"/>
  <c r="Q774" i="7" s="1"/>
  <c r="L775" i="7" s="1"/>
  <c r="G773" i="7"/>
  <c r="B774" i="7" s="1"/>
  <c r="M775" i="7" l="1"/>
  <c r="C774" i="7"/>
  <c r="F774" i="7" s="1"/>
  <c r="E774" i="7"/>
  <c r="D774" i="7" l="1"/>
  <c r="G774" i="7" s="1"/>
  <c r="B775" i="7" s="1"/>
  <c r="O775" i="7"/>
  <c r="P775" i="7"/>
  <c r="N775" i="7" l="1"/>
  <c r="Q775" i="7" s="1"/>
  <c r="L776" i="7" s="1"/>
  <c r="E775" i="7"/>
  <c r="C775" i="7"/>
  <c r="F775" i="7" s="1"/>
  <c r="M776" i="7" l="1"/>
  <c r="P776" i="7" s="1"/>
  <c r="D775" i="7"/>
  <c r="N776" i="7" l="1"/>
  <c r="Q776" i="7" s="1"/>
  <c r="M777" i="7" s="1"/>
  <c r="O776" i="7"/>
  <c r="G775" i="7"/>
  <c r="B776" i="7" s="1"/>
  <c r="L777" i="7" l="1"/>
  <c r="O777" i="7" s="1"/>
  <c r="E776" i="7"/>
  <c r="C776" i="7"/>
  <c r="D776" i="7" s="1"/>
  <c r="G776" i="7" l="1"/>
  <c r="B777" i="7" s="1"/>
  <c r="F776" i="7"/>
  <c r="C777" i="7" l="1"/>
  <c r="F777" i="7" s="1"/>
  <c r="P777" i="7"/>
  <c r="N777" i="7"/>
  <c r="Q777" i="7" s="1"/>
  <c r="L778" i="7" s="1"/>
  <c r="E777" i="7"/>
  <c r="D777" i="7" l="1"/>
  <c r="G777" i="7" s="1"/>
  <c r="C778" i="7" s="1"/>
  <c r="F778" i="7" s="1"/>
  <c r="M778" i="7"/>
  <c r="P778" i="7" s="1"/>
  <c r="N778" i="7" l="1"/>
  <c r="Q778" i="7" s="1"/>
  <c r="O778" i="7"/>
  <c r="B778" i="7"/>
  <c r="E778" i="7" s="1"/>
  <c r="L779" i="7" l="1"/>
  <c r="O779" i="7" s="1"/>
  <c r="D778" i="7"/>
  <c r="G778" i="7" s="1"/>
  <c r="B779" i="7" s="1"/>
  <c r="M779" i="7"/>
  <c r="P779" i="7" s="1"/>
  <c r="N779" i="7" l="1"/>
  <c r="Q779" i="7" s="1"/>
  <c r="M780" i="7" s="1"/>
  <c r="E779" i="7"/>
  <c r="C779" i="7"/>
  <c r="F779" i="7" s="1"/>
  <c r="L780" i="7" l="1"/>
  <c r="O780" i="7" s="1"/>
  <c r="P780" i="7"/>
  <c r="D779" i="7"/>
  <c r="N780" i="7" l="1"/>
  <c r="Q780" i="7" s="1"/>
  <c r="L781" i="7" s="1"/>
  <c r="G779" i="7"/>
  <c r="B780" i="7" s="1"/>
  <c r="M781" i="7" l="1"/>
  <c r="E780" i="7"/>
  <c r="C780" i="7"/>
  <c r="P781" i="7" l="1"/>
  <c r="N781" i="7"/>
  <c r="Q781" i="7" s="1"/>
  <c r="O781" i="7"/>
  <c r="F780" i="7"/>
  <c r="D780" i="7"/>
  <c r="M782" i="7" l="1"/>
  <c r="L782" i="7"/>
  <c r="O782" i="7" s="1"/>
  <c r="G780" i="7"/>
  <c r="B781" i="7" s="1"/>
  <c r="E781" i="7" l="1"/>
  <c r="C781" i="7"/>
  <c r="F781" i="7" l="1"/>
  <c r="D781" i="7"/>
  <c r="P782" i="7" l="1"/>
  <c r="N782" i="7"/>
  <c r="Q782" i="7" s="1"/>
  <c r="L783" i="7" s="1"/>
  <c r="G781" i="7"/>
  <c r="B782" i="7" s="1"/>
  <c r="M783" i="7" l="1"/>
  <c r="E782" i="7"/>
  <c r="C782" i="7"/>
  <c r="F782" i="7" s="1"/>
  <c r="O783" i="7" l="1"/>
  <c r="P783" i="7"/>
  <c r="D782" i="7"/>
  <c r="N783" i="7" l="1"/>
  <c r="Q783" i="7" s="1"/>
  <c r="L784" i="7" s="1"/>
  <c r="G782" i="7"/>
  <c r="B783" i="7" s="1"/>
  <c r="M784" i="7" l="1"/>
  <c r="E783" i="7"/>
  <c r="C783" i="7"/>
  <c r="P784" i="7" l="1"/>
  <c r="O784" i="7"/>
  <c r="N784" i="7"/>
  <c r="Q784" i="7" s="1"/>
  <c r="F783" i="7"/>
  <c r="D783" i="7"/>
  <c r="M785" i="7" l="1"/>
  <c r="L785" i="7"/>
  <c r="G783" i="7"/>
  <c r="B784" i="7" s="1"/>
  <c r="O785" i="7" l="1"/>
  <c r="E784" i="7"/>
  <c r="C784" i="7"/>
  <c r="F784" i="7" l="1"/>
  <c r="D784" i="7"/>
  <c r="P785" i="7" l="1"/>
  <c r="N785" i="7"/>
  <c r="Q785" i="7" s="1"/>
  <c r="L786" i="7" s="1"/>
  <c r="G784" i="7"/>
  <c r="B785" i="7" s="1"/>
  <c r="M786" i="7" l="1"/>
  <c r="C785" i="7"/>
  <c r="F785" i="7" s="1"/>
  <c r="E785" i="7"/>
  <c r="D785" i="7" l="1"/>
  <c r="G785" i="7" s="1"/>
  <c r="C786" i="7" s="1"/>
  <c r="F786" i="7" s="1"/>
  <c r="O786" i="7"/>
  <c r="P786" i="7"/>
  <c r="B786" i="7" l="1"/>
  <c r="D786" i="7" s="1"/>
  <c r="N786" i="7"/>
  <c r="Q786" i="7" s="1"/>
  <c r="E786" i="7" l="1"/>
  <c r="M787" i="7"/>
  <c r="P787" i="7" s="1"/>
  <c r="L787" i="7"/>
  <c r="G786" i="7"/>
  <c r="C787" i="7" s="1"/>
  <c r="F787" i="7" s="1"/>
  <c r="N787" i="7" l="1"/>
  <c r="Q787" i="7" s="1"/>
  <c r="M788" i="7" s="1"/>
  <c r="P788" i="7" s="1"/>
  <c r="O787" i="7"/>
  <c r="B787" i="7"/>
  <c r="L788" i="7" l="1"/>
  <c r="O788" i="7" s="1"/>
  <c r="D787" i="7"/>
  <c r="E787" i="7"/>
  <c r="N788" i="7" l="1"/>
  <c r="Q788" i="7" s="1"/>
  <c r="L789" i="7" s="1"/>
  <c r="G787" i="7"/>
  <c r="C788" i="7" s="1"/>
  <c r="M789" i="7" l="1"/>
  <c r="P789" i="7" s="1"/>
  <c r="B788" i="7"/>
  <c r="D788" i="7" s="1"/>
  <c r="O789" i="7"/>
  <c r="F788" i="7"/>
  <c r="N789" i="7" l="1"/>
  <c r="Q789" i="7" s="1"/>
  <c r="M790" i="7" s="1"/>
  <c r="E788" i="7"/>
  <c r="G788" i="7"/>
  <c r="L790" i="7" l="1"/>
  <c r="O790" i="7" s="1"/>
  <c r="B789" i="7"/>
  <c r="E789" i="7" s="1"/>
  <c r="C789" i="7"/>
  <c r="P790" i="7" s="1"/>
  <c r="N790" i="7" l="1"/>
  <c r="Q790" i="7" s="1"/>
  <c r="L791" i="7" s="1"/>
  <c r="F789" i="7"/>
  <c r="D789" i="7"/>
  <c r="M791" i="7" l="1"/>
  <c r="G789" i="7"/>
  <c r="B790" i="7" s="1"/>
  <c r="O791" i="7" l="1"/>
  <c r="E790" i="7"/>
  <c r="C790" i="7"/>
  <c r="P791" i="7" s="1"/>
  <c r="N791" i="7" l="1"/>
  <c r="Q791" i="7" s="1"/>
  <c r="L792" i="7" s="1"/>
  <c r="F790" i="7"/>
  <c r="D790" i="7"/>
  <c r="M792" i="7" l="1"/>
  <c r="G790" i="7"/>
  <c r="B791" i="7" s="1"/>
  <c r="O792" i="7" l="1"/>
  <c r="E791" i="7"/>
  <c r="C791" i="7"/>
  <c r="F791" i="7" l="1"/>
  <c r="D791" i="7"/>
  <c r="P792" i="7" l="1"/>
  <c r="N792" i="7"/>
  <c r="Q792" i="7" s="1"/>
  <c r="L793" i="7" s="1"/>
  <c r="G791" i="7"/>
  <c r="B792" i="7" s="1"/>
  <c r="M793" i="7" l="1"/>
  <c r="E792" i="7"/>
  <c r="C792" i="7"/>
  <c r="F792" i="7" s="1"/>
  <c r="O793" i="7" l="1"/>
  <c r="P793" i="7"/>
  <c r="D792" i="7"/>
  <c r="N793" i="7" l="1"/>
  <c r="Q793" i="7" s="1"/>
  <c r="L794" i="7" s="1"/>
  <c r="G792" i="7"/>
  <c r="B793" i="7" s="1"/>
  <c r="M794" i="7" l="1"/>
  <c r="E793" i="7"/>
  <c r="C793" i="7"/>
  <c r="P794" i="7" l="1"/>
  <c r="N794" i="7"/>
  <c r="Q794" i="7" s="1"/>
  <c r="O794" i="7"/>
  <c r="F793" i="7"/>
  <c r="D793" i="7"/>
  <c r="M795" i="7" l="1"/>
  <c r="L795" i="7"/>
  <c r="O795" i="7" s="1"/>
  <c r="G793" i="7"/>
  <c r="B794" i="7" s="1"/>
  <c r="E794" i="7" l="1"/>
  <c r="C794" i="7"/>
  <c r="F794" i="7" l="1"/>
  <c r="D794" i="7"/>
  <c r="P795" i="7" l="1"/>
  <c r="N795" i="7"/>
  <c r="Q795" i="7" s="1"/>
  <c r="L796" i="7" s="1"/>
  <c r="G794" i="7"/>
  <c r="B795" i="7" s="1"/>
  <c r="M796" i="7" l="1"/>
  <c r="E795" i="7"/>
  <c r="C795" i="7"/>
  <c r="F795" i="7" s="1"/>
  <c r="O796" i="7" l="1"/>
  <c r="P796" i="7"/>
  <c r="D795" i="7"/>
  <c r="N796" i="7" l="1"/>
  <c r="Q796" i="7" s="1"/>
  <c r="L797" i="7" s="1"/>
  <c r="G795" i="7"/>
  <c r="B796" i="7" s="1"/>
  <c r="M797" i="7" l="1"/>
  <c r="E796" i="7"/>
  <c r="C796" i="7"/>
  <c r="D796" i="7" s="1"/>
  <c r="O797" i="7" l="1"/>
  <c r="P797" i="7"/>
  <c r="G796" i="7"/>
  <c r="B797" i="7" s="1"/>
  <c r="F796" i="7"/>
  <c r="C797" i="7" l="1"/>
  <c r="F797" i="7" s="1"/>
  <c r="N797" i="7"/>
  <c r="Q797" i="7" s="1"/>
  <c r="E797" i="7"/>
  <c r="D797" i="7" l="1"/>
  <c r="G797" i="7" s="1"/>
  <c r="C798" i="7" s="1"/>
  <c r="F798" i="7" s="1"/>
  <c r="M798" i="7"/>
  <c r="P798" i="7" s="1"/>
  <c r="L798" i="7"/>
  <c r="N798" i="7" l="1"/>
  <c r="Q798" i="7" s="1"/>
  <c r="O798" i="7"/>
  <c r="B798" i="7"/>
  <c r="L799" i="7" l="1"/>
  <c r="O799" i="7" s="1"/>
  <c r="M799" i="7"/>
  <c r="P799" i="7" s="1"/>
  <c r="E798" i="7"/>
  <c r="D798" i="7"/>
  <c r="N799" i="7" l="1"/>
  <c r="Q799" i="7" s="1"/>
  <c r="L800" i="7" s="1"/>
  <c r="O800" i="7" s="1"/>
  <c r="G798" i="7"/>
  <c r="B799" i="7" s="1"/>
  <c r="M800" i="7" l="1"/>
  <c r="E799" i="7"/>
  <c r="C799" i="7"/>
  <c r="P800" i="7" l="1"/>
  <c r="N800" i="7"/>
  <c r="Q800" i="7" s="1"/>
  <c r="L801" i="7" s="1"/>
  <c r="F799" i="7"/>
  <c r="D799" i="7"/>
  <c r="M801" i="7" l="1"/>
  <c r="G799" i="7"/>
  <c r="B800" i="7" s="1"/>
  <c r="O801" i="7" l="1"/>
  <c r="E800" i="7"/>
  <c r="C800" i="7"/>
  <c r="D800" i="7" l="1"/>
  <c r="G800" i="7" s="1"/>
  <c r="B801" i="7" s="1"/>
  <c r="F800" i="7"/>
  <c r="C801" i="7" l="1"/>
  <c r="F801" i="7" s="1"/>
  <c r="P801" i="7"/>
  <c r="N801" i="7"/>
  <c r="Q801" i="7" s="1"/>
  <c r="L802" i="7" s="1"/>
  <c r="E801" i="7"/>
  <c r="D801" i="7" l="1"/>
  <c r="G801" i="7" s="1"/>
  <c r="C802" i="7" s="1"/>
  <c r="F802" i="7" s="1"/>
  <c r="M802" i="7"/>
  <c r="P802" i="7" s="1"/>
  <c r="N802" i="7" l="1"/>
  <c r="Q802" i="7" s="1"/>
  <c r="O802" i="7"/>
  <c r="B802" i="7"/>
  <c r="E802" i="7" s="1"/>
  <c r="L803" i="7" l="1"/>
  <c r="O803" i="7" s="1"/>
  <c r="M803" i="7"/>
  <c r="P803" i="7" s="1"/>
  <c r="D802" i="7"/>
  <c r="G802" i="7" s="1"/>
  <c r="C803" i="7" s="1"/>
  <c r="F803" i="7" s="1"/>
  <c r="N803" i="7" l="1"/>
  <c r="Q803" i="7" s="1"/>
  <c r="L804" i="7" s="1"/>
  <c r="O804" i="7" s="1"/>
  <c r="B803" i="7"/>
  <c r="E803" i="7" s="1"/>
  <c r="M804" i="7" l="1"/>
  <c r="P804" i="7" s="1"/>
  <c r="D803" i="7"/>
  <c r="G803" i="7" s="1"/>
  <c r="C804" i="7" s="1"/>
  <c r="F804" i="7" s="1"/>
  <c r="N804" i="7" l="1"/>
  <c r="Q804" i="7" s="1"/>
  <c r="L805" i="7" s="1"/>
  <c r="B804" i="7"/>
  <c r="D804" i="7" s="1"/>
  <c r="M805" i="7" l="1"/>
  <c r="P805" i="7" s="1"/>
  <c r="E804" i="7"/>
  <c r="O805" i="7"/>
  <c r="G804" i="7"/>
  <c r="N805" i="7" l="1"/>
  <c r="Q805" i="7" s="1"/>
  <c r="M806" i="7" s="1"/>
  <c r="B805" i="7"/>
  <c r="E805" i="7" s="1"/>
  <c r="C805" i="7"/>
  <c r="F805" i="7" s="1"/>
  <c r="L806" i="7" l="1"/>
  <c r="O806" i="7" s="1"/>
  <c r="D805" i="7"/>
  <c r="P806" i="7" l="1"/>
  <c r="N806" i="7"/>
  <c r="Q806" i="7" s="1"/>
  <c r="L807" i="7" s="1"/>
  <c r="G805" i="7"/>
  <c r="B806" i="7" s="1"/>
  <c r="M807" i="7" l="1"/>
  <c r="E806" i="7"/>
  <c r="C806" i="7"/>
  <c r="D806" i="7" s="1"/>
  <c r="O807" i="7" l="1"/>
  <c r="P807" i="7"/>
  <c r="G806" i="7"/>
  <c r="B807" i="7" s="1"/>
  <c r="F806" i="7"/>
  <c r="C807" i="7" l="1"/>
  <c r="F807" i="7" s="1"/>
  <c r="N807" i="7"/>
  <c r="Q807" i="7" s="1"/>
  <c r="E807" i="7"/>
  <c r="D807" i="7" l="1"/>
  <c r="G807" i="7" s="1"/>
  <c r="B808" i="7" s="1"/>
  <c r="M808" i="7"/>
  <c r="P808" i="7" s="1"/>
  <c r="L808" i="7"/>
  <c r="N808" i="7" l="1"/>
  <c r="Q808" i="7" s="1"/>
  <c r="M809" i="7" s="1"/>
  <c r="O808" i="7"/>
  <c r="E808" i="7"/>
  <c r="C808" i="7"/>
  <c r="F808" i="7" s="1"/>
  <c r="L809" i="7" l="1"/>
  <c r="O809" i="7" s="1"/>
  <c r="P809" i="7"/>
  <c r="D808" i="7"/>
  <c r="N809" i="7" l="1"/>
  <c r="Q809" i="7" s="1"/>
  <c r="L810" i="7" s="1"/>
  <c r="G808" i="7"/>
  <c r="B809" i="7" s="1"/>
  <c r="M810" i="7" l="1"/>
  <c r="E809" i="7"/>
  <c r="C809" i="7"/>
  <c r="F809" i="7" s="1"/>
  <c r="O810" i="7" l="1"/>
  <c r="P810" i="7"/>
  <c r="D809" i="7"/>
  <c r="N810" i="7" l="1"/>
  <c r="Q810" i="7" s="1"/>
  <c r="L811" i="7" s="1"/>
  <c r="G809" i="7"/>
  <c r="B810" i="7" s="1"/>
  <c r="M811" i="7" l="1"/>
  <c r="E810" i="7"/>
  <c r="C810" i="7"/>
  <c r="F810" i="7" s="1"/>
  <c r="O811" i="7" l="1"/>
  <c r="P811" i="7"/>
  <c r="D810" i="7"/>
  <c r="N811" i="7" l="1"/>
  <c r="Q811" i="7" s="1"/>
  <c r="L812" i="7" s="1"/>
  <c r="G810" i="7"/>
  <c r="B811" i="7" s="1"/>
  <c r="M812" i="7" l="1"/>
  <c r="E811" i="7"/>
  <c r="C811" i="7"/>
  <c r="P812" i="7" l="1"/>
  <c r="O812" i="7"/>
  <c r="N812" i="7"/>
  <c r="Q812" i="7" s="1"/>
  <c r="F811" i="7"/>
  <c r="D811" i="7"/>
  <c r="M813" i="7" l="1"/>
  <c r="L813" i="7"/>
  <c r="G811" i="7"/>
  <c r="B812" i="7" s="1"/>
  <c r="O813" i="7" l="1"/>
  <c r="E812" i="7"/>
  <c r="C812" i="7"/>
  <c r="F812" i="7" l="1"/>
  <c r="D812" i="7"/>
  <c r="P813" i="7" l="1"/>
  <c r="N813" i="7"/>
  <c r="Q813" i="7" s="1"/>
  <c r="L814" i="7" s="1"/>
  <c r="G812" i="7"/>
  <c r="B813" i="7" s="1"/>
  <c r="M814" i="7" l="1"/>
  <c r="E813" i="7"/>
  <c r="C813" i="7"/>
  <c r="P814" i="7" l="1"/>
  <c r="N814" i="7"/>
  <c r="Q814" i="7" s="1"/>
  <c r="O814" i="7"/>
  <c r="F813" i="7"/>
  <c r="D813" i="7"/>
  <c r="L815" i="7" l="1"/>
  <c r="O815" i="7" s="1"/>
  <c r="M815" i="7"/>
  <c r="G813" i="7"/>
  <c r="B814" i="7" s="1"/>
  <c r="E814" i="7" l="1"/>
  <c r="C814" i="7"/>
  <c r="F814" i="7" l="1"/>
  <c r="D814" i="7"/>
  <c r="P815" i="7" l="1"/>
  <c r="N815" i="7"/>
  <c r="Q815" i="7" s="1"/>
  <c r="L816" i="7" s="1"/>
  <c r="G814" i="7"/>
  <c r="B815" i="7" s="1"/>
  <c r="M816" i="7" l="1"/>
  <c r="E815" i="7"/>
  <c r="C815" i="7"/>
  <c r="F815" i="7" s="1"/>
  <c r="O816" i="7" l="1"/>
  <c r="P816" i="7"/>
  <c r="D815" i="7"/>
  <c r="N816" i="7" l="1"/>
  <c r="Q816" i="7" s="1"/>
  <c r="L817" i="7" s="1"/>
  <c r="G815" i="7"/>
  <c r="B816" i="7" s="1"/>
  <c r="M817" i="7" l="1"/>
  <c r="E816" i="7"/>
  <c r="C816" i="7"/>
  <c r="P817" i="7" l="1"/>
  <c r="O817" i="7"/>
  <c r="N817" i="7"/>
  <c r="Q817" i="7" s="1"/>
  <c r="F816" i="7"/>
  <c r="D816" i="7"/>
  <c r="M818" i="7" l="1"/>
  <c r="L818" i="7"/>
  <c r="G816" i="7"/>
  <c r="B817" i="7" s="1"/>
  <c r="O818" i="7" l="1"/>
  <c r="E817" i="7"/>
  <c r="C817" i="7"/>
  <c r="P818" i="7" s="1"/>
  <c r="N818" i="7" l="1"/>
  <c r="Q818" i="7" s="1"/>
  <c r="L819" i="7" s="1"/>
  <c r="F817" i="7"/>
  <c r="D817" i="7"/>
  <c r="M819" i="7" l="1"/>
  <c r="O819" i="7"/>
  <c r="G817" i="7"/>
  <c r="B818" i="7" s="1"/>
  <c r="E818" i="7" l="1"/>
  <c r="C818" i="7"/>
  <c r="F818" i="7" l="1"/>
  <c r="D818" i="7"/>
  <c r="P819" i="7" l="1"/>
  <c r="N819" i="7"/>
  <c r="Q819" i="7" s="1"/>
  <c r="L820" i="7" s="1"/>
  <c r="G818" i="7"/>
  <c r="B819" i="7" s="1"/>
  <c r="M820" i="7" l="1"/>
  <c r="E819" i="7"/>
  <c r="C819" i="7"/>
  <c r="F819" i="7" s="1"/>
  <c r="O820" i="7" l="1"/>
  <c r="P820" i="7"/>
  <c r="D819" i="7"/>
  <c r="N820" i="7" l="1"/>
  <c r="Q820" i="7" s="1"/>
  <c r="L821" i="7" s="1"/>
  <c r="G819" i="7"/>
  <c r="B820" i="7" s="1"/>
  <c r="M821" i="7" l="1"/>
  <c r="C820" i="7"/>
  <c r="D820" i="7" s="1"/>
  <c r="E820" i="7"/>
  <c r="P821" i="7" l="1"/>
  <c r="O821" i="7"/>
  <c r="N821" i="7"/>
  <c r="Q821" i="7" s="1"/>
  <c r="G820" i="7"/>
  <c r="B821" i="7" s="1"/>
  <c r="F820" i="7"/>
  <c r="M822" i="7" l="1"/>
  <c r="L822" i="7"/>
  <c r="C821" i="7"/>
  <c r="F821" i="7" s="1"/>
  <c r="E821" i="7"/>
  <c r="O822" i="7" l="1"/>
  <c r="P822" i="7"/>
  <c r="D821" i="7"/>
  <c r="G821" i="7" s="1"/>
  <c r="C822" i="7" s="1"/>
  <c r="F822" i="7" s="1"/>
  <c r="B822" i="7" l="1"/>
  <c r="E822" i="7" s="1"/>
  <c r="N822" i="7"/>
  <c r="Q822" i="7" s="1"/>
  <c r="D822" i="7" l="1"/>
  <c r="G822" i="7" s="1"/>
  <c r="C823" i="7" s="1"/>
  <c r="F823" i="7" s="1"/>
  <c r="M823" i="7"/>
  <c r="P823" i="7" s="1"/>
  <c r="L823" i="7"/>
  <c r="B823" i="7" l="1"/>
  <c r="E823" i="7" s="1"/>
  <c r="N823" i="7"/>
  <c r="Q823" i="7" s="1"/>
  <c r="O823" i="7"/>
  <c r="L824" i="7" l="1"/>
  <c r="O824" i="7" s="1"/>
  <c r="D823" i="7"/>
  <c r="G823" i="7" s="1"/>
  <c r="C824" i="7" s="1"/>
  <c r="F824" i="7" s="1"/>
  <c r="M824" i="7"/>
  <c r="P824" i="7" s="1"/>
  <c r="N824" i="7" l="1"/>
  <c r="Q824" i="7" s="1"/>
  <c r="L825" i="7" s="1"/>
  <c r="O825" i="7" s="1"/>
  <c r="B824" i="7"/>
  <c r="E824" i="7" s="1"/>
  <c r="M825" i="7" l="1"/>
  <c r="P825" i="7" s="1"/>
  <c r="D824" i="7"/>
  <c r="G824" i="7" s="1"/>
  <c r="B825" i="7" s="1"/>
  <c r="N825" i="7" l="1"/>
  <c r="Q825" i="7" s="1"/>
  <c r="L826" i="7" s="1"/>
  <c r="E825" i="7"/>
  <c r="C825" i="7"/>
  <c r="F825" i="7" s="1"/>
  <c r="M826" i="7" l="1"/>
  <c r="P826" i="7" s="1"/>
  <c r="O826" i="7"/>
  <c r="D825" i="7"/>
  <c r="N826" i="7" l="1"/>
  <c r="Q826" i="7" s="1"/>
  <c r="L827" i="7" s="1"/>
  <c r="G825" i="7"/>
  <c r="B826" i="7" s="1"/>
  <c r="M827" i="7" l="1"/>
  <c r="E826" i="7"/>
  <c r="C826" i="7"/>
  <c r="P827" i="7" l="1"/>
  <c r="N827" i="7"/>
  <c r="Q827" i="7" s="1"/>
  <c r="O827" i="7"/>
  <c r="F826" i="7"/>
  <c r="D826" i="7"/>
  <c r="L828" i="7" l="1"/>
  <c r="O828" i="7" s="1"/>
  <c r="M828" i="7"/>
  <c r="G826" i="7"/>
  <c r="B827" i="7" s="1"/>
  <c r="E827" i="7" l="1"/>
  <c r="C827" i="7"/>
  <c r="F827" i="7" l="1"/>
  <c r="D827" i="7"/>
  <c r="P828" i="7" l="1"/>
  <c r="N828" i="7"/>
  <c r="Q828" i="7" s="1"/>
  <c r="L829" i="7" s="1"/>
  <c r="G827" i="7"/>
  <c r="B828" i="7" s="1"/>
  <c r="M829" i="7" l="1"/>
  <c r="E828" i="7"/>
  <c r="C828" i="7"/>
  <c r="F828" i="7" s="1"/>
  <c r="O829" i="7" l="1"/>
  <c r="P829" i="7"/>
  <c r="D828" i="7"/>
  <c r="N829" i="7" l="1"/>
  <c r="Q829" i="7" s="1"/>
  <c r="L830" i="7" s="1"/>
  <c r="G828" i="7"/>
  <c r="B829" i="7" s="1"/>
  <c r="M830" i="7" l="1"/>
  <c r="O830" i="7"/>
  <c r="E829" i="7"/>
  <c r="C829" i="7"/>
  <c r="D829" i="7" s="1"/>
  <c r="G829" i="7" l="1"/>
  <c r="B830" i="7" s="1"/>
  <c r="F829" i="7"/>
  <c r="C830" i="7" l="1"/>
  <c r="F830" i="7" s="1"/>
  <c r="P830" i="7"/>
  <c r="N830" i="7"/>
  <c r="Q830" i="7" s="1"/>
  <c r="L831" i="7" s="1"/>
  <c r="E830" i="7"/>
  <c r="D830" i="7" l="1"/>
  <c r="G830" i="7" s="1"/>
  <c r="C831" i="7" s="1"/>
  <c r="F831" i="7" s="1"/>
  <c r="M831" i="7"/>
  <c r="P831" i="7" s="1"/>
  <c r="N831" i="7" l="1"/>
  <c r="Q831" i="7" s="1"/>
  <c r="O831" i="7"/>
  <c r="B831" i="7"/>
  <c r="E831" i="7" s="1"/>
  <c r="L832" i="7" l="1"/>
  <c r="O832" i="7" s="1"/>
  <c r="D831" i="7"/>
  <c r="G831" i="7" s="1"/>
  <c r="B832" i="7" s="1"/>
  <c r="M832" i="7"/>
  <c r="P832" i="7" s="1"/>
  <c r="N832" i="7" l="1"/>
  <c r="Q832" i="7" s="1"/>
  <c r="M833" i="7" s="1"/>
  <c r="E832" i="7"/>
  <c r="C832" i="7"/>
  <c r="F832" i="7" s="1"/>
  <c r="L833" i="7" l="1"/>
  <c r="O833" i="7" s="1"/>
  <c r="P833" i="7"/>
  <c r="D832" i="7"/>
  <c r="N833" i="7" l="1"/>
  <c r="Q833" i="7" s="1"/>
  <c r="L834" i="7" s="1"/>
  <c r="G832" i="7"/>
  <c r="B833" i="7" s="1"/>
  <c r="M834" i="7" l="1"/>
  <c r="E833" i="7"/>
  <c r="C833" i="7"/>
  <c r="P834" i="7" l="1"/>
  <c r="N834" i="7"/>
  <c r="Q834" i="7" s="1"/>
  <c r="O834" i="7"/>
  <c r="F833" i="7"/>
  <c r="D833" i="7"/>
  <c r="M835" i="7" l="1"/>
  <c r="L835" i="7"/>
  <c r="O835" i="7" s="1"/>
  <c r="G833" i="7"/>
  <c r="B834" i="7" s="1"/>
  <c r="E834" i="7" l="1"/>
  <c r="C834" i="7"/>
  <c r="F834" i="7" l="1"/>
  <c r="D834" i="7"/>
  <c r="P835" i="7" l="1"/>
  <c r="N835" i="7"/>
  <c r="Q835" i="7" s="1"/>
  <c r="L836" i="7" s="1"/>
  <c r="G834" i="7"/>
  <c r="B835" i="7" s="1"/>
  <c r="M836" i="7" l="1"/>
  <c r="O836" i="7"/>
  <c r="E835" i="7"/>
  <c r="C835" i="7"/>
  <c r="F835" i="7" s="1"/>
  <c r="D835" i="7" l="1"/>
  <c r="P836" i="7" l="1"/>
  <c r="N836" i="7"/>
  <c r="Q836" i="7" s="1"/>
  <c r="L837" i="7" s="1"/>
  <c r="G835" i="7"/>
  <c r="B836" i="7" s="1"/>
  <c r="M837" i="7" l="1"/>
  <c r="E836" i="7"/>
  <c r="C836" i="7"/>
  <c r="D836" i="7" s="1"/>
  <c r="O837" i="7" l="1"/>
  <c r="P837" i="7"/>
  <c r="G836" i="7"/>
  <c r="B837" i="7" s="1"/>
  <c r="F836" i="7"/>
  <c r="C837" i="7" l="1"/>
  <c r="F837" i="7" s="1"/>
  <c r="N837" i="7"/>
  <c r="Q837" i="7" s="1"/>
  <c r="E837" i="7"/>
  <c r="D837" i="7" l="1"/>
  <c r="G837" i="7" s="1"/>
  <c r="C838" i="7" s="1"/>
  <c r="F838" i="7" s="1"/>
  <c r="M838" i="7"/>
  <c r="P838" i="7" s="1"/>
  <c r="L838" i="7"/>
  <c r="N838" i="7" l="1"/>
  <c r="Q838" i="7" s="1"/>
  <c r="O838" i="7"/>
  <c r="B838" i="7"/>
  <c r="L839" i="7" l="1"/>
  <c r="O839" i="7" s="1"/>
  <c r="M839" i="7"/>
  <c r="P839" i="7" s="1"/>
  <c r="E838" i="7"/>
  <c r="D838" i="7"/>
  <c r="N839" i="7" l="1"/>
  <c r="Q839" i="7" s="1"/>
  <c r="M840" i="7" s="1"/>
  <c r="G838" i="7"/>
  <c r="B839" i="7" s="1"/>
  <c r="L840" i="7" l="1"/>
  <c r="O840" i="7" s="1"/>
  <c r="E839" i="7"/>
  <c r="C839" i="7"/>
  <c r="P840" i="7" l="1"/>
  <c r="N840" i="7"/>
  <c r="Q840" i="7" s="1"/>
  <c r="L841" i="7" s="1"/>
  <c r="F839" i="7"/>
  <c r="D839" i="7"/>
  <c r="M841" i="7" l="1"/>
  <c r="O841" i="7"/>
  <c r="G839" i="7"/>
  <c r="B840" i="7" s="1"/>
  <c r="E840" i="7" l="1"/>
  <c r="C840" i="7"/>
  <c r="P841" i="7" l="1"/>
  <c r="N841" i="7"/>
  <c r="Q841" i="7" s="1"/>
  <c r="L842" i="7" s="1"/>
  <c r="F840" i="7"/>
  <c r="D840" i="7"/>
  <c r="M842" i="7" l="1"/>
  <c r="G840" i="7"/>
  <c r="B841" i="7" s="1"/>
  <c r="O842" i="7" l="1"/>
  <c r="E841" i="7"/>
  <c r="C841" i="7"/>
  <c r="F841" i="7" l="1"/>
  <c r="D841" i="7"/>
  <c r="P842" i="7" l="1"/>
  <c r="N842" i="7"/>
  <c r="Q842" i="7" s="1"/>
  <c r="L843" i="7" s="1"/>
  <c r="G841" i="7"/>
  <c r="B842" i="7" s="1"/>
  <c r="M843" i="7" l="1"/>
  <c r="E842" i="7"/>
  <c r="C842" i="7"/>
  <c r="F842" i="7" s="1"/>
  <c r="O843" i="7" l="1"/>
  <c r="P843" i="7"/>
  <c r="D842" i="7"/>
  <c r="N843" i="7" l="1"/>
  <c r="Q843" i="7" s="1"/>
  <c r="L844" i="7" s="1"/>
  <c r="G842" i="7"/>
  <c r="B843" i="7" s="1"/>
  <c r="M844" i="7" l="1"/>
  <c r="O844" i="7"/>
  <c r="E843" i="7"/>
  <c r="C843" i="7"/>
  <c r="P844" i="7" l="1"/>
  <c r="N844" i="7"/>
  <c r="Q844" i="7" s="1"/>
  <c r="L845" i="7" s="1"/>
  <c r="F843" i="7"/>
  <c r="D843" i="7"/>
  <c r="M845" i="7" l="1"/>
  <c r="O845" i="7"/>
  <c r="G843" i="7"/>
  <c r="B844" i="7" s="1"/>
  <c r="E844" i="7" l="1"/>
  <c r="C844" i="7"/>
  <c r="F844" i="7" l="1"/>
  <c r="D844" i="7"/>
  <c r="P845" i="7" l="1"/>
  <c r="N845" i="7"/>
  <c r="Q845" i="7" s="1"/>
  <c r="L846" i="7" s="1"/>
  <c r="G844" i="7"/>
  <c r="B845" i="7" s="1"/>
  <c r="M846" i="7" l="1"/>
  <c r="E845" i="7"/>
  <c r="C845" i="7"/>
  <c r="F845" i="7" s="1"/>
  <c r="O846" i="7" l="1"/>
  <c r="P846" i="7"/>
  <c r="D845" i="7"/>
  <c r="N846" i="7" l="1"/>
  <c r="Q846" i="7" s="1"/>
  <c r="L847" i="7" s="1"/>
  <c r="G845" i="7"/>
  <c r="B846" i="7" s="1"/>
  <c r="M847" i="7" l="1"/>
  <c r="O847" i="7"/>
  <c r="E846" i="7"/>
  <c r="C846" i="7"/>
  <c r="P847" i="7" l="1"/>
  <c r="N847" i="7"/>
  <c r="Q847" i="7" s="1"/>
  <c r="L848" i="7" s="1"/>
  <c r="F846" i="7"/>
  <c r="D846" i="7"/>
  <c r="M848" i="7" l="1"/>
  <c r="O848" i="7"/>
  <c r="G846" i="7"/>
  <c r="B847" i="7" s="1"/>
  <c r="E847" i="7" l="1"/>
  <c r="C847" i="7"/>
  <c r="F847" i="7" l="1"/>
  <c r="D847" i="7"/>
  <c r="P848" i="7" l="1"/>
  <c r="N848" i="7"/>
  <c r="Q848" i="7" s="1"/>
  <c r="L849" i="7" s="1"/>
  <c r="G847" i="7"/>
  <c r="B848" i="7" s="1"/>
  <c r="M849" i="7" l="1"/>
  <c r="C848" i="7"/>
  <c r="F848" i="7" s="1"/>
  <c r="E848" i="7"/>
  <c r="D848" i="7" l="1"/>
  <c r="G848" i="7" s="1"/>
  <c r="C849" i="7" s="1"/>
  <c r="F849" i="7" s="1"/>
  <c r="O849" i="7"/>
  <c r="P849" i="7"/>
  <c r="N849" i="7" l="1"/>
  <c r="Q849" i="7" s="1"/>
  <c r="B849" i="7"/>
  <c r="M850" i="7" l="1"/>
  <c r="P850" i="7" s="1"/>
  <c r="L850" i="7"/>
  <c r="E849" i="7"/>
  <c r="D849" i="7"/>
  <c r="N850" i="7" l="1"/>
  <c r="Q850" i="7" s="1"/>
  <c r="M851" i="7" s="1"/>
  <c r="O850" i="7"/>
  <c r="G849" i="7"/>
  <c r="B850" i="7" s="1"/>
  <c r="L851" i="7" l="1"/>
  <c r="O851" i="7" s="1"/>
  <c r="E850" i="7"/>
  <c r="C850" i="7"/>
  <c r="P851" i="7" l="1"/>
  <c r="N851" i="7"/>
  <c r="Q851" i="7" s="1"/>
  <c r="L852" i="7" s="1"/>
  <c r="F850" i="7"/>
  <c r="D850" i="7"/>
  <c r="M852" i="7" l="1"/>
  <c r="O852" i="7"/>
  <c r="G850" i="7"/>
  <c r="B851" i="7" s="1"/>
  <c r="E851" i="7" l="1"/>
  <c r="C851" i="7"/>
  <c r="P852" i="7" l="1"/>
  <c r="N852" i="7"/>
  <c r="Q852" i="7" s="1"/>
  <c r="L853" i="7" s="1"/>
  <c r="F851" i="7"/>
  <c r="D851" i="7"/>
  <c r="M853" i="7" l="1"/>
  <c r="G851" i="7"/>
  <c r="B852" i="7" s="1"/>
  <c r="O853" i="7" l="1"/>
  <c r="E852" i="7"/>
  <c r="C852" i="7"/>
  <c r="F852" i="7" l="1"/>
  <c r="D852" i="7"/>
  <c r="P853" i="7" l="1"/>
  <c r="N853" i="7"/>
  <c r="Q853" i="7" s="1"/>
  <c r="L854" i="7" s="1"/>
  <c r="G852" i="7"/>
  <c r="B853" i="7" s="1"/>
  <c r="M854" i="7" l="1"/>
  <c r="E853" i="7"/>
  <c r="C853" i="7"/>
  <c r="F853" i="7" s="1"/>
  <c r="O854" i="7" l="1"/>
  <c r="P854" i="7"/>
  <c r="D853" i="7"/>
  <c r="N854" i="7" l="1"/>
  <c r="Q854" i="7" s="1"/>
  <c r="L855" i="7" s="1"/>
  <c r="G853" i="7"/>
  <c r="B854" i="7" s="1"/>
  <c r="M855" i="7" l="1"/>
  <c r="E854" i="7"/>
  <c r="C854" i="7"/>
  <c r="P855" i="7" l="1"/>
  <c r="N855" i="7"/>
  <c r="Q855" i="7" s="1"/>
  <c r="O855" i="7"/>
  <c r="F854" i="7"/>
  <c r="D854" i="7"/>
  <c r="M856" i="7" l="1"/>
  <c r="L856" i="7"/>
  <c r="O856" i="7" s="1"/>
  <c r="G854" i="7"/>
  <c r="B855" i="7" s="1"/>
  <c r="E855" i="7" l="1"/>
  <c r="C855" i="7"/>
  <c r="F855" i="7" l="1"/>
  <c r="D855" i="7"/>
  <c r="P856" i="7" l="1"/>
  <c r="N856" i="7"/>
  <c r="Q856" i="7" s="1"/>
  <c r="L857" i="7" s="1"/>
  <c r="G855" i="7"/>
  <c r="B856" i="7" s="1"/>
  <c r="M857" i="7" l="1"/>
  <c r="E856" i="7"/>
  <c r="C856" i="7"/>
  <c r="F856" i="7" s="1"/>
  <c r="O857" i="7" l="1"/>
  <c r="P857" i="7"/>
  <c r="D856" i="7"/>
  <c r="N857" i="7" l="1"/>
  <c r="Q857" i="7" s="1"/>
  <c r="L858" i="7" s="1"/>
  <c r="G856" i="7"/>
  <c r="B857" i="7" s="1"/>
  <c r="M858" i="7" l="1"/>
  <c r="O858" i="7"/>
  <c r="E857" i="7"/>
  <c r="C857" i="7"/>
  <c r="F857" i="7" s="1"/>
  <c r="D857" i="7" l="1"/>
  <c r="P858" i="7" l="1"/>
  <c r="N858" i="7"/>
  <c r="Q858" i="7" s="1"/>
  <c r="L859" i="7" s="1"/>
  <c r="G857" i="7"/>
  <c r="B858" i="7" s="1"/>
  <c r="M859" i="7" l="1"/>
  <c r="C858" i="7"/>
  <c r="F858" i="7" s="1"/>
  <c r="E858" i="7"/>
  <c r="O859" i="7" l="1"/>
  <c r="P859" i="7"/>
  <c r="D858" i="7"/>
  <c r="G858" i="7" s="1"/>
  <c r="B859" i="7" s="1"/>
  <c r="N859" i="7" l="1"/>
  <c r="Q859" i="7" s="1"/>
  <c r="L860" i="7" s="1"/>
  <c r="E859" i="7"/>
  <c r="C859" i="7"/>
  <c r="F859" i="7" s="1"/>
  <c r="M860" i="7" l="1"/>
  <c r="P860" i="7" s="1"/>
  <c r="D859" i="7"/>
  <c r="N860" i="7" l="1"/>
  <c r="Q860" i="7" s="1"/>
  <c r="M861" i="7" s="1"/>
  <c r="O860" i="7"/>
  <c r="G859" i="7"/>
  <c r="B860" i="7" s="1"/>
  <c r="L861" i="7" l="1"/>
  <c r="O861" i="7" s="1"/>
  <c r="E860" i="7"/>
  <c r="C860" i="7"/>
  <c r="P861" i="7" l="1"/>
  <c r="N861" i="7"/>
  <c r="Q861" i="7" s="1"/>
  <c r="L862" i="7" s="1"/>
  <c r="F860" i="7"/>
  <c r="D860" i="7"/>
  <c r="M862" i="7" l="1"/>
  <c r="O862" i="7"/>
  <c r="G860" i="7"/>
  <c r="B861" i="7" s="1"/>
  <c r="E861" i="7" l="1"/>
  <c r="C861" i="7"/>
  <c r="F861" i="7" l="1"/>
  <c r="D861" i="7"/>
  <c r="P862" i="7" l="1"/>
  <c r="N862" i="7"/>
  <c r="Q862" i="7" s="1"/>
  <c r="L863" i="7" s="1"/>
  <c r="G861" i="7"/>
  <c r="B862" i="7" s="1"/>
  <c r="M863" i="7" l="1"/>
  <c r="E862" i="7"/>
  <c r="C862" i="7"/>
  <c r="F862" i="7" s="1"/>
  <c r="O863" i="7" l="1"/>
  <c r="P863" i="7"/>
  <c r="D862" i="7"/>
  <c r="N863" i="7" l="1"/>
  <c r="Q863" i="7" s="1"/>
  <c r="L864" i="7" s="1"/>
  <c r="G862" i="7"/>
  <c r="B863" i="7" s="1"/>
  <c r="M864" i="7" l="1"/>
  <c r="E863" i="7"/>
  <c r="C863" i="7"/>
  <c r="P864" i="7" l="1"/>
  <c r="O864" i="7"/>
  <c r="N864" i="7"/>
  <c r="Q864" i="7" s="1"/>
  <c r="F863" i="7"/>
  <c r="D863" i="7"/>
  <c r="M865" i="7" l="1"/>
  <c r="L865" i="7"/>
  <c r="G863" i="7"/>
  <c r="B864" i="7" s="1"/>
  <c r="O865" i="7" l="1"/>
  <c r="E864" i="7"/>
  <c r="C864" i="7"/>
  <c r="F864" i="7" l="1"/>
  <c r="D864" i="7"/>
  <c r="P865" i="7" l="1"/>
  <c r="N865" i="7"/>
  <c r="Q865" i="7" s="1"/>
  <c r="L866" i="7" s="1"/>
  <c r="G864" i="7"/>
  <c r="B865" i="7" s="1"/>
  <c r="M866" i="7" l="1"/>
  <c r="C865" i="7"/>
  <c r="F865" i="7" s="1"/>
  <c r="E865" i="7"/>
  <c r="D865" i="7" l="1"/>
  <c r="G865" i="7" s="1"/>
  <c r="C866" i="7" s="1"/>
  <c r="F866" i="7" s="1"/>
  <c r="O866" i="7"/>
  <c r="P866" i="7"/>
  <c r="B866" i="7" l="1"/>
  <c r="D866" i="7" s="1"/>
  <c r="N866" i="7"/>
  <c r="Q866" i="7" s="1"/>
  <c r="E866" i="7" l="1"/>
  <c r="M867" i="7"/>
  <c r="P867" i="7" s="1"/>
  <c r="L867" i="7"/>
  <c r="G866" i="7"/>
  <c r="B867" i="7" l="1"/>
  <c r="E867" i="7" s="1"/>
  <c r="N867" i="7"/>
  <c r="Q867" i="7" s="1"/>
  <c r="M868" i="7" s="1"/>
  <c r="O867" i="7"/>
  <c r="C867" i="7"/>
  <c r="F867" i="7" s="1"/>
  <c r="L868" i="7" l="1"/>
  <c r="O868" i="7" s="1"/>
  <c r="P868" i="7"/>
  <c r="D867" i="7"/>
  <c r="N868" i="7" l="1"/>
  <c r="Q868" i="7" s="1"/>
  <c r="L869" i="7" s="1"/>
  <c r="G867" i="7"/>
  <c r="B868" i="7" s="1"/>
  <c r="M869" i="7" l="1"/>
  <c r="E868" i="7"/>
  <c r="C868" i="7"/>
  <c r="F868" i="7" s="1"/>
  <c r="O869" i="7" l="1"/>
  <c r="P869" i="7"/>
  <c r="D868" i="7"/>
  <c r="N869" i="7" l="1"/>
  <c r="Q869" i="7" s="1"/>
  <c r="L870" i="7" s="1"/>
  <c r="G868" i="7"/>
  <c r="B869" i="7" s="1"/>
  <c r="M870" i="7" l="1"/>
  <c r="C869" i="7"/>
  <c r="F869" i="7" s="1"/>
  <c r="E869" i="7"/>
  <c r="D869" i="7" l="1"/>
  <c r="G869" i="7" s="1"/>
  <c r="C870" i="7" s="1"/>
  <c r="F870" i="7" s="1"/>
  <c r="O870" i="7"/>
  <c r="P870" i="7"/>
  <c r="B870" i="7" l="1"/>
  <c r="E870" i="7" s="1"/>
  <c r="N870" i="7"/>
  <c r="Q870" i="7" s="1"/>
  <c r="D870" i="7" l="1"/>
  <c r="G870" i="7" s="1"/>
  <c r="C871" i="7" s="1"/>
  <c r="F871" i="7" s="1"/>
  <c r="M871" i="7"/>
  <c r="P871" i="7" s="1"/>
  <c r="L871" i="7"/>
  <c r="O871" i="7" s="1"/>
  <c r="N871" i="7" l="1"/>
  <c r="Q871" i="7" s="1"/>
  <c r="L872" i="7" s="1"/>
  <c r="B871" i="7"/>
  <c r="D871" i="7" s="1"/>
  <c r="E871" i="7" l="1"/>
  <c r="M872" i="7"/>
  <c r="P872" i="7" s="1"/>
  <c r="O872" i="7"/>
  <c r="G871" i="7"/>
  <c r="B872" i="7" l="1"/>
  <c r="E872" i="7" s="1"/>
  <c r="N872" i="7"/>
  <c r="Q872" i="7" s="1"/>
  <c r="M873" i="7" s="1"/>
  <c r="C872" i="7"/>
  <c r="F872" i="7" s="1"/>
  <c r="L873" i="7" l="1"/>
  <c r="O873" i="7" s="1"/>
  <c r="D872" i="7"/>
  <c r="P873" i="7" l="1"/>
  <c r="N873" i="7"/>
  <c r="Q873" i="7" s="1"/>
  <c r="L874" i="7" s="1"/>
  <c r="G872" i="7"/>
  <c r="B873" i="7" s="1"/>
  <c r="M874" i="7" l="1"/>
  <c r="E873" i="7"/>
  <c r="C873" i="7"/>
  <c r="F873" i="7" s="1"/>
  <c r="O874" i="7" l="1"/>
  <c r="P874" i="7"/>
  <c r="D873" i="7"/>
  <c r="N874" i="7" l="1"/>
  <c r="Q874" i="7" s="1"/>
  <c r="L875" i="7" s="1"/>
  <c r="G873" i="7"/>
  <c r="B874" i="7" s="1"/>
  <c r="M875" i="7" l="1"/>
  <c r="E874" i="7"/>
  <c r="C874" i="7"/>
  <c r="F874" i="7" s="1"/>
  <c r="O875" i="7" l="1"/>
  <c r="P875" i="7"/>
  <c r="D874" i="7"/>
  <c r="N875" i="7" l="1"/>
  <c r="Q875" i="7" s="1"/>
  <c r="L876" i="7" s="1"/>
  <c r="G874" i="7"/>
  <c r="B875" i="7" s="1"/>
  <c r="M876" i="7" l="1"/>
  <c r="E875" i="7"/>
  <c r="C875" i="7"/>
  <c r="D875" i="7" s="1"/>
  <c r="O876" i="7" l="1"/>
  <c r="P876" i="7"/>
  <c r="G875" i="7"/>
  <c r="B876" i="7" s="1"/>
  <c r="F875" i="7"/>
  <c r="N876" i="7" l="1"/>
  <c r="Q876" i="7" s="1"/>
  <c r="L877" i="7" s="1"/>
  <c r="C876" i="7"/>
  <c r="F876" i="7" s="1"/>
  <c r="E876" i="7"/>
  <c r="D876" i="7" l="1"/>
  <c r="G876" i="7" s="1"/>
  <c r="C877" i="7" s="1"/>
  <c r="F877" i="7" s="1"/>
  <c r="M877" i="7"/>
  <c r="P877" i="7" s="1"/>
  <c r="N877" i="7" l="1"/>
  <c r="Q877" i="7" s="1"/>
  <c r="O877" i="7"/>
  <c r="B877" i="7"/>
  <c r="E877" i="7" s="1"/>
  <c r="D877" i="7" l="1"/>
  <c r="G877" i="7" s="1"/>
  <c r="C878" i="7" s="1"/>
  <c r="F878" i="7" s="1"/>
  <c r="M878" i="7"/>
  <c r="L878" i="7"/>
  <c r="O878" i="7" s="1"/>
  <c r="N878" i="7" l="1"/>
  <c r="Q878" i="7" s="1"/>
  <c r="L879" i="7" s="1"/>
  <c r="O879" i="7" s="1"/>
  <c r="P878" i="7"/>
  <c r="B878" i="7"/>
  <c r="E878" i="7" s="1"/>
  <c r="M879" i="7" l="1"/>
  <c r="P879" i="7" s="1"/>
  <c r="D878" i="7"/>
  <c r="G878" i="7" s="1"/>
  <c r="C879" i="7" s="1"/>
  <c r="F879" i="7" s="1"/>
  <c r="N879" i="7" l="1"/>
  <c r="Q879" i="7" s="1"/>
  <c r="L880" i="7" s="1"/>
  <c r="O880" i="7" s="1"/>
  <c r="B879" i="7"/>
  <c r="E879" i="7" s="1"/>
  <c r="M880" i="7" l="1"/>
  <c r="P880" i="7" s="1"/>
  <c r="D879" i="7"/>
  <c r="G879" i="7" s="1"/>
  <c r="C880" i="7" s="1"/>
  <c r="F880" i="7" s="1"/>
  <c r="N880" i="7" l="1"/>
  <c r="Q880" i="7" s="1"/>
  <c r="L881" i="7" s="1"/>
  <c r="B880" i="7"/>
  <c r="E880" i="7" s="1"/>
  <c r="M881" i="7" l="1"/>
  <c r="P881" i="7" s="1"/>
  <c r="D880" i="7"/>
  <c r="G880" i="7" s="1"/>
  <c r="C881" i="7" s="1"/>
  <c r="F881" i="7" s="1"/>
  <c r="O881" i="7"/>
  <c r="N881" i="7" l="1"/>
  <c r="Q881" i="7" s="1"/>
  <c r="M882" i="7" s="1"/>
  <c r="P882" i="7" s="1"/>
  <c r="B881" i="7"/>
  <c r="E881" i="7" s="1"/>
  <c r="L882" i="7" l="1"/>
  <c r="O882" i="7" s="1"/>
  <c r="D881" i="7"/>
  <c r="G881" i="7" s="1"/>
  <c r="C882" i="7" s="1"/>
  <c r="N882" i="7" l="1"/>
  <c r="Q882" i="7" s="1"/>
  <c r="M883" i="7" s="1"/>
  <c r="P883" i="7" s="1"/>
  <c r="B882" i="7"/>
  <c r="E882" i="7" s="1"/>
  <c r="F882" i="7"/>
  <c r="L883" i="7" l="1"/>
  <c r="O883" i="7" s="1"/>
  <c r="D882" i="7"/>
  <c r="G882" i="7" s="1"/>
  <c r="B883" i="7" s="1"/>
  <c r="N883" i="7" l="1"/>
  <c r="Q883" i="7" s="1"/>
  <c r="L884" i="7" s="1"/>
  <c r="O884" i="7" s="1"/>
  <c r="E883" i="7"/>
  <c r="C883" i="7"/>
  <c r="M884" i="7" l="1"/>
  <c r="P884" i="7" s="1"/>
  <c r="F883" i="7"/>
  <c r="D883" i="7"/>
  <c r="N884" i="7" l="1"/>
  <c r="Q884" i="7" s="1"/>
  <c r="L885" i="7" s="1"/>
  <c r="O885" i="7" s="1"/>
  <c r="G883" i="7"/>
  <c r="B884" i="7" s="1"/>
  <c r="M885" i="7" l="1"/>
  <c r="E884" i="7"/>
  <c r="C884" i="7"/>
  <c r="P885" i="7" l="1"/>
  <c r="N885" i="7"/>
  <c r="Q885" i="7" s="1"/>
  <c r="L886" i="7" s="1"/>
  <c r="F884" i="7"/>
  <c r="D884" i="7"/>
  <c r="M886" i="7" l="1"/>
  <c r="G884" i="7"/>
  <c r="B885" i="7" s="1"/>
  <c r="O886" i="7" l="1"/>
  <c r="E885" i="7"/>
  <c r="C885" i="7"/>
  <c r="F885" i="7" l="1"/>
  <c r="D885" i="7"/>
  <c r="P886" i="7" l="1"/>
  <c r="N886" i="7"/>
  <c r="Q886" i="7" s="1"/>
  <c r="L887" i="7" s="1"/>
  <c r="G885" i="7"/>
  <c r="B886" i="7" s="1"/>
  <c r="M887" i="7" l="1"/>
  <c r="C886" i="7"/>
  <c r="F886" i="7" s="1"/>
  <c r="E886" i="7"/>
  <c r="D886" i="7" l="1"/>
  <c r="G886" i="7" s="1"/>
  <c r="C887" i="7" s="1"/>
  <c r="F887" i="7" s="1"/>
  <c r="O887" i="7"/>
  <c r="P887" i="7"/>
  <c r="B887" i="7" l="1"/>
  <c r="E887" i="7" s="1"/>
  <c r="N887" i="7"/>
  <c r="Q887" i="7" s="1"/>
  <c r="D887" i="7" l="1"/>
  <c r="G887" i="7" s="1"/>
  <c r="B888" i="7" s="1"/>
  <c r="M888" i="7"/>
  <c r="P888" i="7" s="1"/>
  <c r="L888" i="7"/>
  <c r="N888" i="7" l="1"/>
  <c r="Q888" i="7" s="1"/>
  <c r="M889" i="7" s="1"/>
  <c r="O888" i="7"/>
  <c r="E888" i="7"/>
  <c r="C888" i="7"/>
  <c r="L889" i="7" l="1"/>
  <c r="O889" i="7" s="1"/>
  <c r="P889" i="7"/>
  <c r="F888" i="7"/>
  <c r="D888" i="7"/>
  <c r="N889" i="7" l="1"/>
  <c r="Q889" i="7" s="1"/>
  <c r="L890" i="7" s="1"/>
  <c r="G888" i="7"/>
  <c r="B889" i="7" s="1"/>
  <c r="M890" i="7" l="1"/>
  <c r="E889" i="7"/>
  <c r="C889" i="7"/>
  <c r="F889" i="7" s="1"/>
  <c r="O890" i="7" l="1"/>
  <c r="P890" i="7"/>
  <c r="D889" i="7"/>
  <c r="N890" i="7" l="1"/>
  <c r="Q890" i="7" s="1"/>
  <c r="L891" i="7" s="1"/>
  <c r="G889" i="7"/>
  <c r="B890" i="7" s="1"/>
  <c r="M891" i="7" l="1"/>
  <c r="C890" i="7"/>
  <c r="E890" i="7"/>
  <c r="P891" i="7" l="1"/>
  <c r="D890" i="7"/>
  <c r="G890" i="7" s="1"/>
  <c r="B891" i="7" s="1"/>
  <c r="N891" i="7"/>
  <c r="Q891" i="7" s="1"/>
  <c r="O891" i="7"/>
  <c r="F890" i="7"/>
  <c r="M892" i="7" l="1"/>
  <c r="P892" i="7" s="1"/>
  <c r="L892" i="7"/>
  <c r="O892" i="7" s="1"/>
  <c r="C891" i="7"/>
  <c r="F891" i="7" s="1"/>
  <c r="E891" i="7"/>
  <c r="D891" i="7" l="1"/>
  <c r="G891" i="7" s="1"/>
  <c r="B892" i="7" s="1"/>
  <c r="N892" i="7"/>
  <c r="Q892" i="7" s="1"/>
  <c r="L893" i="7" s="1"/>
  <c r="M893" i="7" l="1"/>
  <c r="E892" i="7"/>
  <c r="C892" i="7"/>
  <c r="F892" i="7" s="1"/>
  <c r="O893" i="7" l="1"/>
  <c r="P893" i="7"/>
  <c r="D892" i="7"/>
  <c r="N893" i="7" l="1"/>
  <c r="Q893" i="7" s="1"/>
  <c r="L894" i="7" s="1"/>
  <c r="G892" i="7"/>
  <c r="B893" i="7" s="1"/>
  <c r="M894" i="7" l="1"/>
  <c r="O894" i="7"/>
  <c r="E893" i="7"/>
  <c r="C893" i="7"/>
  <c r="F893" i="7" s="1"/>
  <c r="D893" i="7" l="1"/>
  <c r="P894" i="7" l="1"/>
  <c r="N894" i="7"/>
  <c r="Q894" i="7" s="1"/>
  <c r="L895" i="7" s="1"/>
  <c r="G893" i="7"/>
  <c r="B894" i="7" s="1"/>
  <c r="M895" i="7" l="1"/>
  <c r="C894" i="7"/>
  <c r="F894" i="7" s="1"/>
  <c r="E894" i="7"/>
  <c r="D894" i="7" l="1"/>
  <c r="G894" i="7" s="1"/>
  <c r="B895" i="7" s="1"/>
  <c r="O895" i="7"/>
  <c r="P895" i="7"/>
  <c r="N895" i="7" l="1"/>
  <c r="Q895" i="7" s="1"/>
  <c r="L896" i="7" s="1"/>
  <c r="E895" i="7"/>
  <c r="C895" i="7"/>
  <c r="F895" i="7" s="1"/>
  <c r="M896" i="7" l="1"/>
  <c r="P896" i="7" s="1"/>
  <c r="O896" i="7"/>
  <c r="D895" i="7"/>
  <c r="N896" i="7" l="1"/>
  <c r="Q896" i="7" s="1"/>
  <c r="L897" i="7" s="1"/>
  <c r="G895" i="7"/>
  <c r="B896" i="7" s="1"/>
  <c r="M897" i="7" l="1"/>
  <c r="E896" i="7"/>
  <c r="C896" i="7"/>
  <c r="F896" i="7" s="1"/>
  <c r="O897" i="7" l="1"/>
  <c r="P897" i="7"/>
  <c r="D896" i="7"/>
  <c r="N897" i="7" l="1"/>
  <c r="Q897" i="7" s="1"/>
  <c r="L898" i="7" s="1"/>
  <c r="G896" i="7"/>
  <c r="B897" i="7" s="1"/>
  <c r="M898" i="7" l="1"/>
  <c r="O898" i="7"/>
  <c r="C897" i="7"/>
  <c r="F897" i="7" s="1"/>
  <c r="E897" i="7"/>
  <c r="D897" i="7" l="1"/>
  <c r="G897" i="7" s="1"/>
  <c r="C898" i="7" s="1"/>
  <c r="F898" i="7" s="1"/>
  <c r="P898" i="7" l="1"/>
  <c r="N898" i="7"/>
  <c r="Q898" i="7" s="1"/>
  <c r="L899" i="7" s="1"/>
  <c r="B898" i="7"/>
  <c r="E898" i="7" s="1"/>
  <c r="D898" i="7" l="1"/>
  <c r="G898" i="7" s="1"/>
  <c r="C899" i="7" s="1"/>
  <c r="F899" i="7" s="1"/>
  <c r="M899" i="7"/>
  <c r="P899" i="7" s="1"/>
  <c r="B899" i="7" l="1"/>
  <c r="E899" i="7" s="1"/>
  <c r="N899" i="7"/>
  <c r="Q899" i="7" s="1"/>
  <c r="O899" i="7"/>
  <c r="L900" i="7" l="1"/>
  <c r="O900" i="7" s="1"/>
  <c r="D899" i="7"/>
  <c r="G899" i="7" s="1"/>
  <c r="B900" i="7" s="1"/>
  <c r="M900" i="7"/>
  <c r="P900" i="7" s="1"/>
  <c r="N900" i="7" l="1"/>
  <c r="Q900" i="7" s="1"/>
  <c r="M901" i="7" s="1"/>
  <c r="E900" i="7"/>
  <c r="C900" i="7"/>
  <c r="F900" i="7" s="1"/>
  <c r="L901" i="7" l="1"/>
  <c r="O901" i="7" s="1"/>
  <c r="D900" i="7"/>
  <c r="P901" i="7" l="1"/>
  <c r="N901" i="7"/>
  <c r="Q901" i="7" s="1"/>
  <c r="L902" i="7" s="1"/>
  <c r="G900" i="7"/>
  <c r="B901" i="7" s="1"/>
  <c r="M902" i="7" l="1"/>
  <c r="E901" i="7"/>
  <c r="C901" i="7"/>
  <c r="P902" i="7" l="1"/>
  <c r="N902" i="7"/>
  <c r="Q902" i="7" s="1"/>
  <c r="O902" i="7"/>
  <c r="F901" i="7"/>
  <c r="D901" i="7"/>
  <c r="M903" i="7" l="1"/>
  <c r="L903" i="7"/>
  <c r="O903" i="7" s="1"/>
  <c r="G901" i="7"/>
  <c r="B902" i="7" s="1"/>
  <c r="E902" i="7" l="1"/>
  <c r="C902" i="7"/>
  <c r="F902" i="7" l="1"/>
  <c r="D902" i="7"/>
  <c r="P903" i="7" l="1"/>
  <c r="N903" i="7"/>
  <c r="Q903" i="7" s="1"/>
  <c r="L904" i="7" s="1"/>
  <c r="G902" i="7"/>
  <c r="B903" i="7" s="1"/>
  <c r="M904" i="7" l="1"/>
  <c r="C903" i="7"/>
  <c r="F903" i="7" s="1"/>
  <c r="E903" i="7"/>
  <c r="O904" i="7" l="1"/>
  <c r="P904" i="7"/>
  <c r="D903" i="7"/>
  <c r="G903" i="7" s="1"/>
  <c r="C904" i="7" s="1"/>
  <c r="F904" i="7" s="1"/>
  <c r="B904" i="7" l="1"/>
  <c r="E904" i="7" s="1"/>
  <c r="N904" i="7"/>
  <c r="Q904" i="7" s="1"/>
  <c r="D904" i="7" l="1"/>
  <c r="G904" i="7" s="1"/>
  <c r="C905" i="7" s="1"/>
  <c r="F905" i="7" s="1"/>
  <c r="M905" i="7"/>
  <c r="P905" i="7" s="1"/>
  <c r="L905" i="7"/>
  <c r="N905" i="7" l="1"/>
  <c r="Q905" i="7" s="1"/>
  <c r="O905" i="7"/>
  <c r="B905" i="7"/>
  <c r="E905" i="7" s="1"/>
  <c r="L906" i="7" l="1"/>
  <c r="O906" i="7" s="1"/>
  <c r="D905" i="7"/>
  <c r="G905" i="7" s="1"/>
  <c r="C906" i="7" s="1"/>
  <c r="F906" i="7" s="1"/>
  <c r="M906" i="7"/>
  <c r="P906" i="7" s="1"/>
  <c r="N906" i="7" l="1"/>
  <c r="Q906" i="7" s="1"/>
  <c r="L907" i="7" s="1"/>
  <c r="O907" i="7" s="1"/>
  <c r="B906" i="7"/>
  <c r="E906" i="7" s="1"/>
  <c r="M907" i="7" l="1"/>
  <c r="P907" i="7" s="1"/>
  <c r="D906" i="7"/>
  <c r="G906" i="7" s="1"/>
  <c r="C907" i="7" s="1"/>
  <c r="F907" i="7" s="1"/>
  <c r="N907" i="7" l="1"/>
  <c r="Q907" i="7" s="1"/>
  <c r="L908" i="7" s="1"/>
  <c r="B907" i="7"/>
  <c r="E907" i="7" s="1"/>
  <c r="M908" i="7" l="1"/>
  <c r="P908" i="7" s="1"/>
  <c r="D907" i="7"/>
  <c r="G907" i="7" s="1"/>
  <c r="C908" i="7" s="1"/>
  <c r="F908" i="7" s="1"/>
  <c r="O908" i="7"/>
  <c r="N908" i="7" l="1"/>
  <c r="Q908" i="7" s="1"/>
  <c r="M909" i="7" s="1"/>
  <c r="P909" i="7" s="1"/>
  <c r="B908" i="7"/>
  <c r="E908" i="7" s="1"/>
  <c r="L909" i="7" l="1"/>
  <c r="N909" i="7" s="1"/>
  <c r="Q909" i="7" s="1"/>
  <c r="M910" i="7" s="1"/>
  <c r="D908" i="7"/>
  <c r="G908" i="7" s="1"/>
  <c r="C909" i="7" s="1"/>
  <c r="F909" i="7" s="1"/>
  <c r="O909" i="7" l="1"/>
  <c r="L910" i="7" s="1"/>
  <c r="O910" i="7" s="1"/>
  <c r="B909" i="7"/>
  <c r="E909" i="7" s="1"/>
  <c r="P910" i="7"/>
  <c r="D909" i="7" l="1"/>
  <c r="G909" i="7" s="1"/>
  <c r="B910" i="7" s="1"/>
  <c r="N910" i="7"/>
  <c r="Q910" i="7" s="1"/>
  <c r="L911" i="7" s="1"/>
  <c r="M911" i="7" l="1"/>
  <c r="O911" i="7"/>
  <c r="E910" i="7"/>
  <c r="C910" i="7"/>
  <c r="F910" i="7" s="1"/>
  <c r="D910" i="7" l="1"/>
  <c r="P911" i="7" l="1"/>
  <c r="N911" i="7"/>
  <c r="Q911" i="7" s="1"/>
  <c r="L912" i="7" s="1"/>
  <c r="G910" i="7"/>
  <c r="B911" i="7" s="1"/>
  <c r="M912" i="7" l="1"/>
  <c r="E911" i="7"/>
  <c r="C911" i="7"/>
  <c r="P912" i="7" l="1"/>
  <c r="O912" i="7"/>
  <c r="N912" i="7"/>
  <c r="Q912" i="7" s="1"/>
  <c r="F911" i="7"/>
  <c r="D911" i="7"/>
  <c r="M913" i="7" l="1"/>
  <c r="L913" i="7"/>
  <c r="G911" i="7"/>
  <c r="B912" i="7" s="1"/>
  <c r="O913" i="7" l="1"/>
  <c r="E912" i="7"/>
  <c r="C912" i="7"/>
  <c r="F912" i="7" l="1"/>
  <c r="D912" i="7"/>
  <c r="P913" i="7" l="1"/>
  <c r="N913" i="7"/>
  <c r="Q913" i="7" s="1"/>
  <c r="L914" i="7" s="1"/>
  <c r="G912" i="7"/>
  <c r="B913" i="7" s="1"/>
  <c r="M914" i="7" l="1"/>
  <c r="E913" i="7"/>
  <c r="C913" i="7"/>
  <c r="F913" i="7" s="1"/>
  <c r="O914" i="7" l="1"/>
  <c r="P914" i="7"/>
  <c r="D913" i="7"/>
  <c r="N914" i="7" l="1"/>
  <c r="Q914" i="7" s="1"/>
  <c r="L915" i="7" s="1"/>
  <c r="G913" i="7"/>
  <c r="B914" i="7" s="1"/>
  <c r="M915" i="7" l="1"/>
  <c r="E914" i="7"/>
  <c r="C914" i="7"/>
  <c r="F914" i="7" s="1"/>
  <c r="O915" i="7" l="1"/>
  <c r="P915" i="7"/>
  <c r="D914" i="7"/>
  <c r="N915" i="7" l="1"/>
  <c r="Q915" i="7" s="1"/>
  <c r="L916" i="7" s="1"/>
  <c r="G914" i="7"/>
  <c r="B915" i="7" s="1"/>
  <c r="M916" i="7" l="1"/>
  <c r="E915" i="7"/>
  <c r="C915" i="7"/>
  <c r="D915" i="7" s="1"/>
  <c r="O916" i="7" l="1"/>
  <c r="P916" i="7"/>
  <c r="G915" i="7"/>
  <c r="B916" i="7" s="1"/>
  <c r="F915" i="7"/>
  <c r="C916" i="7" l="1"/>
  <c r="F916" i="7" s="1"/>
  <c r="N916" i="7"/>
  <c r="Q916" i="7" s="1"/>
  <c r="M917" i="7" s="1"/>
  <c r="E916" i="7"/>
  <c r="D916" i="7" l="1"/>
  <c r="G916" i="7" s="1"/>
  <c r="C917" i="7" s="1"/>
  <c r="F917" i="7" s="1"/>
  <c r="P917" i="7"/>
  <c r="L917" i="7"/>
  <c r="O917" i="7" l="1"/>
  <c r="N917" i="7"/>
  <c r="Q917" i="7" s="1"/>
  <c r="B917" i="7"/>
  <c r="M918" i="7" l="1"/>
  <c r="P918" i="7" s="1"/>
  <c r="L918" i="7"/>
  <c r="E917" i="7"/>
  <c r="D917" i="7"/>
  <c r="N918" i="7" l="1"/>
  <c r="Q918" i="7" s="1"/>
  <c r="M919" i="7" s="1"/>
  <c r="O918" i="7"/>
  <c r="G917" i="7"/>
  <c r="B918" i="7" s="1"/>
  <c r="L919" i="7" l="1"/>
  <c r="O919" i="7" s="1"/>
  <c r="E918" i="7"/>
  <c r="C918" i="7"/>
  <c r="P919" i="7" l="1"/>
  <c r="N919" i="7"/>
  <c r="Q919" i="7" s="1"/>
  <c r="L920" i="7" s="1"/>
  <c r="F918" i="7"/>
  <c r="D918" i="7"/>
  <c r="M920" i="7" l="1"/>
  <c r="O920" i="7"/>
  <c r="G918" i="7"/>
  <c r="B919" i="7" s="1"/>
  <c r="E919" i="7" l="1"/>
  <c r="C919" i="7"/>
  <c r="P920" i="7" l="1"/>
  <c r="N920" i="7"/>
  <c r="Q920" i="7" s="1"/>
  <c r="L921" i="7" s="1"/>
  <c r="F919" i="7"/>
  <c r="D919" i="7"/>
  <c r="M921" i="7" l="1"/>
  <c r="G919" i="7"/>
  <c r="B920" i="7" s="1"/>
  <c r="O921" i="7" l="1"/>
  <c r="E920" i="7"/>
  <c r="C920" i="7"/>
  <c r="F920" i="7" l="1"/>
  <c r="D920" i="7"/>
  <c r="P921" i="7" l="1"/>
  <c r="N921" i="7"/>
  <c r="Q921" i="7" s="1"/>
  <c r="L922" i="7" s="1"/>
  <c r="G920" i="7"/>
  <c r="B921" i="7" s="1"/>
  <c r="M922" i="7" l="1"/>
  <c r="E921" i="7"/>
  <c r="C921" i="7"/>
  <c r="F921" i="7" s="1"/>
  <c r="O922" i="7" l="1"/>
  <c r="P922" i="7"/>
  <c r="D921" i="7"/>
  <c r="N922" i="7" l="1"/>
  <c r="Q922" i="7" s="1"/>
  <c r="L923" i="7" s="1"/>
  <c r="G921" i="7"/>
  <c r="B922" i="7" s="1"/>
  <c r="M923" i="7" l="1"/>
  <c r="E922" i="7"/>
  <c r="C922" i="7"/>
  <c r="P923" i="7" l="1"/>
  <c r="N923" i="7"/>
  <c r="Q923" i="7" s="1"/>
  <c r="O923" i="7"/>
  <c r="F922" i="7"/>
  <c r="D922" i="7"/>
  <c r="M924" i="7" l="1"/>
  <c r="L924" i="7"/>
  <c r="O924" i="7" s="1"/>
  <c r="G922" i="7"/>
  <c r="B923" i="7" s="1"/>
  <c r="E923" i="7" l="1"/>
  <c r="C923" i="7"/>
  <c r="F923" i="7" l="1"/>
  <c r="D923" i="7"/>
  <c r="P924" i="7" l="1"/>
  <c r="N924" i="7"/>
  <c r="Q924" i="7" s="1"/>
  <c r="L925" i="7" s="1"/>
  <c r="G923" i="7"/>
  <c r="B924" i="7" s="1"/>
  <c r="M925" i="7" l="1"/>
  <c r="E924" i="7"/>
  <c r="C924" i="7"/>
  <c r="F924" i="7" s="1"/>
  <c r="O925" i="7" l="1"/>
  <c r="P925" i="7"/>
  <c r="D924" i="7"/>
  <c r="N925" i="7" l="1"/>
  <c r="Q925" i="7" s="1"/>
  <c r="L926" i="7" s="1"/>
  <c r="G924" i="7"/>
  <c r="B925" i="7" s="1"/>
  <c r="M926" i="7" l="1"/>
  <c r="E925" i="7"/>
  <c r="C925" i="7"/>
  <c r="P926" i="7" l="1"/>
  <c r="N926" i="7"/>
  <c r="Q926" i="7" s="1"/>
  <c r="O926" i="7"/>
  <c r="F925" i="7"/>
  <c r="D925" i="7"/>
  <c r="M927" i="7" l="1"/>
  <c r="L927" i="7"/>
  <c r="O927" i="7" s="1"/>
  <c r="G925" i="7"/>
  <c r="B926" i="7" s="1"/>
  <c r="E926" i="7" l="1"/>
  <c r="C926" i="7"/>
  <c r="F926" i="7" l="1"/>
  <c r="D926" i="7"/>
  <c r="P927" i="7" l="1"/>
  <c r="N927" i="7"/>
  <c r="Q927" i="7" s="1"/>
  <c r="L928" i="7" s="1"/>
  <c r="G926" i="7"/>
  <c r="B927" i="7" s="1"/>
  <c r="M928" i="7" l="1"/>
  <c r="E927" i="7"/>
  <c r="C927" i="7"/>
  <c r="F927" i="7" s="1"/>
  <c r="O928" i="7" l="1"/>
  <c r="P928" i="7"/>
  <c r="D927" i="7"/>
  <c r="N928" i="7" l="1"/>
  <c r="Q928" i="7" s="1"/>
  <c r="L929" i="7" s="1"/>
  <c r="G927" i="7"/>
  <c r="B928" i="7" s="1"/>
  <c r="M929" i="7" l="1"/>
  <c r="E928" i="7"/>
  <c r="C928" i="7"/>
  <c r="D928" i="7" s="1"/>
  <c r="O929" i="7" l="1"/>
  <c r="P929" i="7"/>
  <c r="G928" i="7"/>
  <c r="B929" i="7" s="1"/>
  <c r="F928" i="7"/>
  <c r="C929" i="7" l="1"/>
  <c r="F929" i="7" s="1"/>
  <c r="N929" i="7"/>
  <c r="Q929" i="7" s="1"/>
  <c r="E929" i="7"/>
  <c r="D929" i="7" l="1"/>
  <c r="G929" i="7" s="1"/>
  <c r="C930" i="7" s="1"/>
  <c r="F930" i="7" s="1"/>
  <c r="M930" i="7"/>
  <c r="P930" i="7" s="1"/>
  <c r="L930" i="7"/>
  <c r="N930" i="7" l="1"/>
  <c r="Q930" i="7" s="1"/>
  <c r="O930" i="7"/>
  <c r="B930" i="7"/>
  <c r="D930" i="7" s="1"/>
  <c r="L931" i="7" l="1"/>
  <c r="O931" i="7" s="1"/>
  <c r="E930" i="7"/>
  <c r="M931" i="7"/>
  <c r="P931" i="7" s="1"/>
  <c r="G930" i="7"/>
  <c r="C931" i="7" s="1"/>
  <c r="F931" i="7" s="1"/>
  <c r="N931" i="7" l="1"/>
  <c r="Q931" i="7" s="1"/>
  <c r="M932" i="7" s="1"/>
  <c r="P932" i="7" s="1"/>
  <c r="B931" i="7"/>
  <c r="E931" i="7" s="1"/>
  <c r="D931" i="7" l="1"/>
  <c r="G931" i="7" s="1"/>
  <c r="B932" i="7" s="1"/>
  <c r="L932" i="7"/>
  <c r="O932" i="7" s="1"/>
  <c r="N932" i="7" l="1"/>
  <c r="Q932" i="7" s="1"/>
  <c r="E932" i="7"/>
  <c r="C932" i="7"/>
  <c r="F932" i="7" s="1"/>
  <c r="L933" i="7" l="1"/>
  <c r="O933" i="7" s="1"/>
  <c r="M933" i="7"/>
  <c r="P933" i="7" s="1"/>
  <c r="D932" i="7"/>
  <c r="N933" i="7" l="1"/>
  <c r="Q933" i="7" s="1"/>
  <c r="L934" i="7" s="1"/>
  <c r="G932" i="7"/>
  <c r="B933" i="7" s="1"/>
  <c r="M934" i="7" l="1"/>
  <c r="E933" i="7"/>
  <c r="C933" i="7"/>
  <c r="P934" i="7" l="1"/>
  <c r="N934" i="7"/>
  <c r="Q934" i="7" s="1"/>
  <c r="O934" i="7"/>
  <c r="F933" i="7"/>
  <c r="D933" i="7"/>
  <c r="M935" i="7" l="1"/>
  <c r="L935" i="7"/>
  <c r="O935" i="7" s="1"/>
  <c r="G933" i="7"/>
  <c r="B934" i="7" s="1"/>
  <c r="E934" i="7" l="1"/>
  <c r="C934" i="7"/>
  <c r="F934" i="7" l="1"/>
  <c r="D934" i="7"/>
  <c r="P935" i="7" l="1"/>
  <c r="N935" i="7"/>
  <c r="Q935" i="7" s="1"/>
  <c r="L936" i="7" s="1"/>
  <c r="G934" i="7"/>
  <c r="B935" i="7" s="1"/>
  <c r="M936" i="7" l="1"/>
  <c r="E935" i="7"/>
  <c r="C935" i="7"/>
  <c r="F935" i="7" s="1"/>
  <c r="O936" i="7" l="1"/>
  <c r="P936" i="7"/>
  <c r="D935" i="7"/>
  <c r="N936" i="7" l="1"/>
  <c r="Q936" i="7" s="1"/>
  <c r="L937" i="7" s="1"/>
  <c r="G935" i="7"/>
  <c r="B936" i="7" s="1"/>
  <c r="M937" i="7" l="1"/>
  <c r="E936" i="7"/>
  <c r="C936" i="7"/>
  <c r="P937" i="7" l="1"/>
  <c r="N937" i="7"/>
  <c r="Q937" i="7" s="1"/>
  <c r="O937" i="7"/>
  <c r="F936" i="7"/>
  <c r="D936" i="7"/>
  <c r="M938" i="7" l="1"/>
  <c r="L938" i="7"/>
  <c r="O938" i="7" s="1"/>
  <c r="G936" i="7"/>
  <c r="B937" i="7" s="1"/>
  <c r="E937" i="7" l="1"/>
  <c r="C937" i="7"/>
  <c r="F937" i="7" l="1"/>
  <c r="D937" i="7"/>
  <c r="P938" i="7" l="1"/>
  <c r="N938" i="7"/>
  <c r="Q938" i="7" s="1"/>
  <c r="L939" i="7" s="1"/>
  <c r="G937" i="7"/>
  <c r="B938" i="7" s="1"/>
  <c r="M939" i="7" l="1"/>
  <c r="C938" i="7"/>
  <c r="F938" i="7" s="1"/>
  <c r="E938" i="7"/>
  <c r="D938" i="7" l="1"/>
  <c r="G938" i="7" s="1"/>
  <c r="C939" i="7" s="1"/>
  <c r="O939" i="7"/>
  <c r="P939" i="7"/>
  <c r="B939" i="7" l="1"/>
  <c r="D939" i="7" s="1"/>
  <c r="N939" i="7"/>
  <c r="Q939" i="7" s="1"/>
  <c r="F939" i="7"/>
  <c r="E939" i="7" l="1"/>
  <c r="M940" i="7"/>
  <c r="P940" i="7" s="1"/>
  <c r="L940" i="7"/>
  <c r="G939" i="7"/>
  <c r="C940" i="7" s="1"/>
  <c r="N940" i="7" l="1"/>
  <c r="Q940" i="7" s="1"/>
  <c r="O940" i="7"/>
  <c r="B940" i="7"/>
  <c r="E940" i="7" s="1"/>
  <c r="F940" i="7"/>
  <c r="D940" i="7" l="1"/>
  <c r="G940" i="7" s="1"/>
  <c r="C941" i="7" s="1"/>
  <c r="F941" i="7" s="1"/>
  <c r="M941" i="7"/>
  <c r="P941" i="7" s="1"/>
  <c r="L941" i="7"/>
  <c r="N941" i="7" l="1"/>
  <c r="Q941" i="7" s="1"/>
  <c r="M942" i="7" s="1"/>
  <c r="P942" i="7" s="1"/>
  <c r="O941" i="7"/>
  <c r="B941" i="7"/>
  <c r="L942" i="7" l="1"/>
  <c r="O942" i="7" s="1"/>
  <c r="E941" i="7"/>
  <c r="D941" i="7"/>
  <c r="N942" i="7" l="1"/>
  <c r="Q942" i="7" s="1"/>
  <c r="L943" i="7" s="1"/>
  <c r="G941" i="7"/>
  <c r="C942" i="7" s="1"/>
  <c r="M943" i="7" l="1"/>
  <c r="P943" i="7" s="1"/>
  <c r="B942" i="7"/>
  <c r="E942" i="7" s="1"/>
  <c r="O943" i="7"/>
  <c r="F942" i="7"/>
  <c r="N943" i="7" l="1"/>
  <c r="Q943" i="7" s="1"/>
  <c r="M944" i="7" s="1"/>
  <c r="D942" i="7"/>
  <c r="G942" i="7" s="1"/>
  <c r="B943" i="7" s="1"/>
  <c r="L944" i="7" l="1"/>
  <c r="O944" i="7" s="1"/>
  <c r="E943" i="7"/>
  <c r="C943" i="7"/>
  <c r="P944" i="7" l="1"/>
  <c r="N944" i="7"/>
  <c r="Q944" i="7" s="1"/>
  <c r="L945" i="7" s="1"/>
  <c r="F943" i="7"/>
  <c r="D943" i="7"/>
  <c r="M945" i="7" l="1"/>
  <c r="G943" i="7"/>
  <c r="B944" i="7" s="1"/>
  <c r="O945" i="7" l="1"/>
  <c r="E944" i="7"/>
  <c r="C944" i="7"/>
  <c r="P945" i="7" s="1"/>
  <c r="N945" i="7" l="1"/>
  <c r="Q945" i="7" s="1"/>
  <c r="L946" i="7" s="1"/>
  <c r="F944" i="7"/>
  <c r="D944" i="7"/>
  <c r="M946" i="7" l="1"/>
  <c r="O946" i="7"/>
  <c r="G944" i="7"/>
  <c r="B945" i="7" s="1"/>
  <c r="E945" i="7" l="1"/>
  <c r="C945" i="7"/>
  <c r="F945" i="7" l="1"/>
  <c r="D945" i="7"/>
  <c r="P946" i="7" l="1"/>
  <c r="N946" i="7"/>
  <c r="Q946" i="7" s="1"/>
  <c r="L947" i="7" s="1"/>
  <c r="G945" i="7"/>
  <c r="B946" i="7" s="1"/>
  <c r="M947" i="7" l="1"/>
  <c r="E946" i="7"/>
  <c r="C946" i="7"/>
  <c r="F946" i="7" s="1"/>
  <c r="O947" i="7" l="1"/>
  <c r="P947" i="7"/>
  <c r="D946" i="7"/>
  <c r="N947" i="7" l="1"/>
  <c r="Q947" i="7" s="1"/>
  <c r="L948" i="7" s="1"/>
  <c r="G946" i="7"/>
  <c r="B947" i="7" s="1"/>
  <c r="M948" i="7" l="1"/>
  <c r="E947" i="7"/>
  <c r="C947" i="7"/>
  <c r="P948" i="7" l="1"/>
  <c r="N948" i="7"/>
  <c r="Q948" i="7" s="1"/>
  <c r="O948" i="7"/>
  <c r="F947" i="7"/>
  <c r="D947" i="7"/>
  <c r="M949" i="7" l="1"/>
  <c r="L949" i="7"/>
  <c r="G947" i="7"/>
  <c r="B948" i="7" s="1"/>
  <c r="O949" i="7" l="1"/>
  <c r="E948" i="7"/>
  <c r="C948" i="7"/>
  <c r="F948" i="7" l="1"/>
  <c r="D948" i="7"/>
  <c r="P949" i="7" l="1"/>
  <c r="N949" i="7"/>
  <c r="Q949" i="7" s="1"/>
  <c r="L950" i="7" s="1"/>
  <c r="G948" i="7"/>
  <c r="B949" i="7" s="1"/>
  <c r="M950" i="7" l="1"/>
  <c r="E949" i="7"/>
  <c r="C949" i="7"/>
  <c r="F949" i="7" s="1"/>
  <c r="O950" i="7" l="1"/>
  <c r="P950" i="7"/>
  <c r="D949" i="7"/>
  <c r="N950" i="7" l="1"/>
  <c r="Q950" i="7" s="1"/>
  <c r="L951" i="7" s="1"/>
  <c r="G949" i="7"/>
  <c r="B950" i="7" s="1"/>
  <c r="M951" i="7" l="1"/>
  <c r="E950" i="7"/>
  <c r="C950" i="7"/>
  <c r="F950" i="7" s="1"/>
  <c r="O951" i="7" l="1"/>
  <c r="P951" i="7"/>
  <c r="D950" i="7"/>
  <c r="N951" i="7" l="1"/>
  <c r="Q951" i="7" s="1"/>
  <c r="L952" i="7" s="1"/>
  <c r="G950" i="7"/>
  <c r="B951" i="7" s="1"/>
  <c r="M952" i="7" l="1"/>
  <c r="E951" i="7"/>
  <c r="C951" i="7"/>
  <c r="F951" i="7" s="1"/>
  <c r="O952" i="7" l="1"/>
  <c r="P952" i="7"/>
  <c r="D951" i="7"/>
  <c r="N952" i="7" l="1"/>
  <c r="Q952" i="7" s="1"/>
  <c r="L953" i="7" s="1"/>
  <c r="G951" i="7"/>
  <c r="B952" i="7" s="1"/>
  <c r="M953" i="7" l="1"/>
  <c r="C952" i="7"/>
  <c r="F952" i="7" s="1"/>
  <c r="E952" i="7"/>
  <c r="D952" i="7" l="1"/>
  <c r="G952" i="7" s="1"/>
  <c r="O953" i="7"/>
  <c r="P953" i="7"/>
  <c r="C953" i="7" l="1"/>
  <c r="F953" i="7" s="1"/>
  <c r="B953" i="7"/>
  <c r="N953" i="7"/>
  <c r="Q953" i="7" s="1"/>
  <c r="D953" i="7" l="1"/>
  <c r="G953" i="7" s="1"/>
  <c r="E953" i="7"/>
  <c r="M954" i="7"/>
  <c r="P954" i="7" s="1"/>
  <c r="L954" i="7"/>
  <c r="B954" i="7" l="1"/>
  <c r="E954" i="7" s="1"/>
  <c r="N954" i="7"/>
  <c r="Q954" i="7" s="1"/>
  <c r="M955" i="7" s="1"/>
  <c r="O954" i="7"/>
  <c r="C954" i="7"/>
  <c r="F954" i="7" s="1"/>
  <c r="L955" i="7" l="1"/>
  <c r="O955" i="7" s="1"/>
  <c r="P955" i="7"/>
  <c r="D954" i="7"/>
  <c r="N955" i="7" l="1"/>
  <c r="Q955" i="7" s="1"/>
  <c r="L956" i="7" s="1"/>
  <c r="G954" i="7"/>
  <c r="B955" i="7" s="1"/>
  <c r="M956" i="7" l="1"/>
  <c r="O956" i="7"/>
  <c r="E955" i="7"/>
  <c r="C955" i="7"/>
  <c r="P956" i="7" l="1"/>
  <c r="N956" i="7"/>
  <c r="Q956" i="7" s="1"/>
  <c r="L957" i="7" s="1"/>
  <c r="F955" i="7"/>
  <c r="D955" i="7"/>
  <c r="M957" i="7" l="1"/>
  <c r="O957" i="7"/>
  <c r="G955" i="7"/>
  <c r="B956" i="7" s="1"/>
  <c r="E956" i="7" l="1"/>
  <c r="C956" i="7"/>
  <c r="P957" i="7" l="1"/>
  <c r="N957" i="7"/>
  <c r="Q957" i="7" s="1"/>
  <c r="L958" i="7" s="1"/>
  <c r="F956" i="7"/>
  <c r="D956" i="7"/>
  <c r="M958" i="7" l="1"/>
  <c r="G956" i="7"/>
  <c r="B957" i="7" s="1"/>
  <c r="O958" i="7" l="1"/>
  <c r="E957" i="7"/>
  <c r="C957" i="7"/>
  <c r="P958" i="7" s="1"/>
  <c r="N958" i="7" l="1"/>
  <c r="Q958" i="7" s="1"/>
  <c r="L959" i="7" s="1"/>
  <c r="F957" i="7"/>
  <c r="D957" i="7"/>
  <c r="M959" i="7" l="1"/>
  <c r="G957" i="7"/>
  <c r="B958" i="7" s="1"/>
  <c r="O959" i="7" l="1"/>
  <c r="E958" i="7"/>
  <c r="C958" i="7"/>
  <c r="F958" i="7" l="1"/>
  <c r="D958" i="7"/>
  <c r="P959" i="7" l="1"/>
  <c r="N959" i="7"/>
  <c r="Q959" i="7" s="1"/>
  <c r="L960" i="7" s="1"/>
  <c r="G958" i="7"/>
  <c r="B959" i="7" s="1"/>
  <c r="M960" i="7" l="1"/>
  <c r="E959" i="7"/>
  <c r="C959" i="7"/>
  <c r="F959" i="7" s="1"/>
  <c r="O960" i="7" l="1"/>
  <c r="P960" i="7"/>
  <c r="D959" i="7"/>
  <c r="N960" i="7" l="1"/>
  <c r="Q960" i="7" s="1"/>
  <c r="L961" i="7" s="1"/>
  <c r="G959" i="7"/>
  <c r="B960" i="7" s="1"/>
  <c r="M961" i="7" l="1"/>
  <c r="E960" i="7"/>
  <c r="C960" i="7"/>
  <c r="P961" i="7" l="1"/>
  <c r="N961" i="7"/>
  <c r="Q961" i="7" s="1"/>
  <c r="O961" i="7"/>
  <c r="F960" i="7"/>
  <c r="D960" i="7"/>
  <c r="M962" i="7" l="1"/>
  <c r="L962" i="7"/>
  <c r="O962" i="7" s="1"/>
  <c r="G960" i="7"/>
  <c r="B961" i="7" s="1"/>
  <c r="E961" i="7" l="1"/>
  <c r="C961" i="7"/>
  <c r="F961" i="7" l="1"/>
  <c r="D961" i="7"/>
  <c r="P962" i="7" l="1"/>
  <c r="N962" i="7"/>
  <c r="Q962" i="7" s="1"/>
  <c r="L963" i="7" s="1"/>
  <c r="G961" i="7"/>
  <c r="B962" i="7" s="1"/>
  <c r="M963" i="7" l="1"/>
  <c r="E962" i="7"/>
  <c r="C962" i="7"/>
  <c r="F962" i="7" s="1"/>
  <c r="O963" i="7" l="1"/>
  <c r="P963" i="7"/>
  <c r="D962" i="7"/>
  <c r="N963" i="7" l="1"/>
  <c r="Q963" i="7" s="1"/>
  <c r="L964" i="7" s="1"/>
  <c r="G962" i="7"/>
  <c r="B963" i="7" s="1"/>
  <c r="M964" i="7" l="1"/>
  <c r="E963" i="7"/>
  <c r="C963" i="7"/>
  <c r="F963" i="7" s="1"/>
  <c r="O964" i="7" l="1"/>
  <c r="P964" i="7"/>
  <c r="D963" i="7"/>
  <c r="N964" i="7" l="1"/>
  <c r="Q964" i="7" s="1"/>
  <c r="L965" i="7" s="1"/>
  <c r="G963" i="7"/>
  <c r="B964" i="7" s="1"/>
  <c r="M965" i="7" l="1"/>
  <c r="C964" i="7"/>
  <c r="F964" i="7" s="1"/>
  <c r="E964" i="7"/>
  <c r="D964" i="7" l="1"/>
  <c r="G964" i="7" s="1"/>
  <c r="C965" i="7" s="1"/>
  <c r="F965" i="7" s="1"/>
  <c r="O965" i="7"/>
  <c r="P965" i="7"/>
  <c r="B965" i="7" l="1"/>
  <c r="D965" i="7" s="1"/>
  <c r="N965" i="7"/>
  <c r="Q965" i="7" s="1"/>
  <c r="E965" i="7" l="1"/>
  <c r="M966" i="7"/>
  <c r="P966" i="7" s="1"/>
  <c r="L966" i="7"/>
  <c r="G965" i="7"/>
  <c r="C966" i="7" s="1"/>
  <c r="F966" i="7" s="1"/>
  <c r="N966" i="7" l="1"/>
  <c r="Q966" i="7" s="1"/>
  <c r="O966" i="7"/>
  <c r="B966" i="7"/>
  <c r="L967" i="7" l="1"/>
  <c r="M967" i="7"/>
  <c r="P967" i="7" s="1"/>
  <c r="E966" i="7"/>
  <c r="D966" i="7"/>
  <c r="N967" i="7" l="1"/>
  <c r="Q967" i="7" s="1"/>
  <c r="M968" i="7" s="1"/>
  <c r="O967" i="7"/>
  <c r="G966" i="7"/>
  <c r="B967" i="7" s="1"/>
  <c r="L968" i="7" l="1"/>
  <c r="O968" i="7" s="1"/>
  <c r="E967" i="7"/>
  <c r="C967" i="7"/>
  <c r="P968" i="7" l="1"/>
  <c r="N968" i="7"/>
  <c r="Q968" i="7" s="1"/>
  <c r="L969" i="7" s="1"/>
  <c r="F967" i="7"/>
  <c r="D967" i="7"/>
  <c r="M969" i="7" l="1"/>
  <c r="G967" i="7"/>
  <c r="B968" i="7" s="1"/>
  <c r="O969" i="7" l="1"/>
  <c r="E968" i="7"/>
  <c r="C968" i="7"/>
  <c r="P969" i="7" s="1"/>
  <c r="N969" i="7" l="1"/>
  <c r="Q969" i="7" s="1"/>
  <c r="L970" i="7" s="1"/>
  <c r="F968" i="7"/>
  <c r="D968" i="7"/>
  <c r="M970" i="7" l="1"/>
  <c r="G968" i="7"/>
  <c r="B969" i="7" s="1"/>
  <c r="O970" i="7" l="1"/>
  <c r="E969" i="7"/>
  <c r="C969" i="7"/>
  <c r="F969" i="7" l="1"/>
  <c r="D969" i="7"/>
  <c r="P970" i="7" l="1"/>
  <c r="N970" i="7"/>
  <c r="Q970" i="7" s="1"/>
  <c r="L971" i="7" s="1"/>
  <c r="G969" i="7"/>
  <c r="B970" i="7" s="1"/>
  <c r="M971" i="7" l="1"/>
  <c r="E970" i="7"/>
  <c r="C970" i="7"/>
  <c r="F970" i="7" s="1"/>
  <c r="O971" i="7" l="1"/>
  <c r="P971" i="7"/>
  <c r="D970" i="7"/>
  <c r="N971" i="7" l="1"/>
  <c r="Q971" i="7" s="1"/>
  <c r="L972" i="7" s="1"/>
  <c r="G970" i="7"/>
  <c r="B971" i="7" s="1"/>
  <c r="M972" i="7" l="1"/>
  <c r="E971" i="7"/>
  <c r="C971" i="7"/>
  <c r="P972" i="7" l="1"/>
  <c r="N972" i="7"/>
  <c r="Q972" i="7" s="1"/>
  <c r="O972" i="7"/>
  <c r="F971" i="7"/>
  <c r="D971" i="7"/>
  <c r="M973" i="7" l="1"/>
  <c r="L973" i="7"/>
  <c r="O973" i="7" s="1"/>
  <c r="G971" i="7"/>
  <c r="B972" i="7" s="1"/>
  <c r="E972" i="7" l="1"/>
  <c r="C972" i="7"/>
  <c r="F972" i="7" l="1"/>
  <c r="D972" i="7"/>
  <c r="P973" i="7" l="1"/>
  <c r="N973" i="7"/>
  <c r="Q973" i="7" s="1"/>
  <c r="L974" i="7" s="1"/>
  <c r="G972" i="7"/>
  <c r="B973" i="7" s="1"/>
  <c r="M974" i="7" l="1"/>
  <c r="E973" i="7"/>
  <c r="C973" i="7"/>
  <c r="F973" i="7" s="1"/>
  <c r="O974" i="7" l="1"/>
  <c r="P974" i="7"/>
  <c r="D973" i="7"/>
  <c r="N974" i="7" l="1"/>
  <c r="Q974" i="7" s="1"/>
  <c r="L975" i="7" s="1"/>
  <c r="G973" i="7"/>
  <c r="B974" i="7" s="1"/>
  <c r="M975" i="7" l="1"/>
  <c r="E974" i="7"/>
  <c r="C974" i="7"/>
  <c r="P975" i="7" l="1"/>
  <c r="O975" i="7"/>
  <c r="N975" i="7"/>
  <c r="Q975" i="7" s="1"/>
  <c r="F974" i="7"/>
  <c r="D974" i="7"/>
  <c r="M976" i="7" l="1"/>
  <c r="L976" i="7"/>
  <c r="G974" i="7"/>
  <c r="B975" i="7" s="1"/>
  <c r="O976" i="7" l="1"/>
  <c r="E975" i="7"/>
  <c r="C975" i="7"/>
  <c r="F975" i="7" l="1"/>
  <c r="D975" i="7"/>
  <c r="P976" i="7" l="1"/>
  <c r="N976" i="7"/>
  <c r="Q976" i="7" s="1"/>
  <c r="L977" i="7" s="1"/>
  <c r="G975" i="7"/>
  <c r="B976" i="7" s="1"/>
  <c r="M977" i="7" l="1"/>
  <c r="O977" i="7"/>
  <c r="E976" i="7"/>
  <c r="C976" i="7"/>
  <c r="F976" i="7" s="1"/>
  <c r="D976" i="7" l="1"/>
  <c r="P977" i="7" l="1"/>
  <c r="N977" i="7"/>
  <c r="Q977" i="7" s="1"/>
  <c r="L978" i="7" s="1"/>
  <c r="G976" i="7"/>
  <c r="B977" i="7" s="1"/>
  <c r="M978" i="7" l="1"/>
  <c r="E977" i="7"/>
  <c r="C977" i="7"/>
  <c r="D977" i="7" s="1"/>
  <c r="O978" i="7" l="1"/>
  <c r="P978" i="7"/>
  <c r="G977" i="7"/>
  <c r="B978" i="7" s="1"/>
  <c r="F977" i="7"/>
  <c r="C978" i="7" l="1"/>
  <c r="F978" i="7" s="1"/>
  <c r="N978" i="7"/>
  <c r="Q978" i="7" s="1"/>
  <c r="E978" i="7"/>
  <c r="D978" i="7" l="1"/>
  <c r="G978" i="7" s="1"/>
  <c r="C979" i="7" s="1"/>
  <c r="F979" i="7" s="1"/>
  <c r="M979" i="7"/>
  <c r="P979" i="7" s="1"/>
  <c r="L979" i="7"/>
  <c r="N979" i="7" l="1"/>
  <c r="Q979" i="7" s="1"/>
  <c r="O979" i="7"/>
  <c r="B979" i="7"/>
  <c r="L980" i="7" l="1"/>
  <c r="O980" i="7" s="1"/>
  <c r="M980" i="7"/>
  <c r="P980" i="7" s="1"/>
  <c r="E979" i="7"/>
  <c r="D979" i="7"/>
  <c r="N980" i="7" l="1"/>
  <c r="Q980" i="7" s="1"/>
  <c r="M981" i="7" s="1"/>
  <c r="G979" i="7"/>
  <c r="B980" i="7" s="1"/>
  <c r="L981" i="7" l="1"/>
  <c r="O981" i="7" s="1"/>
  <c r="E980" i="7"/>
  <c r="C980" i="7"/>
  <c r="P981" i="7" s="1"/>
  <c r="N981" i="7" l="1"/>
  <c r="Q981" i="7" s="1"/>
  <c r="L982" i="7" s="1"/>
  <c r="F980" i="7"/>
  <c r="D980" i="7"/>
  <c r="M982" i="7" l="1"/>
  <c r="G980" i="7"/>
  <c r="B981" i="7" s="1"/>
  <c r="O982" i="7" l="1"/>
  <c r="E981" i="7"/>
  <c r="C981" i="7"/>
  <c r="D981" i="7" l="1"/>
  <c r="G981" i="7" s="1"/>
  <c r="B982" i="7" s="1"/>
  <c r="F981" i="7"/>
  <c r="C982" i="7" l="1"/>
  <c r="F982" i="7" s="1"/>
  <c r="P982" i="7"/>
  <c r="N982" i="7"/>
  <c r="Q982" i="7" s="1"/>
  <c r="L983" i="7" s="1"/>
  <c r="E982" i="7"/>
  <c r="D982" i="7" l="1"/>
  <c r="G982" i="7" s="1"/>
  <c r="C983" i="7" s="1"/>
  <c r="F983" i="7" s="1"/>
  <c r="M983" i="7"/>
  <c r="P983" i="7" s="1"/>
  <c r="O983" i="7" l="1"/>
  <c r="N983" i="7"/>
  <c r="Q983" i="7" s="1"/>
  <c r="B983" i="7"/>
  <c r="M984" i="7" l="1"/>
  <c r="P984" i="7" s="1"/>
  <c r="L984" i="7"/>
  <c r="E983" i="7"/>
  <c r="D983" i="7"/>
  <c r="N984" i="7" l="1"/>
  <c r="Q984" i="7" s="1"/>
  <c r="M985" i="7" s="1"/>
  <c r="O984" i="7"/>
  <c r="G983" i="7"/>
  <c r="C984" i="7" s="1"/>
  <c r="F984" i="7" s="1"/>
  <c r="L985" i="7" l="1"/>
  <c r="O985" i="7" s="1"/>
  <c r="B984" i="7"/>
  <c r="D984" i="7" s="1"/>
  <c r="P985" i="7"/>
  <c r="E984" i="7" l="1"/>
  <c r="N985" i="7"/>
  <c r="Q985" i="7" s="1"/>
  <c r="L986" i="7" s="1"/>
  <c r="G984" i="7"/>
  <c r="B985" i="7" l="1"/>
  <c r="E985" i="7" s="1"/>
  <c r="M986" i="7"/>
  <c r="O986" i="7"/>
  <c r="C985" i="7"/>
  <c r="F985" i="7" s="1"/>
  <c r="D985" i="7" l="1"/>
  <c r="P986" i="7" l="1"/>
  <c r="N986" i="7"/>
  <c r="Q986" i="7" s="1"/>
  <c r="L987" i="7" s="1"/>
  <c r="G985" i="7"/>
  <c r="B986" i="7" s="1"/>
  <c r="M987" i="7" l="1"/>
  <c r="E986" i="7"/>
  <c r="C986" i="7"/>
  <c r="F986" i="7" s="1"/>
  <c r="O987" i="7" l="1"/>
  <c r="P987" i="7"/>
  <c r="D986" i="7"/>
  <c r="N987" i="7" l="1"/>
  <c r="Q987" i="7" s="1"/>
  <c r="L988" i="7" s="1"/>
  <c r="G986" i="7"/>
  <c r="B987" i="7" s="1"/>
  <c r="M988" i="7" l="1"/>
  <c r="E987" i="7"/>
  <c r="C987" i="7"/>
  <c r="F987" i="7" s="1"/>
  <c r="O988" i="7" l="1"/>
  <c r="P988" i="7"/>
  <c r="D987" i="7"/>
  <c r="N988" i="7" l="1"/>
  <c r="Q988" i="7" s="1"/>
  <c r="L989" i="7" s="1"/>
  <c r="G987" i="7"/>
  <c r="B988" i="7" s="1"/>
  <c r="M989" i="7" l="1"/>
  <c r="O989" i="7"/>
  <c r="E988" i="7"/>
  <c r="C988" i="7"/>
  <c r="D988" i="7" s="1"/>
  <c r="G988" i="7" l="1"/>
  <c r="B989" i="7" s="1"/>
  <c r="F988" i="7"/>
  <c r="C989" i="7" l="1"/>
  <c r="F989" i="7" s="1"/>
  <c r="P989" i="7"/>
  <c r="N989" i="7"/>
  <c r="Q989" i="7" s="1"/>
  <c r="L990" i="7" s="1"/>
  <c r="E989" i="7"/>
  <c r="D989" i="7" l="1"/>
  <c r="G989" i="7" s="1"/>
  <c r="B990" i="7" s="1"/>
  <c r="M990" i="7"/>
  <c r="P990" i="7" s="1"/>
  <c r="O990" i="7" l="1"/>
  <c r="N990" i="7"/>
  <c r="Q990" i="7" s="1"/>
  <c r="M991" i="7" s="1"/>
  <c r="E990" i="7"/>
  <c r="C990" i="7"/>
  <c r="F990" i="7" s="1"/>
  <c r="L991" i="7" l="1"/>
  <c r="P991" i="7"/>
  <c r="D990" i="7"/>
  <c r="O991" i="7" l="1"/>
  <c r="N991" i="7"/>
  <c r="Q991" i="7" s="1"/>
  <c r="M992" i="7" s="1"/>
  <c r="G990" i="7"/>
  <c r="B991" i="7" s="1"/>
  <c r="L992" i="7" l="1"/>
  <c r="E991" i="7"/>
  <c r="C991" i="7"/>
  <c r="F991" i="7" s="1"/>
  <c r="O992" i="7" l="1"/>
  <c r="P992" i="7"/>
  <c r="D991" i="7"/>
  <c r="N992" i="7" l="1"/>
  <c r="Q992" i="7" s="1"/>
  <c r="L993" i="7" s="1"/>
  <c r="G991" i="7"/>
  <c r="B992" i="7" s="1"/>
  <c r="M993" i="7" l="1"/>
  <c r="O993" i="7"/>
  <c r="C992" i="7"/>
  <c r="F992" i="7" s="1"/>
  <c r="E992" i="7"/>
  <c r="D992" i="7" l="1"/>
  <c r="G992" i="7" s="1"/>
  <c r="C993" i="7" s="1"/>
  <c r="F993" i="7" s="1"/>
  <c r="B993" i="7" l="1"/>
  <c r="E993" i="7" s="1"/>
  <c r="P993" i="7"/>
  <c r="N993" i="7"/>
  <c r="Q993" i="7" s="1"/>
  <c r="L994" i="7" s="1"/>
  <c r="D993" i="7" l="1"/>
  <c r="G993" i="7" s="1"/>
  <c r="C994" i="7" s="1"/>
  <c r="F994" i="7" s="1"/>
  <c r="M994" i="7"/>
  <c r="P994" i="7" s="1"/>
  <c r="B994" i="7" l="1"/>
  <c r="E994" i="7" s="1"/>
  <c r="N994" i="7"/>
  <c r="Q994" i="7" s="1"/>
  <c r="O994" i="7"/>
  <c r="L995" i="7" l="1"/>
  <c r="O995" i="7" s="1"/>
  <c r="D994" i="7"/>
  <c r="G994" i="7" s="1"/>
  <c r="B995" i="7" s="1"/>
  <c r="M995" i="7"/>
  <c r="N995" i="7" l="1"/>
  <c r="Q995" i="7" s="1"/>
  <c r="L996" i="7" s="1"/>
  <c r="O996" i="7" s="1"/>
  <c r="P995" i="7"/>
  <c r="E995" i="7"/>
  <c r="C995" i="7"/>
  <c r="M996" i="7" l="1"/>
  <c r="P996" i="7" s="1"/>
  <c r="F995" i="7"/>
  <c r="D995" i="7"/>
  <c r="N996" i="7" l="1"/>
  <c r="Q996" i="7" s="1"/>
  <c r="L997" i="7" s="1"/>
  <c r="G995" i="7"/>
  <c r="B996" i="7" s="1"/>
  <c r="M997" i="7" l="1"/>
  <c r="O997" i="7"/>
  <c r="E996" i="7"/>
  <c r="C996" i="7"/>
  <c r="P997" i="7" l="1"/>
  <c r="N997" i="7"/>
  <c r="Q997" i="7" s="1"/>
  <c r="L998" i="7" s="1"/>
  <c r="F996" i="7"/>
  <c r="D996" i="7"/>
  <c r="M998" i="7" l="1"/>
  <c r="G996" i="7"/>
  <c r="B997" i="7" s="1"/>
  <c r="O998" i="7" l="1"/>
  <c r="E997" i="7"/>
  <c r="C997" i="7"/>
  <c r="P998" i="7" s="1"/>
  <c r="N998" i="7" l="1"/>
  <c r="Q998" i="7" s="1"/>
  <c r="L999" i="7" s="1"/>
  <c r="F997" i="7"/>
  <c r="D997" i="7"/>
  <c r="M999" i="7" l="1"/>
  <c r="G997" i="7"/>
  <c r="B998" i="7" s="1"/>
  <c r="O999" i="7" l="1"/>
  <c r="E998" i="7"/>
  <c r="C998" i="7"/>
  <c r="F998" i="7" l="1"/>
  <c r="D998" i="7"/>
  <c r="P999" i="7" l="1"/>
  <c r="N999" i="7"/>
  <c r="Q999" i="7" s="1"/>
  <c r="G998" i="7"/>
  <c r="B999" i="7" s="1"/>
  <c r="E999" i="7" l="1"/>
  <c r="C999" i="7"/>
  <c r="F999" i="7" s="1"/>
  <c r="N14" i="7"/>
  <c r="O14" i="7"/>
  <c r="D999" i="7" l="1"/>
  <c r="G999" i="7" l="1"/>
  <c r="D14" i="7"/>
  <c r="E14" i="7"/>
  <c r="D13" i="10" l="1"/>
  <c r="D8" i="10" l="1"/>
  <c r="E45" i="10"/>
  <c r="E70" i="10"/>
  <c r="E91" i="10"/>
  <c r="E52" i="10"/>
  <c r="E188" i="10"/>
  <c r="E43" i="10"/>
  <c r="E169" i="10"/>
  <c r="E189" i="10"/>
  <c r="E35" i="10"/>
  <c r="E82" i="10"/>
  <c r="E22" i="10"/>
  <c r="E182" i="10"/>
  <c r="E166" i="10"/>
  <c r="E67" i="10"/>
  <c r="E36" i="10"/>
  <c r="E104" i="10"/>
  <c r="E34" i="10"/>
  <c r="E171" i="10"/>
  <c r="E196" i="10"/>
  <c r="E170" i="10"/>
  <c r="E21" i="10"/>
  <c r="E33" i="10"/>
  <c r="E108" i="10"/>
  <c r="E145" i="10"/>
  <c r="E66" i="10"/>
  <c r="E138" i="10"/>
  <c r="E163" i="10"/>
  <c r="E150" i="10"/>
  <c r="E176" i="10"/>
  <c r="E126" i="10"/>
  <c r="E179" i="10"/>
  <c r="E30" i="10"/>
  <c r="E191" i="10"/>
  <c r="E58" i="10"/>
  <c r="E28" i="10"/>
  <c r="E109" i="10"/>
  <c r="E81" i="10"/>
  <c r="E184" i="10"/>
  <c r="E116" i="10"/>
  <c r="E99" i="10"/>
  <c r="E181" i="10"/>
  <c r="E192" i="10"/>
  <c r="E135" i="10"/>
  <c r="E140" i="10"/>
  <c r="E92" i="10"/>
  <c r="E23" i="10"/>
  <c r="E97" i="10"/>
  <c r="E79" i="10"/>
  <c r="E102" i="10"/>
  <c r="E174" i="10"/>
  <c r="E56" i="10"/>
  <c r="E27" i="10"/>
  <c r="E59" i="10"/>
  <c r="E73" i="10"/>
  <c r="E44" i="10"/>
  <c r="E83" i="10"/>
  <c r="E89" i="10"/>
  <c r="E37" i="10"/>
  <c r="E46" i="10"/>
  <c r="E54" i="10"/>
  <c r="E19" i="10"/>
  <c r="E103" i="10"/>
  <c r="E62" i="10"/>
  <c r="E110" i="10"/>
  <c r="E94" i="10"/>
  <c r="E193" i="10"/>
  <c r="E115" i="10"/>
  <c r="E53" i="10"/>
  <c r="E117" i="10"/>
  <c r="E90" i="10"/>
  <c r="E146" i="10"/>
  <c r="E18" i="10"/>
  <c r="E64" i="10"/>
  <c r="E185" i="10"/>
  <c r="E195" i="10"/>
  <c r="E100" i="10"/>
  <c r="E144" i="10"/>
  <c r="E39" i="10"/>
  <c r="E180" i="10"/>
  <c r="E87" i="10"/>
  <c r="E129" i="10"/>
  <c r="E137" i="10"/>
  <c r="E114" i="10"/>
  <c r="E159" i="10"/>
  <c r="E112" i="10"/>
  <c r="E113" i="10"/>
  <c r="E186" i="10"/>
  <c r="E75" i="10"/>
  <c r="E153" i="10"/>
  <c r="E76" i="10"/>
  <c r="E84" i="10"/>
  <c r="E49" i="10"/>
  <c r="E55" i="10"/>
  <c r="E101" i="10"/>
  <c r="E80" i="10"/>
  <c r="E172" i="10"/>
  <c r="E147" i="10"/>
  <c r="E51" i="10"/>
  <c r="E190" i="10"/>
  <c r="E119" i="10"/>
  <c r="E61" i="10"/>
  <c r="E74" i="10"/>
  <c r="E50" i="10"/>
  <c r="E124" i="10"/>
  <c r="E78" i="10"/>
  <c r="E157" i="10"/>
  <c r="E125" i="10"/>
  <c r="E168" i="10"/>
  <c r="E69" i="10"/>
  <c r="E47" i="10"/>
  <c r="E65" i="10"/>
  <c r="E72" i="10"/>
  <c r="E20" i="10"/>
  <c r="E156" i="10"/>
  <c r="E95" i="10"/>
  <c r="E29" i="10"/>
  <c r="E151" i="10"/>
  <c r="E17" i="10"/>
  <c r="E118" i="10"/>
  <c r="E57" i="10"/>
  <c r="E194" i="10"/>
  <c r="E127" i="10"/>
  <c r="E105" i="10"/>
  <c r="E121" i="10"/>
  <c r="E31" i="10"/>
  <c r="E24" i="10"/>
  <c r="E143" i="10"/>
  <c r="E25" i="10"/>
  <c r="E122" i="10"/>
  <c r="E106" i="10"/>
  <c r="E141" i="10"/>
  <c r="E177" i="10"/>
  <c r="E173" i="10"/>
  <c r="E32" i="10"/>
  <c r="E111" i="10"/>
  <c r="E132" i="10"/>
  <c r="E136" i="10"/>
  <c r="E162" i="10"/>
  <c r="E142" i="10"/>
  <c r="E160" i="10"/>
  <c r="E86" i="10"/>
  <c r="E107" i="10"/>
  <c r="E77" i="10"/>
  <c r="E120" i="10"/>
  <c r="E133" i="10"/>
  <c r="E63" i="10"/>
  <c r="E148" i="10"/>
  <c r="E161" i="10"/>
  <c r="E130" i="10"/>
  <c r="E42" i="10"/>
  <c r="E183" i="10"/>
  <c r="E154" i="10"/>
  <c r="E41" i="10"/>
  <c r="E165" i="10"/>
  <c r="E175" i="10"/>
  <c r="E128" i="10"/>
  <c r="E96" i="10"/>
  <c r="E71" i="10"/>
  <c r="E155" i="10"/>
  <c r="E88" i="10"/>
  <c r="E48" i="10"/>
  <c r="E152" i="10"/>
  <c r="E178" i="10"/>
  <c r="E158" i="10"/>
  <c r="E134" i="10"/>
  <c r="E26" i="10"/>
  <c r="E149" i="10"/>
  <c r="E197" i="10"/>
  <c r="E38" i="10"/>
  <c r="E40" i="10"/>
  <c r="E68" i="10"/>
  <c r="E60" i="10"/>
  <c r="E93" i="10"/>
  <c r="E123" i="10"/>
  <c r="E187" i="10"/>
  <c r="E85" i="10"/>
  <c r="E98" i="10"/>
  <c r="E131" i="10"/>
  <c r="E167" i="10"/>
  <c r="E164" i="10"/>
  <c r="E139" i="10"/>
  <c r="D10" i="10" l="1"/>
  <c r="N26" i="20" s="1"/>
  <c r="C17" i="10"/>
  <c r="I8" i="10"/>
  <c r="B13" i="10"/>
  <c r="B17" i="10" s="1" a="1"/>
  <c r="D11" i="10"/>
  <c r="N22" i="20" s="1"/>
  <c r="Q25" i="20" l="1"/>
  <c r="Q28" i="20"/>
  <c r="Q26" i="20"/>
  <c r="Q27" i="20"/>
  <c r="Q29" i="20"/>
  <c r="B17" i="10"/>
  <c r="Q20" i="20" s="1"/>
  <c r="Q24" i="20"/>
  <c r="Q22" i="20"/>
  <c r="Q21" i="20"/>
  <c r="Q23" i="20"/>
  <c r="F17" i="10"/>
  <c r="I12" i="10"/>
  <c r="W12" i="20" s="1"/>
  <c r="D17" i="10"/>
  <c r="H17" i="10"/>
  <c r="T29" i="20" l="1"/>
  <c r="T27" i="20"/>
  <c r="T26" i="20"/>
  <c r="T28" i="20"/>
  <c r="T25" i="20"/>
  <c r="T23" i="20"/>
  <c r="T21" i="20"/>
  <c r="T22" i="20"/>
  <c r="T24" i="20"/>
  <c r="T20" i="20"/>
  <c r="C18" i="10"/>
  <c r="G17" i="10"/>
  <c r="H18" i="10" l="1"/>
  <c r="C19" i="10" s="1"/>
  <c r="F19" i="10" s="1"/>
  <c r="F18" i="10"/>
  <c r="G18" i="10" s="1"/>
  <c r="D18" i="10"/>
  <c r="H19" i="10" l="1"/>
  <c r="D19" i="10"/>
  <c r="G19" i="10"/>
  <c r="C20" i="10" l="1"/>
  <c r="D20" i="10" l="1"/>
  <c r="F20" i="10"/>
  <c r="H20" i="10"/>
  <c r="G20" i="10" l="1"/>
  <c r="C21" i="10"/>
  <c r="H21" i="10" l="1"/>
  <c r="F21" i="10"/>
  <c r="D21" i="10"/>
  <c r="G21" i="10" l="1"/>
  <c r="C22" i="10"/>
  <c r="F22" i="10" l="1"/>
  <c r="G22" i="10" s="1"/>
  <c r="D22" i="10"/>
  <c r="H22" i="10"/>
  <c r="C23" i="10" s="1"/>
  <c r="F23" i="10" l="1"/>
  <c r="G23" i="10" s="1"/>
  <c r="H23" i="10"/>
  <c r="C24" i="10" s="1"/>
  <c r="D23" i="10"/>
  <c r="H24" i="10" l="1"/>
  <c r="C25" i="10" s="1"/>
  <c r="F24" i="10"/>
  <c r="G24" i="10" s="1"/>
  <c r="D24" i="10"/>
  <c r="H25" i="10" l="1"/>
  <c r="C26" i="10" s="1"/>
  <c r="D25" i="10"/>
  <c r="F25" i="10"/>
  <c r="G25" i="10" s="1"/>
  <c r="H26" i="10" l="1"/>
  <c r="C27" i="10" s="1"/>
  <c r="D26" i="10"/>
  <c r="F26" i="10"/>
  <c r="G26" i="10" s="1"/>
  <c r="F27" i="10" l="1"/>
  <c r="G27" i="10" s="1"/>
  <c r="D27" i="10"/>
  <c r="H27" i="10"/>
  <c r="C28" i="10" s="1"/>
  <c r="D28" i="10" l="1"/>
  <c r="H28" i="10"/>
  <c r="C29" i="10" s="1"/>
  <c r="F28" i="10"/>
  <c r="G28" i="10" s="1"/>
  <c r="D29" i="10" l="1"/>
  <c r="H29" i="10"/>
  <c r="C30" i="10" s="1"/>
  <c r="F29" i="10"/>
  <c r="G29" i="10" s="1"/>
  <c r="F30" i="10" l="1"/>
  <c r="G30" i="10" s="1"/>
  <c r="H30" i="10"/>
  <c r="C31" i="10" s="1"/>
  <c r="D30" i="10"/>
  <c r="F31" i="10" l="1"/>
  <c r="G31" i="10" s="1"/>
  <c r="D31" i="10"/>
  <c r="H31" i="10"/>
  <c r="C32" i="10" s="1"/>
  <c r="G9" i="10"/>
  <c r="K22" i="20" s="1"/>
  <c r="G11" i="10"/>
  <c r="G12" i="10" s="1"/>
  <c r="D32" i="10" l="1"/>
  <c r="F32" i="10"/>
  <c r="G32" i="10" s="1"/>
  <c r="H32" i="10"/>
  <c r="C33" i="10" s="1"/>
  <c r="H33" i="10" l="1"/>
  <c r="C34" i="10" s="1"/>
  <c r="D33" i="10"/>
  <c r="F33" i="10"/>
  <c r="G33" i="10" s="1"/>
  <c r="D34" i="10" l="1"/>
  <c r="H34" i="10"/>
  <c r="C35" i="10" s="1"/>
  <c r="F34" i="10"/>
  <c r="G34" i="10" s="1"/>
  <c r="G8" i="10" s="1"/>
  <c r="K21" i="20" s="1"/>
  <c r="F35" i="10" l="1"/>
  <c r="G35" i="10" s="1"/>
  <c r="H35" i="10"/>
  <c r="C36" i="10" s="1"/>
  <c r="D35" i="10"/>
  <c r="R20" i="20" l="1"/>
  <c r="F36" i="10"/>
  <c r="D36" i="10"/>
  <c r="S20" i="20" s="1"/>
  <c r="H36" i="10"/>
  <c r="C37" i="10" l="1"/>
  <c r="W20" i="20"/>
  <c r="G36" i="10"/>
  <c r="V20" i="20" s="1"/>
  <c r="U20" i="20"/>
  <c r="R21" i="20" l="1"/>
  <c r="D37" i="10"/>
  <c r="S21" i="20" s="1"/>
  <c r="F37" i="10"/>
  <c r="H37" i="10"/>
  <c r="G37" i="10" l="1"/>
  <c r="V21" i="20" s="1"/>
  <c r="U21" i="20"/>
  <c r="C38" i="10"/>
  <c r="W21" i="20"/>
  <c r="R22" i="20" l="1"/>
  <c r="D38" i="10"/>
  <c r="S22" i="20" s="1"/>
  <c r="F38" i="10"/>
  <c r="H38" i="10"/>
  <c r="G38" i="10" l="1"/>
  <c r="V22" i="20" s="1"/>
  <c r="U22" i="20"/>
  <c r="C39" i="10"/>
  <c r="W22" i="20"/>
  <c r="R23" i="20" l="1"/>
  <c r="D39" i="10"/>
  <c r="S23" i="20" s="1"/>
  <c r="F39" i="10"/>
  <c r="H39" i="10"/>
  <c r="C40" i="10" l="1"/>
  <c r="W23" i="20"/>
  <c r="G39" i="10"/>
  <c r="V23" i="20" s="1"/>
  <c r="U23" i="20"/>
  <c r="R24" i="20" l="1"/>
  <c r="H40" i="10"/>
  <c r="D40" i="10"/>
  <c r="S24" i="20" s="1"/>
  <c r="F40" i="10"/>
  <c r="G40" i="10" l="1"/>
  <c r="V24" i="20" s="1"/>
  <c r="U24" i="20"/>
  <c r="C41" i="10"/>
  <c r="W24" i="20"/>
  <c r="R25" i="20" l="1"/>
  <c r="D41" i="10"/>
  <c r="S25" i="20" s="1"/>
  <c r="F41" i="10"/>
  <c r="H41" i="10"/>
  <c r="C42" i="10" l="1"/>
  <c r="W25" i="20"/>
  <c r="G41" i="10"/>
  <c r="V25" i="20" s="1"/>
  <c r="U25" i="20"/>
  <c r="R26" i="20" l="1"/>
  <c r="D42" i="10"/>
  <c r="S26" i="20" s="1"/>
  <c r="F42" i="10"/>
  <c r="H42" i="10"/>
  <c r="C43" i="10" l="1"/>
  <c r="W26" i="20"/>
  <c r="G42" i="10"/>
  <c r="V26" i="20" s="1"/>
  <c r="U26" i="20"/>
  <c r="R27" i="20" l="1"/>
  <c r="D43" i="10"/>
  <c r="S27" i="20" s="1"/>
  <c r="F43" i="10"/>
  <c r="H43" i="10"/>
  <c r="C44" i="10" l="1"/>
  <c r="W27" i="20"/>
  <c r="G43" i="10"/>
  <c r="V27" i="20" s="1"/>
  <c r="U27" i="20"/>
  <c r="R28" i="20" l="1"/>
  <c r="F44" i="10"/>
  <c r="D44" i="10"/>
  <c r="S28" i="20" s="1"/>
  <c r="H44" i="10"/>
  <c r="C45" i="10" l="1"/>
  <c r="W28" i="20"/>
  <c r="G44" i="10"/>
  <c r="V28" i="20" s="1"/>
  <c r="U28" i="20"/>
  <c r="R29" i="20" l="1"/>
  <c r="F45" i="10"/>
  <c r="D45" i="10"/>
  <c r="S29" i="20" s="1"/>
  <c r="H45" i="10"/>
  <c r="G45" i="10" l="1"/>
  <c r="V29" i="20" s="1"/>
  <c r="U29" i="20"/>
  <c r="C46" i="10"/>
  <c r="W29" i="20"/>
  <c r="F46" i="10" l="1"/>
  <c r="G46" i="10" s="1"/>
  <c r="H46" i="10"/>
  <c r="C47" i="10" s="1"/>
  <c r="D46" i="10"/>
  <c r="F47" i="10" l="1"/>
  <c r="G47" i="10" s="1"/>
  <c r="D47" i="10"/>
  <c r="H47" i="10"/>
  <c r="C48" i="10" s="1"/>
  <c r="D48" i="10" l="1"/>
  <c r="F48" i="10"/>
  <c r="G48" i="10" s="1"/>
  <c r="H48" i="10"/>
  <c r="C49" i="10" s="1"/>
  <c r="F49" i="10" l="1"/>
  <c r="G49" i="10" s="1"/>
  <c r="D49" i="10"/>
  <c r="H49" i="10"/>
  <c r="C50" i="10" s="1"/>
  <c r="D50" i="10" l="1"/>
  <c r="F50" i="10"/>
  <c r="G50" i="10" s="1"/>
  <c r="H50" i="10"/>
  <c r="C51" i="10" s="1"/>
  <c r="D51" i="10" l="1"/>
  <c r="F51" i="10"/>
  <c r="G51" i="10" s="1"/>
  <c r="H51" i="10"/>
  <c r="C52" i="10" s="1"/>
  <c r="D52" i="10" l="1"/>
  <c r="H52" i="10"/>
  <c r="C53" i="10" s="1"/>
  <c r="F52" i="10"/>
  <c r="G52" i="10" s="1"/>
  <c r="H53" i="10" l="1"/>
  <c r="C54" i="10" s="1"/>
  <c r="D53" i="10"/>
  <c r="F53" i="10"/>
  <c r="G53" i="10" s="1"/>
  <c r="D54" i="10" l="1"/>
  <c r="F54" i="10"/>
  <c r="G54" i="10" s="1"/>
  <c r="H54" i="10"/>
  <c r="C55" i="10" s="1"/>
  <c r="F55" i="10" l="1"/>
  <c r="G55" i="10" s="1"/>
  <c r="D55" i="10"/>
  <c r="H55" i="10"/>
  <c r="C56" i="10" s="1"/>
  <c r="H56" i="10" l="1"/>
  <c r="C57" i="10" s="1"/>
  <c r="F56" i="10"/>
  <c r="G56" i="10" s="1"/>
  <c r="D56" i="10"/>
  <c r="D57" i="10" l="1"/>
  <c r="F57" i="10"/>
  <c r="G57" i="10" s="1"/>
  <c r="H57" i="10"/>
  <c r="C58" i="10" s="1"/>
  <c r="D58" i="10" l="1"/>
  <c r="F58" i="10"/>
  <c r="G58" i="10" s="1"/>
  <c r="H58" i="10"/>
  <c r="C59" i="10" s="1"/>
  <c r="F59" i="10" l="1"/>
  <c r="G59" i="10" s="1"/>
  <c r="D59" i="10"/>
  <c r="H59" i="10"/>
  <c r="C60" i="10" s="1"/>
  <c r="D60" i="10" l="1"/>
  <c r="H60" i="10"/>
  <c r="C61" i="10" s="1"/>
  <c r="F60" i="10"/>
  <c r="G60" i="10" s="1"/>
  <c r="H61" i="10" l="1"/>
  <c r="C62" i="10" s="1"/>
  <c r="F61" i="10"/>
  <c r="G61" i="10" s="1"/>
  <c r="D61" i="10"/>
  <c r="D62" i="10" l="1"/>
  <c r="F62" i="10"/>
  <c r="G62" i="10" s="1"/>
  <c r="H62" i="10"/>
  <c r="C63" i="10" s="1"/>
  <c r="H63" i="10" l="1"/>
  <c r="C64" i="10" s="1"/>
  <c r="F63" i="10"/>
  <c r="G63" i="10" s="1"/>
  <c r="D63" i="10"/>
  <c r="F64" i="10" l="1"/>
  <c r="G64" i="10" s="1"/>
  <c r="H64" i="10"/>
  <c r="C65" i="10" s="1"/>
  <c r="D64" i="10"/>
  <c r="K25" i="20"/>
  <c r="K27" i="20"/>
  <c r="D65" i="10" l="1"/>
  <c r="F65" i="10"/>
  <c r="G65" i="10" s="1"/>
  <c r="H65" i="10"/>
  <c r="C66" i="10" s="1"/>
  <c r="F66" i="10" l="1"/>
  <c r="G66" i="10" s="1"/>
  <c r="D66" i="10"/>
  <c r="H66" i="10"/>
  <c r="C67" i="10" s="1"/>
  <c r="D67" i="10" l="1"/>
  <c r="H67" i="10"/>
  <c r="C68" i="10" s="1"/>
  <c r="F67" i="10"/>
  <c r="G67" i="10" s="1"/>
  <c r="D68" i="10" l="1"/>
  <c r="F68" i="10"/>
  <c r="G68" i="10" s="1"/>
  <c r="H68" i="10"/>
  <c r="C69" i="10" s="1"/>
  <c r="D69" i="10" l="1"/>
  <c r="F69" i="10"/>
  <c r="G69" i="10" s="1"/>
  <c r="H69" i="10"/>
  <c r="C70" i="10" s="1"/>
  <c r="D70" i="10" l="1"/>
  <c r="F70" i="10"/>
  <c r="G70" i="10" s="1"/>
  <c r="H70" i="10"/>
  <c r="C71" i="10" s="1"/>
  <c r="D71" i="10" l="1"/>
  <c r="F71" i="10"/>
  <c r="G71" i="10" s="1"/>
  <c r="H71" i="10"/>
  <c r="C72" i="10" s="1"/>
  <c r="F72" i="10" l="1"/>
  <c r="G72" i="10" s="1"/>
  <c r="H72" i="10"/>
  <c r="C73" i="10" s="1"/>
  <c r="D72" i="10"/>
  <c r="F73" i="10" l="1"/>
  <c r="G73" i="10" s="1"/>
  <c r="D73" i="10"/>
  <c r="H73" i="10"/>
  <c r="C74" i="10" s="1"/>
  <c r="D74" i="10" l="1"/>
  <c r="H74" i="10"/>
  <c r="C75" i="10" s="1"/>
  <c r="F74" i="10"/>
  <c r="G74" i="10" s="1"/>
  <c r="D75" i="10" l="1"/>
  <c r="F75" i="10"/>
  <c r="G75" i="10" s="1"/>
  <c r="H75" i="10"/>
  <c r="C76" i="10" s="1"/>
  <c r="D76" i="10" l="1"/>
  <c r="F76" i="10"/>
  <c r="G76" i="10" s="1"/>
  <c r="H76" i="10"/>
  <c r="C77" i="10" s="1"/>
  <c r="F77" i="10" l="1"/>
  <c r="G77" i="10" s="1"/>
  <c r="H77" i="10"/>
  <c r="C78" i="10" s="1"/>
  <c r="D77" i="10"/>
  <c r="F78" i="10" l="1"/>
  <c r="G78" i="10" s="1"/>
  <c r="D78" i="10"/>
  <c r="H78" i="10"/>
  <c r="C79" i="10" s="1"/>
  <c r="H79" i="10" l="1"/>
  <c r="C80" i="10" s="1"/>
  <c r="D79" i="10"/>
  <c r="F79" i="10"/>
  <c r="G79" i="10" s="1"/>
  <c r="D80" i="10" l="1"/>
  <c r="H80" i="10"/>
  <c r="C81" i="10" s="1"/>
  <c r="F80" i="10"/>
  <c r="G80" i="10" s="1"/>
  <c r="D81" i="10" l="1"/>
  <c r="F81" i="10"/>
  <c r="G81" i="10" s="1"/>
  <c r="H81" i="10"/>
  <c r="C82" i="10" s="1"/>
  <c r="F82" i="10" l="1"/>
  <c r="G82" i="10" s="1"/>
  <c r="D82" i="10"/>
  <c r="H82" i="10"/>
  <c r="C83" i="10" s="1"/>
  <c r="F83" i="10" l="1"/>
  <c r="G83" i="10" s="1"/>
  <c r="D83" i="10"/>
  <c r="H83" i="10"/>
  <c r="C84" i="10" s="1"/>
  <c r="F84" i="10" l="1"/>
  <c r="G84" i="10" s="1"/>
  <c r="D84" i="10"/>
  <c r="H84" i="10"/>
  <c r="C85" i="10" s="1"/>
  <c r="F85" i="10" l="1"/>
  <c r="G85" i="10" s="1"/>
  <c r="D85" i="10"/>
  <c r="H85" i="10"/>
  <c r="C86" i="10" s="1"/>
  <c r="F86" i="10" l="1"/>
  <c r="G86" i="10" s="1"/>
  <c r="D86" i="10"/>
  <c r="H86" i="10"/>
  <c r="C87" i="10" s="1"/>
  <c r="D87" i="10" l="1"/>
  <c r="H87" i="10"/>
  <c r="C88" i="10" s="1"/>
  <c r="F87" i="10"/>
  <c r="G87" i="10" s="1"/>
  <c r="F88" i="10" l="1"/>
  <c r="G88" i="10" s="1"/>
  <c r="D88" i="10"/>
  <c r="H88" i="10"/>
  <c r="C89" i="10" s="1"/>
  <c r="F89" i="10" l="1"/>
  <c r="G89" i="10" s="1"/>
  <c r="D89" i="10"/>
  <c r="H89" i="10"/>
  <c r="C90" i="10" s="1"/>
  <c r="D90" i="10" l="1"/>
  <c r="H90" i="10"/>
  <c r="C91" i="10" s="1"/>
  <c r="F90" i="10"/>
  <c r="G90" i="10" s="1"/>
  <c r="F91" i="10" l="1"/>
  <c r="G91" i="10" s="1"/>
  <c r="H91" i="10"/>
  <c r="C92" i="10" s="1"/>
  <c r="D91" i="10"/>
  <c r="F92" i="10" l="1"/>
  <c r="G92" i="10" s="1"/>
  <c r="D92" i="10"/>
  <c r="H92" i="10"/>
  <c r="C93" i="10" s="1"/>
  <c r="F93" i="10" l="1"/>
  <c r="G93" i="10" s="1"/>
  <c r="D93" i="10"/>
  <c r="H93" i="10"/>
  <c r="C94" i="10" s="1"/>
  <c r="F94" i="10" l="1"/>
  <c r="G94" i="10" s="1"/>
  <c r="D94" i="10"/>
  <c r="H94" i="10"/>
  <c r="C95" i="10" s="1"/>
  <c r="F95" i="10" l="1"/>
  <c r="G95" i="10" s="1"/>
  <c r="D95" i="10"/>
  <c r="H95" i="10"/>
  <c r="C96" i="10" s="1"/>
  <c r="D96" i="10" l="1"/>
  <c r="F96" i="10"/>
  <c r="G96" i="10" s="1"/>
  <c r="H96" i="10"/>
  <c r="C97" i="10" s="1"/>
  <c r="H97" i="10" l="1"/>
  <c r="C98" i="10" s="1"/>
  <c r="D97" i="10"/>
  <c r="F97" i="10"/>
  <c r="G97" i="10" s="1"/>
  <c r="F98" i="10" l="1"/>
  <c r="G98" i="10" s="1"/>
  <c r="D98" i="10"/>
  <c r="H98" i="10"/>
  <c r="C99" i="10" s="1"/>
  <c r="D99" i="10" l="1"/>
  <c r="F99" i="10"/>
  <c r="G99" i="10" s="1"/>
  <c r="H99" i="10"/>
  <c r="C100" i="10" s="1"/>
  <c r="F100" i="10" l="1"/>
  <c r="G100" i="10" s="1"/>
  <c r="H100" i="10"/>
  <c r="C101" i="10" s="1"/>
  <c r="D100" i="10"/>
  <c r="F101" i="10" l="1"/>
  <c r="G101" i="10" s="1"/>
  <c r="D101" i="10"/>
  <c r="H101" i="10"/>
  <c r="C102" i="10" s="1"/>
  <c r="D102" i="10" l="1"/>
  <c r="F102" i="10"/>
  <c r="G102" i="10" s="1"/>
  <c r="H102" i="10"/>
  <c r="C103" i="10" s="1"/>
  <c r="H103" i="10" l="1"/>
  <c r="C104" i="10" s="1"/>
  <c r="F103" i="10"/>
  <c r="G103" i="10" s="1"/>
  <c r="D103" i="10"/>
  <c r="D104" i="10" l="1"/>
  <c r="F104" i="10"/>
  <c r="G104" i="10" s="1"/>
  <c r="H104" i="10"/>
  <c r="C105" i="10" s="1"/>
  <c r="F105" i="10" l="1"/>
  <c r="G105" i="10" s="1"/>
  <c r="D105" i="10"/>
  <c r="H105" i="10"/>
  <c r="C106" i="10" s="1"/>
  <c r="F106" i="10" l="1"/>
  <c r="G106" i="10" s="1"/>
  <c r="H106" i="10"/>
  <c r="C107" i="10" s="1"/>
  <c r="D106" i="10"/>
  <c r="D107" i="10" l="1"/>
  <c r="H107" i="10"/>
  <c r="C108" i="10" s="1"/>
  <c r="F107" i="10"/>
  <c r="G107" i="10" s="1"/>
  <c r="F108" i="10" l="1"/>
  <c r="G108" i="10" s="1"/>
  <c r="D108" i="10"/>
  <c r="H108" i="10"/>
  <c r="C109" i="10" s="1"/>
  <c r="F109" i="10" l="1"/>
  <c r="G109" i="10" s="1"/>
  <c r="H109" i="10"/>
  <c r="C110" i="10" s="1"/>
  <c r="D109" i="10"/>
  <c r="F110" i="10" l="1"/>
  <c r="G110" i="10" s="1"/>
  <c r="D110" i="10"/>
  <c r="H110" i="10"/>
  <c r="C111" i="10" s="1"/>
  <c r="F111" i="10" l="1"/>
  <c r="G111" i="10" s="1"/>
  <c r="D111" i="10"/>
  <c r="H111" i="10"/>
  <c r="C112" i="10" s="1"/>
  <c r="D112" i="10" l="1"/>
  <c r="F112" i="10"/>
  <c r="G112" i="10" s="1"/>
  <c r="H112" i="10"/>
  <c r="C113" i="10" s="1"/>
  <c r="F113" i="10" l="1"/>
  <c r="G113" i="10" s="1"/>
  <c r="D113" i="10"/>
  <c r="H113" i="10"/>
  <c r="C114" i="10" s="1"/>
  <c r="F114" i="10" l="1"/>
  <c r="G114" i="10" s="1"/>
  <c r="D114" i="10"/>
  <c r="H114" i="10"/>
  <c r="C115" i="10" s="1"/>
  <c r="D115" i="10" l="1"/>
  <c r="H115" i="10"/>
  <c r="C116" i="10" s="1"/>
  <c r="F115" i="10"/>
  <c r="G115" i="10" s="1"/>
  <c r="F116" i="10" l="1"/>
  <c r="G116" i="10" s="1"/>
  <c r="D116" i="10"/>
  <c r="H116" i="10"/>
  <c r="C117" i="10" s="1"/>
  <c r="D117" i="10" l="1"/>
  <c r="F117" i="10"/>
  <c r="G117" i="10" s="1"/>
  <c r="H117" i="10"/>
  <c r="C118" i="10" s="1"/>
  <c r="D118" i="10" l="1"/>
  <c r="H118" i="10"/>
  <c r="C119" i="10" s="1"/>
  <c r="F118" i="10"/>
  <c r="G118" i="10" s="1"/>
  <c r="F119" i="10" l="1"/>
  <c r="G119" i="10" s="1"/>
  <c r="H119" i="10"/>
  <c r="C120" i="10" s="1"/>
  <c r="D119" i="10"/>
  <c r="D120" i="10" l="1"/>
  <c r="F120" i="10"/>
  <c r="G120" i="10" s="1"/>
  <c r="H120" i="10"/>
  <c r="C121" i="10" s="1"/>
  <c r="F121" i="10" l="1"/>
  <c r="G121" i="10" s="1"/>
  <c r="H121" i="10"/>
  <c r="C122" i="10" s="1"/>
  <c r="D121" i="10"/>
  <c r="D122" i="10" l="1"/>
  <c r="F122" i="10"/>
  <c r="G122" i="10" s="1"/>
  <c r="H122" i="10"/>
  <c r="C123" i="10" s="1"/>
  <c r="F123" i="10" l="1"/>
  <c r="G123" i="10" s="1"/>
  <c r="H123" i="10"/>
  <c r="C124" i="10" s="1"/>
  <c r="D123" i="10"/>
  <c r="D124" i="10" l="1"/>
  <c r="H124" i="10"/>
  <c r="C125" i="10" s="1"/>
  <c r="F124" i="10"/>
  <c r="G124" i="10" s="1"/>
  <c r="F125" i="10" l="1"/>
  <c r="G125" i="10" s="1"/>
  <c r="D125" i="10"/>
  <c r="H125" i="10"/>
  <c r="C126" i="10" s="1"/>
  <c r="F126" i="10" l="1"/>
  <c r="G126" i="10" s="1"/>
  <c r="D126" i="10"/>
  <c r="H126" i="10"/>
  <c r="C127" i="10" s="1"/>
  <c r="F127" i="10" l="1"/>
  <c r="G127" i="10" s="1"/>
  <c r="D127" i="10"/>
  <c r="H127" i="10"/>
  <c r="C128" i="10" s="1"/>
  <c r="D128" i="10" l="1"/>
  <c r="F128" i="10"/>
  <c r="G128" i="10" s="1"/>
  <c r="H128" i="10"/>
  <c r="C129" i="10" s="1"/>
  <c r="D129" i="10" l="1"/>
  <c r="H129" i="10"/>
  <c r="C130" i="10" s="1"/>
  <c r="F129" i="10"/>
  <c r="G129" i="10" s="1"/>
  <c r="F130" i="10" l="1"/>
  <c r="G130" i="10" s="1"/>
  <c r="D130" i="10"/>
  <c r="H130" i="10"/>
  <c r="C131" i="10" s="1"/>
  <c r="F131" i="10" l="1"/>
  <c r="G131" i="10" s="1"/>
  <c r="H131" i="10"/>
  <c r="C132" i="10" s="1"/>
  <c r="D131" i="10"/>
  <c r="F132" i="10" l="1"/>
  <c r="G132" i="10" s="1"/>
  <c r="H132" i="10"/>
  <c r="C133" i="10" s="1"/>
  <c r="D132" i="10"/>
  <c r="D133" i="10" l="1"/>
  <c r="F133" i="10"/>
  <c r="G133" i="10" s="1"/>
  <c r="H133" i="10"/>
  <c r="C134" i="10" s="1"/>
  <c r="D134" i="10" l="1"/>
  <c r="F134" i="10"/>
  <c r="G134" i="10" s="1"/>
  <c r="H134" i="10"/>
  <c r="C135" i="10" s="1"/>
  <c r="D135" i="10" l="1"/>
  <c r="H135" i="10"/>
  <c r="C136" i="10" s="1"/>
  <c r="F135" i="10"/>
  <c r="G135" i="10" s="1"/>
  <c r="F136" i="10" l="1"/>
  <c r="G136" i="10" s="1"/>
  <c r="H136" i="10"/>
  <c r="C137" i="10" s="1"/>
  <c r="D136" i="10"/>
  <c r="F137" i="10" l="1"/>
  <c r="G137" i="10" s="1"/>
  <c r="D137" i="10"/>
  <c r="H137" i="10"/>
  <c r="C138" i="10" s="1"/>
  <c r="D138" i="10" l="1"/>
  <c r="F138" i="10"/>
  <c r="G138" i="10" s="1"/>
  <c r="H138" i="10"/>
  <c r="C139" i="10" s="1"/>
  <c r="D139" i="10" l="1"/>
  <c r="F139" i="10"/>
  <c r="G139" i="10" s="1"/>
  <c r="H139" i="10"/>
  <c r="C140" i="10" s="1"/>
  <c r="H140" i="10" l="1"/>
  <c r="C141" i="10" s="1"/>
  <c r="D140" i="10"/>
  <c r="F140" i="10"/>
  <c r="G140" i="10" s="1"/>
  <c r="D141" i="10" l="1"/>
  <c r="H141" i="10"/>
  <c r="C142" i="10" s="1"/>
  <c r="F141" i="10"/>
  <c r="G141" i="10" s="1"/>
  <c r="F142" i="10" l="1"/>
  <c r="G142" i="10" s="1"/>
  <c r="D142" i="10"/>
  <c r="H142" i="10"/>
  <c r="C143" i="10" s="1"/>
  <c r="F143" i="10" l="1"/>
  <c r="G143" i="10" s="1"/>
  <c r="D143" i="10"/>
  <c r="H143" i="10"/>
  <c r="C144" i="10" s="1"/>
  <c r="D144" i="10" l="1"/>
  <c r="H144" i="10"/>
  <c r="C145" i="10" s="1"/>
  <c r="F144" i="10"/>
  <c r="G144" i="10" s="1"/>
  <c r="D145" i="10" l="1"/>
  <c r="F145" i="10"/>
  <c r="G145" i="10" s="1"/>
  <c r="H145" i="10"/>
  <c r="C146" i="10" s="1"/>
  <c r="F146" i="10" l="1"/>
  <c r="G146" i="10" s="1"/>
  <c r="D146" i="10"/>
  <c r="H146" i="10"/>
  <c r="C147" i="10" s="1"/>
  <c r="F147" i="10" l="1"/>
  <c r="G147" i="10" s="1"/>
  <c r="D147" i="10"/>
  <c r="H147" i="10"/>
  <c r="C148" i="10" s="1"/>
  <c r="F148" i="10" l="1"/>
  <c r="G148" i="10" s="1"/>
  <c r="D148" i="10"/>
  <c r="H148" i="10"/>
  <c r="C149" i="10" s="1"/>
  <c r="H149" i="10" l="1"/>
  <c r="C150" i="10" s="1"/>
  <c r="F149" i="10"/>
  <c r="G149" i="10" s="1"/>
  <c r="D149" i="10"/>
  <c r="F150" i="10" l="1"/>
  <c r="G150" i="10" s="1"/>
  <c r="H150" i="10"/>
  <c r="C151" i="10" s="1"/>
  <c r="D150" i="10"/>
  <c r="H151" i="10" l="1"/>
  <c r="C152" i="10" s="1"/>
  <c r="D151" i="10"/>
  <c r="F151" i="10"/>
  <c r="G151" i="10" s="1"/>
  <c r="F152" i="10" l="1"/>
  <c r="G152" i="10" s="1"/>
  <c r="D152" i="10"/>
  <c r="H152" i="10"/>
  <c r="C153" i="10" s="1"/>
  <c r="D153" i="10" l="1"/>
  <c r="H153" i="10"/>
  <c r="C154" i="10" s="1"/>
  <c r="F153" i="10"/>
  <c r="G153" i="10" s="1"/>
  <c r="D154" i="10" l="1"/>
  <c r="F154" i="10"/>
  <c r="G154" i="10" s="1"/>
  <c r="H154" i="10"/>
  <c r="C155" i="10" s="1"/>
  <c r="F155" i="10" l="1"/>
  <c r="G155" i="10" s="1"/>
  <c r="H155" i="10"/>
  <c r="C156" i="10" s="1"/>
  <c r="D155" i="10"/>
  <c r="D156" i="10" l="1"/>
  <c r="H156" i="10"/>
  <c r="C157" i="10" s="1"/>
  <c r="F156" i="10"/>
  <c r="G156" i="10" s="1"/>
  <c r="D157" i="10" l="1"/>
  <c r="H157" i="10"/>
  <c r="C158" i="10" s="1"/>
  <c r="F157" i="10"/>
  <c r="G157" i="10" s="1"/>
  <c r="F158" i="10" l="1"/>
  <c r="G158" i="10" s="1"/>
  <c r="H158" i="10"/>
  <c r="C159" i="10" s="1"/>
  <c r="D158" i="10"/>
  <c r="F159" i="10" l="1"/>
  <c r="G159" i="10" s="1"/>
  <c r="D159" i="10"/>
  <c r="H159" i="10"/>
  <c r="C160" i="10" s="1"/>
  <c r="F160" i="10" l="1"/>
  <c r="G160" i="10" s="1"/>
  <c r="H160" i="10"/>
  <c r="C161" i="10" s="1"/>
  <c r="D160" i="10"/>
  <c r="H161" i="10" l="1"/>
  <c r="C162" i="10" s="1"/>
  <c r="D161" i="10"/>
  <c r="F161" i="10"/>
  <c r="G161" i="10" s="1"/>
  <c r="F162" i="10" l="1"/>
  <c r="G162" i="10" s="1"/>
  <c r="D162" i="10"/>
  <c r="H162" i="10"/>
  <c r="C163" i="10" s="1"/>
  <c r="D163" i="10" l="1"/>
  <c r="F163" i="10"/>
  <c r="G163" i="10" s="1"/>
  <c r="H163" i="10"/>
  <c r="C164" i="10" s="1"/>
  <c r="D164" i="10" l="1"/>
  <c r="H164" i="10"/>
  <c r="C165" i="10" s="1"/>
  <c r="F164" i="10"/>
  <c r="G164" i="10" s="1"/>
  <c r="D165" i="10" l="1"/>
  <c r="F165" i="10"/>
  <c r="G165" i="10" s="1"/>
  <c r="H165" i="10"/>
  <c r="C166" i="10" s="1"/>
  <c r="D166" i="10" l="1"/>
  <c r="F166" i="10"/>
  <c r="G166" i="10" s="1"/>
  <c r="H166" i="10"/>
  <c r="C167" i="10" s="1"/>
  <c r="D167" i="10" l="1"/>
  <c r="F167" i="10"/>
  <c r="G167" i="10" s="1"/>
  <c r="H167" i="10"/>
  <c r="C168" i="10" s="1"/>
  <c r="D168" i="10" l="1"/>
  <c r="F168" i="10"/>
  <c r="G168" i="10" s="1"/>
  <c r="H168" i="10"/>
  <c r="C169" i="10" s="1"/>
  <c r="F169" i="10" l="1"/>
  <c r="G169" i="10" s="1"/>
  <c r="D169" i="10"/>
  <c r="H169" i="10"/>
  <c r="C170" i="10" s="1"/>
  <c r="D170" i="10" l="1"/>
  <c r="F170" i="10"/>
  <c r="G170" i="10" s="1"/>
  <c r="H170" i="10"/>
  <c r="C171" i="10" s="1"/>
  <c r="H171" i="10" l="1"/>
  <c r="C172" i="10" s="1"/>
  <c r="F171" i="10"/>
  <c r="G171" i="10" s="1"/>
  <c r="D171" i="10"/>
  <c r="D172" i="10" l="1"/>
  <c r="F172" i="10"/>
  <c r="G172" i="10" s="1"/>
  <c r="H172" i="10"/>
  <c r="C173" i="10" s="1"/>
  <c r="D173" i="10" l="1"/>
  <c r="F173" i="10"/>
  <c r="G173" i="10" s="1"/>
  <c r="H173" i="10"/>
  <c r="C174" i="10" s="1"/>
  <c r="F174" i="10" l="1"/>
  <c r="G174" i="10" s="1"/>
  <c r="H174" i="10"/>
  <c r="C175" i="10" s="1"/>
  <c r="D174" i="10"/>
  <c r="F175" i="10" l="1"/>
  <c r="G175" i="10" s="1"/>
  <c r="D175" i="10"/>
  <c r="H175" i="10"/>
  <c r="C176" i="10" s="1"/>
  <c r="D176" i="10" l="1"/>
  <c r="F176" i="10"/>
  <c r="G176" i="10" s="1"/>
  <c r="H176" i="10"/>
  <c r="C177" i="10" s="1"/>
  <c r="F177" i="10" l="1"/>
  <c r="G177" i="10" s="1"/>
  <c r="H177" i="10"/>
  <c r="C178" i="10" s="1"/>
  <c r="D177" i="10"/>
  <c r="F178" i="10" l="1"/>
  <c r="G178" i="10" s="1"/>
  <c r="D178" i="10"/>
  <c r="H178" i="10"/>
  <c r="C179" i="10" s="1"/>
  <c r="F179" i="10" l="1"/>
  <c r="G179" i="10" s="1"/>
  <c r="D179" i="10"/>
  <c r="H179" i="10"/>
  <c r="C180" i="10" s="1"/>
  <c r="D180" i="10" l="1"/>
  <c r="F180" i="10"/>
  <c r="G180" i="10" s="1"/>
  <c r="H180" i="10"/>
  <c r="C181" i="10" s="1"/>
  <c r="D181" i="10" l="1"/>
  <c r="F181" i="10"/>
  <c r="G181" i="10" s="1"/>
  <c r="H181" i="10"/>
  <c r="C182" i="10" s="1"/>
  <c r="D182" i="10" l="1"/>
  <c r="F182" i="10"/>
  <c r="G182" i="10" s="1"/>
  <c r="H182" i="10"/>
  <c r="C183" i="10" s="1"/>
  <c r="D183" i="10" l="1"/>
  <c r="H183" i="10"/>
  <c r="C184" i="10" s="1"/>
  <c r="F183" i="10"/>
  <c r="G183" i="10" s="1"/>
  <c r="F184" i="10" l="1"/>
  <c r="G184" i="10" s="1"/>
  <c r="D184" i="10"/>
  <c r="H184" i="10"/>
  <c r="C185" i="10" s="1"/>
  <c r="F185" i="10" l="1"/>
  <c r="G185" i="10" s="1"/>
  <c r="D185" i="10"/>
  <c r="H185" i="10"/>
  <c r="C186" i="10" s="1"/>
  <c r="H186" i="10" l="1"/>
  <c r="C187" i="10" s="1"/>
  <c r="F186" i="10"/>
  <c r="G186" i="10" s="1"/>
  <c r="D186" i="10"/>
  <c r="H187" i="10" l="1"/>
  <c r="C188" i="10" s="1"/>
  <c r="D187" i="10"/>
  <c r="F187" i="10"/>
  <c r="G187" i="10" s="1"/>
  <c r="H188" i="10" l="1"/>
  <c r="C189" i="10" s="1"/>
  <c r="D188" i="10"/>
  <c r="F188" i="10"/>
  <c r="G188" i="10" s="1"/>
  <c r="H189" i="10" l="1"/>
  <c r="C190" i="10" s="1"/>
  <c r="D189" i="10"/>
  <c r="F189" i="10"/>
  <c r="G189" i="10" s="1"/>
  <c r="F190" i="10" l="1"/>
  <c r="G190" i="10" s="1"/>
  <c r="H190" i="10"/>
  <c r="C191" i="10" s="1"/>
  <c r="D190" i="10"/>
  <c r="H191" i="10" l="1"/>
  <c r="C192" i="10" s="1"/>
  <c r="F191" i="10"/>
  <c r="G191" i="10" s="1"/>
  <c r="D191" i="10"/>
  <c r="N25" i="22"/>
  <c r="H192" i="10" l="1"/>
  <c r="C193" i="10" s="1"/>
  <c r="F192" i="10"/>
  <c r="G192" i="10" s="1"/>
  <c r="D192" i="10"/>
  <c r="F193" i="10" l="1"/>
  <c r="G193" i="10" s="1"/>
  <c r="H193" i="10"/>
  <c r="C194" i="10" s="1"/>
  <c r="D193" i="10"/>
  <c r="D194" i="10" l="1"/>
  <c r="H194" i="10"/>
  <c r="C195" i="10" s="1"/>
  <c r="F194" i="10"/>
  <c r="G194" i="10" s="1"/>
  <c r="D195" i="10" l="1"/>
  <c r="F195" i="10"/>
  <c r="G195" i="10" s="1"/>
  <c r="H195" i="10"/>
  <c r="C196" i="10" s="1"/>
  <c r="F196" i="10" l="1"/>
  <c r="G196" i="10" s="1"/>
  <c r="D196" i="10"/>
  <c r="H196" i="10"/>
  <c r="C197" i="10" s="1"/>
  <c r="H197" i="10" l="1"/>
  <c r="D197" i="10"/>
  <c r="F197" i="10"/>
  <c r="G197" i="10" s="1"/>
  <c r="L14" i="16"/>
  <c r="O27" i="16" s="1"/>
  <c r="F36" i="16" l="1"/>
  <c r="O22" i="16"/>
  <c r="L19" i="16" s="1"/>
  <c r="G21" i="16" l="1"/>
  <c r="C22" i="16"/>
  <c r="I25" i="22"/>
  <c r="E22" i="16"/>
  <c r="H22" i="16"/>
  <c r="G22" i="16"/>
  <c r="I21" i="16"/>
  <c r="D21" i="16"/>
  <c r="I22" i="16"/>
  <c r="D22" i="16"/>
  <c r="B22" i="16"/>
  <c r="F21" i="16"/>
  <c r="F22" i="16"/>
  <c r="H21" i="16"/>
  <c r="B21" i="16"/>
  <c r="S24" i="16" l="1"/>
  <c r="O29" i="16"/>
  <c r="L25" i="16"/>
  <c r="O24" i="16"/>
  <c r="S22" i="16" s="1"/>
  <c r="O8" i="16" s="1"/>
  <c r="L8" i="16" s="1"/>
  <c r="F4" i="16" l="1"/>
  <c r="I28" i="22"/>
  <c r="D4" i="16"/>
  <c r="F38" i="16"/>
  <c r="B4" i="16"/>
  <c r="R22" i="16" s="1"/>
  <c r="H4" i="16"/>
  <c r="C21" i="16"/>
  <c r="C20" i="16"/>
  <c r="G20" i="16"/>
  <c r="T35" i="16" s="1"/>
  <c r="E20" i="16"/>
  <c r="E21" i="16"/>
  <c r="L24" i="16"/>
  <c r="I31" i="22"/>
  <c r="D20" i="16" l="1"/>
  <c r="B20" i="16"/>
  <c r="F20" i="16"/>
  <c r="H20" i="16"/>
  <c r="M14" i="16"/>
  <c r="F37" i="16"/>
  <c r="O3" i="16"/>
  <c r="L3" i="16" s="1"/>
  <c r="Q29" i="16"/>
  <c r="C36" i="16" s="1"/>
  <c r="N34" i="22" s="1"/>
  <c r="F5" i="16" l="1"/>
  <c r="I5" i="16"/>
  <c r="H5" i="16"/>
  <c r="G5" i="16"/>
  <c r="H6" i="16"/>
  <c r="B5" i="16"/>
  <c r="I6" i="16"/>
  <c r="D5" i="16"/>
  <c r="D6" i="16"/>
  <c r="E6" i="16"/>
  <c r="G6" i="16"/>
  <c r="N9" i="16" s="1"/>
  <c r="F6" i="16"/>
  <c r="B6" i="16"/>
  <c r="C6" i="16"/>
  <c r="Q31" i="16" l="1"/>
  <c r="C37" i="16" s="1"/>
  <c r="I34" i="22" s="1"/>
  <c r="M9" i="16"/>
  <c r="L9" i="16" s="1"/>
  <c r="N8" i="16"/>
  <c r="O35" i="16" s="1"/>
  <c r="R35" i="16" s="1"/>
  <c r="Q27" i="16"/>
  <c r="R27" i="16" s="1"/>
  <c r="C38" i="16" s="1"/>
  <c r="E4" i="16" l="1"/>
  <c r="G4" i="16"/>
  <c r="C4" i="16"/>
  <c r="E5" i="16"/>
  <c r="C5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tc={1C028528-C3D3-48E5-9612-C6F07B027036}</author>
    <author>tc={F09E5C51-8920-44CA-8BCA-21C0969A1D4D}</author>
    <author>tc={8FCC2E11-2589-496F-B53D-9598FEF94085}</author>
    <author>tc={3D0BFC54-A820-4A62-9A04-2D0BDAE84948}</author>
    <author>tc={B2B46151-BC07-4966-AC77-78CD6DF7AB12}</author>
  </authors>
  <commentList>
    <comment ref="A2" authorId="0" shapeId="0" xr:uid="{1C028528-C3D3-48E5-9612-C6F07B027036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what to what</t>
      </text>
    </comment>
    <comment ref="I2" authorId="1" shapeId="0" xr:uid="{F09E5C51-8920-44CA-8BCA-21C0969A1D4D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what to what</t>
      </text>
    </comment>
    <comment ref="P2" authorId="2" shapeId="0" xr:uid="{8FCC2E11-2589-496F-B53D-9598FEF94085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what to what</t>
      </text>
    </comment>
    <comment ref="W2" authorId="3" shapeId="0" xr:uid="{3D0BFC54-A820-4A62-9A04-2D0BDAE84948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what to what</t>
      </text>
    </comment>
    <comment ref="AD2" authorId="4" shapeId="0" xr:uid="{B2B46151-BC07-4966-AC77-78CD6DF7AB12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what to what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tc={D76F5275-33D3-4C3E-A3B0-DF41C83C5347}</author>
  </authors>
  <commentList>
    <comment ref="F15" authorId="0" shapeId="0" xr:uid="{D76F5275-33D3-4C3E-A3B0-DF41C83C5347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the number of interest changes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tc={E49E8468-5C6D-43BD-9B17-8F8EBDBB50FC}</author>
  </authors>
  <commentList>
    <comment ref="G27" authorId="0" shapeId="0" xr:uid="{E49E8468-5C6D-43BD-9B17-8F8EBDBB50FC}">
      <text>
        <t>[Threaded comment]
Your version of Excel allows you to read this threaded comment; however, any edits to it will get removed if the file is opened in a newer version of Excel. Learn more: https://go.microsoft.com/fwlink/?linkid=870924
Comment:
    Final Interest. Go to the block below to give values.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tc={B6BD5FD7-55C0-455E-B775-E1CFFF5433BB}</author>
  </authors>
  <commentList>
    <comment ref="F26" authorId="0" shapeId="0" xr:uid="{B6BD5FD7-55C0-455E-B775-E1CFFF5433BB}">
      <text>
        <t>[Threaded comment]
Your version of Excel allows you to read this threaded comment; however, any edits to it will get removed if the file is opened in a newer version of Excel. Learn more: https://go.microsoft.com/fwlink/?linkid=870924
Comment:
    Final Interest. Go to the block below to give values.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Jaun</author>
  </authors>
  <commentList>
    <comment ref="U15" authorId="0" shapeId="0" xr:uid="{F272BED4-6A7E-4254-A5CB-83E23BA42D65}">
      <text>
        <r>
          <rPr>
            <sz val="9"/>
            <color indexed="81"/>
            <rFont val="Tahoma"/>
            <family val="2"/>
          </rPr>
          <t xml:space="preserve">Effective interest rate requered
</t>
        </r>
      </text>
    </comment>
    <comment ref="U32" authorId="0" shapeId="0" xr:uid="{7E550F36-DBDC-4157-9ECE-FA50A2CA5D82}">
      <text>
        <r>
          <rPr>
            <sz val="9"/>
            <color indexed="81"/>
            <rFont val="Tahoma"/>
            <family val="2"/>
          </rPr>
          <t xml:space="preserve">Effective interest rate requered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Jaun</author>
  </authors>
  <commentList>
    <comment ref="P13" authorId="0" shapeId="0" xr:uid="{3E509932-5084-4CB0-9619-FE402811CAE5}">
      <text>
        <r>
          <rPr>
            <sz val="9"/>
            <color indexed="81"/>
            <rFont val="Tahoma"/>
            <family val="2"/>
          </rPr>
          <t xml:space="preserve">In %
The j value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Jaun</author>
  </authors>
  <commentList>
    <comment ref="F21" authorId="0" shapeId="0" xr:uid="{8AE6B145-60E8-477D-A1A8-BE3FC9E65EED}">
      <text>
        <r>
          <rPr>
            <b/>
            <sz val="9"/>
            <color indexed="81"/>
            <rFont val="Tahoma"/>
            <family val="2"/>
          </rPr>
          <t>Also start value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SYSTEM</author>
  </authors>
  <commentList>
    <comment ref="U5" authorId="0" shapeId="0" xr:uid="{8759612C-A777-4FCE-8489-B91244AF1516}">
      <text>
        <r>
          <rPr>
            <b/>
            <sz val="9"/>
            <color indexed="81"/>
            <rFont val="Tahoma"/>
            <charset val="1"/>
          </rPr>
          <t>SYSTEM:</t>
        </r>
        <r>
          <rPr>
            <sz val="9"/>
            <color indexed="81"/>
            <rFont val="Tahoma"/>
            <charset val="1"/>
          </rPr>
          <t xml:space="preserve">
Periods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<sst xmlns="http://schemas.openxmlformats.org/spreadsheetml/2006/main" count="750" uniqueCount="299">
  <si>
    <t>Input</t>
  </si>
  <si>
    <t>Grid</t>
  </si>
  <si>
    <t>effective annual</t>
  </si>
  <si>
    <t>effective periodical</t>
  </si>
  <si>
    <t>nominal</t>
  </si>
  <si>
    <t>simple</t>
  </si>
  <si>
    <t>effective periodic</t>
  </si>
  <si>
    <t>To:</t>
  </si>
  <si>
    <t>From:</t>
  </si>
  <si>
    <t>Interest:</t>
  </si>
  <si>
    <t>Periods:</t>
  </si>
  <si>
    <t>Years:</t>
  </si>
  <si>
    <t>Type:</t>
  </si>
  <si>
    <t>Period:</t>
  </si>
  <si>
    <t>Yes</t>
  </si>
  <si>
    <t>No</t>
  </si>
  <si>
    <t>FV</t>
  </si>
  <si>
    <t>PV</t>
  </si>
  <si>
    <t>FV:</t>
  </si>
  <si>
    <t>PV:</t>
  </si>
  <si>
    <t>i:</t>
  </si>
  <si>
    <t>n</t>
  </si>
  <si>
    <t>p</t>
  </si>
  <si>
    <t>n:</t>
  </si>
  <si>
    <t>p:</t>
  </si>
  <si>
    <t xml:space="preserve">Compounded </t>
  </si>
  <si>
    <t>Simple</t>
  </si>
  <si>
    <t>i</t>
  </si>
  <si>
    <t>Years</t>
  </si>
  <si>
    <t>interest earned</t>
  </si>
  <si>
    <t>Value I want:</t>
  </si>
  <si>
    <t>Future Value</t>
  </si>
  <si>
    <t>Present Value</t>
  </si>
  <si>
    <t>Interest</t>
  </si>
  <si>
    <t>Number of years</t>
  </si>
  <si>
    <t>Insert:</t>
  </si>
  <si>
    <t>Number of years:</t>
  </si>
  <si>
    <t>Dates</t>
  </si>
  <si>
    <t>https://pixabay.com/en/financial-crisis-stock-exchange-544944/</t>
  </si>
  <si>
    <t>Pictures:</t>
  </si>
  <si>
    <t>Answer:</t>
  </si>
  <si>
    <t>is:</t>
  </si>
  <si>
    <t>compounded</t>
  </si>
  <si>
    <t>Final interest:</t>
  </si>
  <si>
    <t>Convert Interest ⏩</t>
  </si>
  <si>
    <t>Future value</t>
  </si>
  <si>
    <t>Payments(x)</t>
  </si>
  <si>
    <t>Interest(r)</t>
  </si>
  <si>
    <t>Periods</t>
  </si>
  <si>
    <t>Grid:</t>
  </si>
  <si>
    <t>Payments:</t>
  </si>
  <si>
    <t>np:</t>
  </si>
  <si>
    <t>Present value</t>
  </si>
  <si>
    <t>payments(x)</t>
  </si>
  <si>
    <t>LB:</t>
  </si>
  <si>
    <t>UB:</t>
  </si>
  <si>
    <t>Midpoint:</t>
  </si>
  <si>
    <t>Value @ LB:</t>
  </si>
  <si>
    <t>Value @ UB:</t>
  </si>
  <si>
    <t>Value @ Midpoint:</t>
  </si>
  <si>
    <t>Arrears</t>
  </si>
  <si>
    <t>Advance</t>
  </si>
  <si>
    <t>Number of periods</t>
  </si>
  <si>
    <t>Future Value:</t>
  </si>
  <si>
    <t>Present Value:</t>
  </si>
  <si>
    <t>Value using:</t>
  </si>
  <si>
    <t>Payments(x):</t>
  </si>
  <si>
    <t>Year from:</t>
  </si>
  <si>
    <t>Year To:</t>
  </si>
  <si>
    <t>Convert:</t>
  </si>
  <si>
    <t>Number of periods:</t>
  </si>
  <si>
    <t xml:space="preserve">Amortization table </t>
  </si>
  <si>
    <t>Vlookup</t>
  </si>
  <si>
    <t>In arrears</t>
  </si>
  <si>
    <t>In advance</t>
  </si>
  <si>
    <t>L = x(1+r)PV</t>
  </si>
  <si>
    <t>Values:</t>
  </si>
  <si>
    <t>Names:</t>
  </si>
  <si>
    <t>Loan</t>
  </si>
  <si>
    <t>Repayment amount</t>
  </si>
  <si>
    <t>Get:</t>
  </si>
  <si>
    <t>payments</t>
  </si>
  <si>
    <t>Capital</t>
  </si>
  <si>
    <t>Balance @ end</t>
  </si>
  <si>
    <t>Balance @ start(after pmt)</t>
  </si>
  <si>
    <t>Balance @ start(before pmt)</t>
  </si>
  <si>
    <t>Years to:</t>
  </si>
  <si>
    <t>Years from:</t>
  </si>
  <si>
    <t>Payments</t>
  </si>
  <si>
    <t>Both(No x value)</t>
  </si>
  <si>
    <t>No x</t>
  </si>
  <si>
    <t>Interest converter</t>
  </si>
  <si>
    <t>Interest I have:</t>
  </si>
  <si>
    <t>Time period:</t>
  </si>
  <si>
    <t>Type of interest:</t>
  </si>
  <si>
    <t>Free Right Arrow, Download Free Right Arrow png images, Free ClipArts on Clipart Library (clipart-library.com)</t>
  </si>
  <si>
    <t>Type of interest I want:</t>
  </si>
  <si>
    <t>Time period I have:</t>
  </si>
  <si>
    <t>Year</t>
  </si>
  <si>
    <t>X</t>
  </si>
  <si>
    <t>Answer going to sheet:</t>
  </si>
  <si>
    <t>per year</t>
  </si>
  <si>
    <t>Total interest:</t>
  </si>
  <si>
    <t>Total Capital:</t>
  </si>
  <si>
    <t>Values I get from dashboard</t>
  </si>
  <si>
    <t>Loan Given:</t>
  </si>
  <si>
    <t>Period</t>
  </si>
  <si>
    <t>t</t>
  </si>
  <si>
    <t>Repayment</t>
  </si>
  <si>
    <t>Capital over period</t>
  </si>
  <si>
    <t>Interest over period</t>
  </si>
  <si>
    <t>Balance @ t</t>
  </si>
  <si>
    <t>Capital @ t</t>
  </si>
  <si>
    <t>Interest @ t</t>
  </si>
  <si>
    <t>Last payment</t>
  </si>
  <si>
    <t>Period in a year</t>
  </si>
  <si>
    <t>Number of payments</t>
  </si>
  <si>
    <t>Number of payments:</t>
  </si>
  <si>
    <t>Balance @ begin</t>
  </si>
  <si>
    <t>Balance after pay</t>
  </si>
  <si>
    <t>Loan Amount:</t>
  </si>
  <si>
    <t>Total capital:</t>
  </si>
  <si>
    <t>Capital @ t:</t>
  </si>
  <si>
    <t>Interest @ t:</t>
  </si>
  <si>
    <t>Capital over period:</t>
  </si>
  <si>
    <t>Interest over period:</t>
  </si>
  <si>
    <t>Balance @ t:</t>
  </si>
  <si>
    <t>Last payment:</t>
  </si>
  <si>
    <t>start</t>
  </si>
  <si>
    <t>end</t>
  </si>
  <si>
    <t>Loan amount</t>
  </si>
  <si>
    <t>Balance @ time</t>
  </si>
  <si>
    <t>over time</t>
  </si>
  <si>
    <t>total</t>
  </si>
  <si>
    <t>normal payment</t>
  </si>
  <si>
    <t>last payment</t>
  </si>
  <si>
    <t>Loan amount:</t>
  </si>
  <si>
    <t>continues</t>
  </si>
  <si>
    <t>Increasing every payment</t>
  </si>
  <si>
    <t>Increasing every k periods</t>
  </si>
  <si>
    <t>Given:</t>
  </si>
  <si>
    <t>r</t>
  </si>
  <si>
    <t>n(years)</t>
  </si>
  <si>
    <t>inflation</t>
  </si>
  <si>
    <t>Arr</t>
  </si>
  <si>
    <t>Adv</t>
  </si>
  <si>
    <t>x</t>
  </si>
  <si>
    <t>Fvgiven</t>
  </si>
  <si>
    <t>Pvgiven</t>
  </si>
  <si>
    <t>part1</t>
  </si>
  <si>
    <t>part2</t>
  </si>
  <si>
    <t>part3</t>
  </si>
  <si>
    <t>k</t>
  </si>
  <si>
    <t>m</t>
  </si>
  <si>
    <t>Single amount</t>
  </si>
  <si>
    <t>Time for single</t>
  </si>
  <si>
    <t>Amount to ajust by inflation</t>
  </si>
  <si>
    <t>An2:</t>
  </si>
  <si>
    <t>An1:</t>
  </si>
  <si>
    <t>AN2</t>
  </si>
  <si>
    <t>AN1</t>
  </si>
  <si>
    <t>Future x:</t>
  </si>
  <si>
    <t>single growth:</t>
  </si>
  <si>
    <t>Begin x:</t>
  </si>
  <si>
    <t>Pv AN2:</t>
  </si>
  <si>
    <t>Fv AN1:</t>
  </si>
  <si>
    <t>Fv AN2:</t>
  </si>
  <si>
    <t>single end:</t>
  </si>
  <si>
    <t>single:</t>
  </si>
  <si>
    <t>AN1:</t>
  </si>
  <si>
    <t>FV AN2:</t>
  </si>
  <si>
    <t>Conver changing interest:</t>
  </si>
  <si>
    <t>1st</t>
  </si>
  <si>
    <t>2de</t>
  </si>
  <si>
    <t>3de</t>
  </si>
  <si>
    <t>4th</t>
  </si>
  <si>
    <t>Amount of periods:</t>
  </si>
  <si>
    <t>Interest (effective):</t>
  </si>
  <si>
    <t>Time period (np):</t>
  </si>
  <si>
    <t>Total time:</t>
  </si>
  <si>
    <t>1st:</t>
  </si>
  <si>
    <t>2de:</t>
  </si>
  <si>
    <t>3de:</t>
  </si>
  <si>
    <t>4th:</t>
  </si>
  <si>
    <t>type:</t>
  </si>
  <si>
    <t>Interest over the total period:</t>
  </si>
  <si>
    <t>effective</t>
  </si>
  <si>
    <t>Changing interest</t>
  </si>
  <si>
    <t>Settings</t>
  </si>
  <si>
    <t>Date</t>
  </si>
  <si>
    <t>Start date:</t>
  </si>
  <si>
    <t>End date:</t>
  </si>
  <si>
    <t>Number of changes:</t>
  </si>
  <si>
    <t>Starting date:</t>
  </si>
  <si>
    <t>Number:</t>
  </si>
  <si>
    <t>Change 1:</t>
  </si>
  <si>
    <t>Change 2:</t>
  </si>
  <si>
    <t>Interest type:</t>
  </si>
  <si>
    <t>Number of months:</t>
  </si>
  <si>
    <t>Change 3:</t>
  </si>
  <si>
    <t>Change 4:</t>
  </si>
  <si>
    <t>force of interest</t>
  </si>
  <si>
    <t>Graphs to compare single investments:</t>
  </si>
  <si>
    <t>Investment options:</t>
  </si>
  <si>
    <t>Option 1:</t>
  </si>
  <si>
    <t>Amount:</t>
  </si>
  <si>
    <t>Own amount</t>
  </si>
  <si>
    <t>(Default)</t>
  </si>
  <si>
    <t>Interest rate:</t>
  </si>
  <si>
    <t>per month</t>
  </si>
  <si>
    <t>Total:</t>
  </si>
  <si>
    <t>months</t>
  </si>
  <si>
    <t>&gt;</t>
  </si>
  <si>
    <t xml:space="preserve">Specific values: </t>
  </si>
  <si>
    <t>Time(np):</t>
  </si>
  <si>
    <t>Amortization table:</t>
  </si>
  <si>
    <t>Value @ end</t>
  </si>
  <si>
    <t>Value @ end:</t>
  </si>
  <si>
    <t>Value @ start</t>
  </si>
  <si>
    <t>Interest I made:</t>
  </si>
  <si>
    <t>Capital I invested:</t>
  </si>
  <si>
    <t>Calculate:</t>
  </si>
  <si>
    <t>Present value:</t>
  </si>
  <si>
    <t>My interest:</t>
  </si>
  <si>
    <t>Special values:</t>
  </si>
  <si>
    <t>Time(t):</t>
  </si>
  <si>
    <t>Time(end):</t>
  </si>
  <si>
    <t>Total Interest:</t>
  </si>
  <si>
    <t>(t) has to be smaller than (end)</t>
  </si>
  <si>
    <t>Repayment:</t>
  </si>
  <si>
    <t>Repayments:</t>
  </si>
  <si>
    <t>Capital paid over period:</t>
  </si>
  <si>
    <t>Interest paid over period:</t>
  </si>
  <si>
    <t>Answer</t>
  </si>
  <si>
    <t>Capital paid @ t:</t>
  </si>
  <si>
    <t>Interest  paid @ t:</t>
  </si>
  <si>
    <t>Balance outstanding @ t:</t>
  </si>
  <si>
    <t>Amortization table</t>
  </si>
  <si>
    <t>Capital:</t>
  </si>
  <si>
    <t>Increasing every period</t>
  </si>
  <si>
    <t>Increasing every kth period</t>
  </si>
  <si>
    <t>Arrears or advance:</t>
  </si>
  <si>
    <t>Using  PV or FV:</t>
  </si>
  <si>
    <t>Payment (X):</t>
  </si>
  <si>
    <t>Future value (FV):</t>
  </si>
  <si>
    <t>Present Value (PV):</t>
  </si>
  <si>
    <t>Number of periods(np):</t>
  </si>
  <si>
    <t>Interest rate (r):</t>
  </si>
  <si>
    <t>Increasing rate (j):</t>
  </si>
  <si>
    <t>Convert interest:</t>
  </si>
  <si>
    <t>Arr:</t>
  </si>
  <si>
    <t>Adv:</t>
  </si>
  <si>
    <t>Increase k time per period (k):</t>
  </si>
  <si>
    <t>Value per period I want:</t>
  </si>
  <si>
    <t>Time I want to invest for:</t>
  </si>
  <si>
    <t>Periods per year:</t>
  </si>
  <si>
    <t>Time I want repayments:</t>
  </si>
  <si>
    <t>Single amount invested:</t>
  </si>
  <si>
    <t>Payments per period:</t>
  </si>
  <si>
    <t>Expected yearly inflation over the time period:</t>
  </si>
  <si>
    <t>My Interest:</t>
  </si>
  <si>
    <t>Future value of saving</t>
  </si>
  <si>
    <t>Present value of saving</t>
  </si>
  <si>
    <t>Total I will receive</t>
  </si>
  <si>
    <t>X begin:</t>
  </si>
  <si>
    <t>Simple investment calculator</t>
  </si>
  <si>
    <t>Answers:</t>
  </si>
  <si>
    <t>Given</t>
  </si>
  <si>
    <t>Average annual inflation:</t>
  </si>
  <si>
    <t>Adjusted answer:</t>
  </si>
  <si>
    <t>Nominal:</t>
  </si>
  <si>
    <t>Real:</t>
  </si>
  <si>
    <t>Option 2:</t>
  </si>
  <si>
    <t>No investment:</t>
  </si>
  <si>
    <t>arrears</t>
  </si>
  <si>
    <t>advance</t>
  </si>
  <si>
    <t>Period per year:</t>
  </si>
  <si>
    <t>Payment I will receive @ start of retirement</t>
  </si>
  <si>
    <t>Future value of single amount:</t>
  </si>
  <si>
    <t>What will I get with:</t>
  </si>
  <si>
    <t>What do I have to pay if:</t>
  </si>
  <si>
    <t>PV OR X:</t>
  </si>
  <si>
    <t>What that payment equals today:</t>
  </si>
  <si>
    <t>AN2 X:</t>
  </si>
  <si>
    <t>What I should pay:</t>
  </si>
  <si>
    <t>X:</t>
  </si>
  <si>
    <t>FV I need:</t>
  </si>
  <si>
    <t>What I should get:</t>
  </si>
  <si>
    <t>X (adjusted):</t>
  </si>
  <si>
    <t>X :</t>
  </si>
  <si>
    <t>FV I need</t>
  </si>
  <si>
    <t>PV begin:</t>
  </si>
  <si>
    <t>Fv1:</t>
  </si>
  <si>
    <t>Single1:</t>
  </si>
  <si>
    <t>PV2:</t>
  </si>
  <si>
    <t>The future value of my investments</t>
  </si>
  <si>
    <t>*Click in the middle of the chart to make it disapear</t>
  </si>
  <si>
    <t>*Click on the graph to make it disappear</t>
  </si>
  <si>
    <t>ANSWER: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</si>
</sst>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&quot;* #,##0.00_-;\-&quot;R&quot;* #,##0.00_-;_-&quot;R&quot;* &quot;-&quot;??_-;_-@_-"/>
    <numFmt numFmtId="164" formatCode="0.0000%"/>
    <numFmt numFmtId="165" formatCode="0.00000%"/>
    <numFmt numFmtId="166" formatCode="0.000000%"/>
    <numFmt numFmtId="167" formatCode="0.0000000%"/>
    <numFmt numFmtId="168" formatCode="_-[$R-1C09]* #,##0.00_-;\-[$R-1C09]* #,##0.00_-;_-[$R-1C09]* &quot;-&quot;??_-;_-@_-"/>
    <numFmt numFmtId="169" formatCode="0.000%"/>
    <numFmt numFmtId="170" formatCode="0.0%"/>
    <numFmt numFmtId="171" formatCode="0.0000"/>
    <numFmt numFmtId="172" formatCode="0.000E+00"/>
  </numFmts>
  <fonts count="87" x14ac:knownFonts="1">
    <font>
      <sz val="11"/>
      <color theme="1"/>
      <name val="Rockwell"/>
      <family val="2"/>
      <scheme val="minor"/>
    </font>
    <font>
      <sz val="11"/>
      <color theme="1"/>
      <name val="Rockwell"/>
      <family val="2"/>
      <scheme val="minor"/>
    </font>
    <font>
      <b/>
      <sz val="15"/>
      <color theme="3"/>
      <name val="Rockwell"/>
      <family val="2"/>
      <scheme val="minor"/>
    </font>
    <font>
      <sz val="11"/>
      <color theme="0"/>
      <name val="Rockwell"/>
      <family val="2"/>
      <scheme val="minor"/>
    </font>
    <font>
      <sz val="11"/>
      <color theme="1"/>
      <name val="Rockwell"/>
      <family val="1"/>
      <scheme val="minor"/>
    </font>
    <font>
      <b/>
      <sz val="28"/>
      <color theme="0"/>
      <name val="Rockwell"/>
      <family val="1"/>
      <scheme val="minor"/>
    </font>
    <font>
      <sz val="11"/>
      <color theme="0"/>
      <name val="Rockwell"/>
      <family val="1"/>
      <scheme val="minor"/>
    </font>
    <font>
      <sz val="14"/>
      <color theme="0"/>
      <name val="Rockwell"/>
      <family val="1"/>
      <scheme val="minor"/>
    </font>
    <font>
      <b/>
      <u/>
      <sz val="11"/>
      <color theme="1"/>
      <name val="Rockwell"/>
      <family val="1"/>
      <scheme val="minor"/>
    </font>
    <font>
      <b/>
      <sz val="18"/>
      <color theme="0"/>
      <name val="Rockwell"/>
      <family val="1"/>
      <scheme val="minor"/>
    </font>
    <font>
      <b/>
      <u/>
      <sz val="22"/>
      <color theme="0"/>
      <name val="Rockwell"/>
      <family val="1"/>
      <scheme val="minor"/>
    </font>
    <font>
      <sz val="22"/>
      <color theme="0"/>
      <name val="Rockwell"/>
      <family val="1"/>
      <scheme val="minor"/>
    </font>
    <font>
      <sz val="24"/>
      <color theme="0"/>
      <name val="Rockwell"/>
      <family val="1"/>
      <scheme val="minor"/>
    </font>
    <font>
      <sz val="16"/>
      <color theme="0"/>
      <name val="Rockwell"/>
      <family val="2"/>
      <scheme val="minor"/>
    </font>
    <font>
      <b/>
      <sz val="16"/>
      <color theme="0"/>
      <name val="Rockwell"/>
      <family val="1"/>
      <scheme val="minor"/>
    </font>
    <font>
      <sz val="20"/>
      <color theme="1"/>
      <name val="Rockwell"/>
      <family val="2"/>
      <scheme val="minor"/>
    </font>
    <font>
      <b/>
      <sz val="26"/>
      <color theme="1"/>
      <name val="Rockwell"/>
      <family val="1"/>
      <scheme val="minor"/>
    </font>
    <font>
      <b/>
      <sz val="26"/>
      <color theme="1"/>
      <name val="Bookman Old Style"/>
      <family val="1"/>
      <scheme val="major"/>
    </font>
    <font>
      <sz val="48"/>
      <color theme="2" tint="-0.749992370372631"/>
      <name val="Rockwell"/>
      <family val="2"/>
      <scheme val="minor"/>
    </font>
    <font>
      <sz val="11"/>
      <color theme="2" tint="-0.749992370372631"/>
      <name val="Rockwell"/>
      <family val="2"/>
      <scheme val="minor"/>
    </font>
    <font>
      <sz val="14"/>
      <color theme="2" tint="-0.749992370372631"/>
      <name val="Rockwell"/>
      <family val="1"/>
      <scheme val="minor"/>
    </font>
    <font>
      <sz val="16"/>
      <color theme="2" tint="-0.749992370372631"/>
      <name val="Rockwell"/>
      <family val="2"/>
      <scheme val="minor"/>
    </font>
    <font>
      <sz val="12"/>
      <color theme="1"/>
      <name val="Rockwell"/>
      <family val="2"/>
      <scheme val="minor"/>
    </font>
    <font>
      <sz val="14"/>
      <color theme="0" tint="-0.14999847407452621"/>
      <name val="Rockwell"/>
      <family val="2"/>
      <scheme val="minor"/>
    </font>
    <font>
      <sz val="18"/>
      <color theme="1"/>
      <name val="Rockwell"/>
      <family val="2"/>
      <scheme val="minor"/>
    </font>
    <font>
      <sz val="12"/>
      <color theme="2" tint="-0.749992370372631"/>
      <name val="Rockwell"/>
      <family val="2"/>
      <scheme val="minor"/>
    </font>
    <font>
      <b/>
      <sz val="12"/>
      <color theme="2" tint="-0.749992370372631"/>
      <name val="Rockwell"/>
      <family val="1"/>
      <scheme val="minor"/>
    </font>
    <font>
      <sz val="18"/>
      <color theme="0" tint="-0.14999847407452621"/>
      <name val="Rockwell"/>
      <family val="2"/>
      <scheme val="minor"/>
    </font>
    <font>
      <b/>
      <i/>
      <sz val="24"/>
      <color theme="0" tint="-0.14999847407452621"/>
      <name val="Rockwell"/>
      <family val="1"/>
      <scheme val="minor"/>
    </font>
    <font>
      <b/>
      <i/>
      <sz val="22"/>
      <color theme="0" tint="-0.14999847407452621"/>
      <name val="Rockwell"/>
      <family val="1"/>
      <scheme val="minor"/>
    </font>
    <font>
      <u/>
      <sz val="11"/>
      <color theme="10"/>
      <name val="Rockwell"/>
      <family val="2"/>
      <scheme val="minor"/>
    </font>
    <font>
      <sz val="22"/>
      <color theme="2" tint="-0.749992370372631"/>
      <name val="Rockwell"/>
      <family val="2"/>
      <scheme val="minor"/>
    </font>
    <font>
      <sz val="24"/>
      <color theme="2" tint="-0.749992370372631"/>
      <name val="Rockwell"/>
      <family val="2"/>
      <scheme val="minor"/>
    </font>
    <font>
      <sz val="14"/>
      <color theme="2" tint="-0.749992370372631"/>
      <name val="Rockwell"/>
      <family val="2"/>
      <scheme val="minor"/>
    </font>
    <font>
      <b/>
      <i/>
      <sz val="18"/>
      <color theme="0" tint="-0.14999847407452621"/>
      <name val="Rockwell"/>
      <family val="1"/>
      <scheme val="minor"/>
    </font>
    <font>
      <sz val="22"/>
      <color theme="0" tint="-0.14999847407452621"/>
      <name val="Rockwell"/>
      <family val="2"/>
      <scheme val="minor"/>
    </font>
    <font>
      <sz val="72"/>
      <color theme="0" tint="-0.14999847407452621"/>
      <name val="Rockwell"/>
      <family val="2"/>
      <scheme val="minor"/>
    </font>
    <font>
      <sz val="18"/>
      <color theme="2" tint="-0.749992370372631"/>
      <name val="Rockwell"/>
      <family val="2"/>
      <scheme val="minor"/>
    </font>
    <font>
      <b/>
      <sz val="16"/>
      <color theme="2" tint="-0.749992370372631"/>
      <name val="Rockwell"/>
      <family val="1"/>
      <scheme val="minor"/>
    </font>
    <font>
      <sz val="11"/>
      <color theme="0" tint="-0.14999847407452621"/>
      <name val="Rockwell"/>
      <family val="2"/>
      <scheme val="minor"/>
    </font>
    <font>
      <sz val="48"/>
      <color theme="0" tint="-0.14999847407452621"/>
      <name val="Rockwell"/>
      <family val="2"/>
      <scheme val="minor"/>
    </font>
    <font>
      <sz val="11"/>
      <color theme="0" tint="-0.14999847407452621"/>
      <name val="Rockwell"/>
      <family val="1"/>
      <scheme val="minor"/>
    </font>
    <font>
      <b/>
      <sz val="11"/>
      <color theme="1"/>
      <name val="Rockwell"/>
      <family val="1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0" tint="-4.9989318521683403E-2"/>
      <name val="Rockwell"/>
      <family val="2"/>
      <scheme val="minor"/>
    </font>
    <font>
      <sz val="12"/>
      <color theme="0" tint="-4.9989318521683403E-2"/>
      <name val="Rockwell"/>
      <family val="2"/>
      <scheme val="minor"/>
    </font>
    <font>
      <sz val="22"/>
      <color theme="2" tint="-0.749992370372631"/>
      <name val="Rockwell"/>
      <family val="1"/>
      <scheme val="minor"/>
    </font>
    <font>
      <sz val="11"/>
      <color theme="2" tint="-0.749992370372631"/>
      <name val="Rockwell"/>
      <family val="1"/>
      <scheme val="minor"/>
    </font>
    <font>
      <u/>
      <sz val="24"/>
      <color theme="0" tint="-0.14999847407452621"/>
      <name val="Rockwell"/>
      <family val="2"/>
      <scheme val="minor"/>
    </font>
    <font>
      <sz val="12"/>
      <color theme="0" tint="-0.14999847407452621"/>
      <name val="Rockwell"/>
      <family val="2"/>
      <scheme val="minor"/>
    </font>
    <font>
      <sz val="16"/>
      <color theme="2" tint="-0.749992370372631"/>
      <name val="Rockwell"/>
      <family val="1"/>
      <scheme val="minor"/>
    </font>
    <font>
      <sz val="16"/>
      <color theme="0" tint="-0.14999847407452621"/>
      <name val="Rockwell"/>
      <family val="2"/>
      <scheme val="minor"/>
    </font>
    <font>
      <b/>
      <u/>
      <sz val="16"/>
      <color theme="2" tint="-0.749992370372631"/>
      <name val="Rockwell"/>
      <family val="1"/>
      <scheme val="minor"/>
    </font>
    <font>
      <b/>
      <sz val="14"/>
      <color theme="2" tint="-0.749992370372631"/>
      <name val="Rockwell"/>
      <family val="1"/>
      <scheme val="minor"/>
    </font>
    <font>
      <b/>
      <u/>
      <sz val="48"/>
      <color theme="0" tint="-0.14999847407452621"/>
      <name val="Rockwell"/>
      <family val="1"/>
      <scheme val="minor"/>
    </font>
    <font>
      <b/>
      <u/>
      <sz val="20"/>
      <color theme="2" tint="-0.749992370372631"/>
      <name val="Rockwell"/>
      <family val="1"/>
      <scheme val="minor"/>
    </font>
    <font>
      <b/>
      <u/>
      <sz val="22"/>
      <color theme="2" tint="-0.749992370372631"/>
      <name val="Rockwell"/>
      <family val="1"/>
      <scheme val="minor"/>
    </font>
    <font>
      <b/>
      <u/>
      <sz val="48"/>
      <color theme="2" tint="-0.749992370372631"/>
      <name val="Rockwell"/>
      <family val="1"/>
      <scheme val="minor"/>
    </font>
    <font>
      <b/>
      <sz val="18"/>
      <color theme="2" tint="-0.749992370372631"/>
      <name val="Rockwell"/>
      <family val="1"/>
      <scheme val="minor"/>
    </font>
    <font>
      <sz val="12"/>
      <color theme="2" tint="-0.749992370372631"/>
      <name val="Rockwell"/>
      <family val="1"/>
      <scheme val="minor"/>
    </font>
    <font>
      <b/>
      <sz val="18"/>
      <color theme="0" tint="-0.14999847407452621"/>
      <name val="Rockwell"/>
      <family val="1"/>
      <scheme val="minor"/>
    </font>
    <font>
      <b/>
      <sz val="26"/>
      <color theme="2" tint="-0.749992370372631"/>
      <name val="Rockwell"/>
      <family val="1"/>
      <scheme val="minor"/>
    </font>
    <font>
      <b/>
      <sz val="20"/>
      <color theme="2" tint="-0.749992370372631"/>
      <name val="Rockwell"/>
      <family val="1"/>
      <scheme val="minor"/>
    </font>
    <font>
      <b/>
      <sz val="26"/>
      <color theme="3"/>
      <name val="Rockwell"/>
      <family val="1"/>
      <scheme val="minor"/>
    </font>
    <font>
      <sz val="11"/>
      <color theme="3"/>
      <name val="Rockwell"/>
      <family val="1"/>
      <scheme val="minor"/>
    </font>
    <font>
      <sz val="14"/>
      <color theme="3"/>
      <name val="Rockwell"/>
      <family val="1"/>
      <scheme val="minor"/>
    </font>
    <font>
      <sz val="14"/>
      <color theme="0" tint="-0.14999847407452621"/>
      <name val="Rockwell"/>
      <family val="1"/>
      <scheme val="minor"/>
    </font>
    <font>
      <sz val="16"/>
      <color theme="3"/>
      <name val="Rockwell"/>
      <family val="1"/>
      <scheme val="minor"/>
    </font>
    <font>
      <sz val="16"/>
      <color theme="0" tint="-0.14999847407452621"/>
      <name val="Rockwell"/>
      <family val="1"/>
      <scheme val="minor"/>
    </font>
    <font>
      <sz val="20"/>
      <color theme="0" tint="-0.14999847407452621"/>
      <name val="Rockwell"/>
      <family val="1"/>
      <scheme val="minor"/>
    </font>
    <font>
      <b/>
      <sz val="20"/>
      <color theme="3"/>
      <name val="Rockwell"/>
      <family val="1"/>
      <scheme val="minor"/>
    </font>
    <font>
      <sz val="16"/>
      <color rgb="FFFF0000"/>
      <name val="Rockwell"/>
      <family val="1"/>
      <scheme val="minor"/>
    </font>
    <font>
      <b/>
      <sz val="20"/>
      <color theme="0" tint="-0.14999847407452621"/>
      <name val="Rockwell"/>
      <family val="1"/>
      <scheme val="minor"/>
    </font>
    <font>
      <sz val="9"/>
      <color indexed="81"/>
      <name val="Tahoma"/>
      <family val="2"/>
    </font>
    <font>
      <b/>
      <sz val="22"/>
      <color theme="2" tint="-0.749992370372631"/>
      <name val="Rockwell"/>
      <family val="1"/>
      <scheme val="minor"/>
    </font>
    <font>
      <b/>
      <sz val="12"/>
      <color theme="3" tint="-0.249977111117893"/>
      <name val="Rockwell"/>
      <family val="1"/>
      <scheme val="minor"/>
    </font>
    <font>
      <sz val="11"/>
      <color theme="3" tint="-0.249977111117893"/>
      <name val="Rockwell"/>
      <family val="2"/>
      <scheme val="minor"/>
    </font>
    <font>
      <u/>
      <sz val="11"/>
      <color theme="3" tint="-0.249977111117893"/>
      <name val="Rockwell"/>
      <family val="2"/>
      <scheme val="minor"/>
    </font>
    <font>
      <sz val="11"/>
      <color rgb="FFFF0000"/>
      <name val="Rockwell"/>
      <family val="2"/>
      <scheme val="minor"/>
    </font>
    <font>
      <sz val="8"/>
      <color rgb="FFFF0000"/>
      <name val="Rockwell"/>
      <family val="2"/>
      <scheme val="minor"/>
    </font>
    <font>
      <b/>
      <sz val="9"/>
      <color indexed="81"/>
      <name val="Tahoma"/>
      <family val="2"/>
    </font>
    <font>
      <u/>
      <sz val="11"/>
      <color theme="2" tint="-0.749992370372631"/>
      <name val="Rockwell"/>
      <family val="2"/>
      <scheme val="minor"/>
    </font>
    <font>
      <sz val="9"/>
      <color theme="1"/>
      <name val="Rockwell"/>
      <family val="2"/>
      <scheme val="minor"/>
    </font>
    <font>
      <sz val="18"/>
      <color theme="3"/>
      <name val="Rockwell"/>
      <family val="1"/>
      <scheme val="minor"/>
    </font>
    <font>
      <sz val="11"/>
      <color theme="0" tint="-4.9989318521683403E-2"/>
      <name val="Rockwell"/>
      <family val="1"/>
      <scheme val="minor"/>
    </font>
    <font>
      <sz val="36"/>
      <color theme="0" tint="-0.14999847407452621"/>
      <name val="Rockwell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</fills>
  <borders count="9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2" tint="-9.9978637043366805E-2"/>
      </top>
      <bottom/>
      <diagonal/>
    </border>
    <border>
      <left/>
      <right/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  <border>
      <left/>
      <right/>
      <top/>
      <bottom style="thin">
        <color theme="2" tint="-0.749992370372631"/>
      </bottom>
      <diagonal/>
    </border>
    <border>
      <left/>
      <right/>
      <top style="thin">
        <color theme="2" tint="-0.749992370372631"/>
      </top>
      <bottom/>
      <diagonal/>
    </border>
    <border>
      <left/>
      <right/>
      <top style="thin">
        <color theme="2" tint="-0.749992370372631"/>
      </top>
      <bottom style="thin">
        <color theme="2" tint="-0.749992370372631"/>
      </bottom>
      <diagonal/>
    </border>
    <border>
      <left style="thin">
        <color theme="2" tint="-0.749992370372631"/>
      </left>
      <right/>
      <top/>
      <bottom/>
      <diagonal/>
    </border>
    <border>
      <left/>
      <right style="thin">
        <color theme="2" tint="-0.749992370372631"/>
      </right>
      <top/>
      <bottom/>
      <diagonal/>
    </border>
    <border>
      <left style="thin">
        <color theme="2" tint="-0.749992370372631"/>
      </left>
      <right/>
      <top style="thin">
        <color theme="2" tint="-0.749992370372631"/>
      </top>
      <bottom/>
      <diagonal/>
    </border>
    <border>
      <left style="thin">
        <color theme="2" tint="-0.749992370372631"/>
      </left>
      <right/>
      <top/>
      <bottom style="thin">
        <color theme="2" tint="-0.749992370372631"/>
      </bottom>
      <diagonal/>
    </border>
    <border>
      <left/>
      <right style="thin">
        <color theme="2" tint="-0.749992370372631"/>
      </right>
      <top style="thin">
        <color theme="2" tint="-0.749992370372631"/>
      </top>
      <bottom/>
      <diagonal/>
    </border>
    <border>
      <left/>
      <right style="thin">
        <color theme="2" tint="-0.749992370372631"/>
      </right>
      <top/>
      <bottom style="thin">
        <color theme="2" tint="-0.749992370372631"/>
      </bottom>
      <diagonal/>
    </border>
    <border>
      <left style="thin">
        <color theme="2" tint="-0.749992370372631"/>
      </left>
      <right style="thin">
        <color theme="2" tint="-0.749992370372631"/>
      </right>
      <top/>
      <bottom/>
      <diagonal/>
    </border>
    <border>
      <left/>
      <right/>
      <top/>
      <bottom style="thin">
        <color theme="2" tint="-0.249977111117893"/>
      </bottom>
      <diagonal/>
    </border>
    <border>
      <left/>
      <right/>
      <top style="thin">
        <color theme="2" tint="-0.249977111117893"/>
      </top>
      <bottom/>
      <diagonal/>
    </border>
    <border>
      <left style="medium">
        <color theme="2" tint="-0.749992370372631"/>
      </left>
      <right/>
      <top style="medium">
        <color theme="2" tint="-0.749992370372631"/>
      </top>
      <bottom/>
      <diagonal/>
    </border>
    <border>
      <left/>
      <right/>
      <top style="medium">
        <color theme="2" tint="-0.749992370372631"/>
      </top>
      <bottom/>
      <diagonal/>
    </border>
    <border>
      <left/>
      <right style="medium">
        <color theme="2" tint="-0.749992370372631"/>
      </right>
      <top style="medium">
        <color theme="2" tint="-0.749992370372631"/>
      </top>
      <bottom/>
      <diagonal/>
    </border>
    <border>
      <left style="medium">
        <color theme="2" tint="-0.749992370372631"/>
      </left>
      <right/>
      <top/>
      <bottom/>
      <diagonal/>
    </border>
    <border>
      <left/>
      <right style="medium">
        <color theme="2" tint="-0.749992370372631"/>
      </right>
      <top/>
      <bottom/>
      <diagonal/>
    </border>
    <border>
      <left style="medium">
        <color theme="2" tint="-0.749992370372631"/>
      </left>
      <right/>
      <top/>
      <bottom style="medium">
        <color theme="2" tint="-0.749992370372631"/>
      </bottom>
      <diagonal/>
    </border>
    <border>
      <left/>
      <right/>
      <top/>
      <bottom style="medium">
        <color theme="2" tint="-0.749992370372631"/>
      </bottom>
      <diagonal/>
    </border>
    <border>
      <left/>
      <right style="medium">
        <color theme="2" tint="-0.749992370372631"/>
      </right>
      <top/>
      <bottom style="medium">
        <color theme="2" tint="-0.749992370372631"/>
      </bottom>
      <diagonal/>
    </border>
    <border>
      <left/>
      <right style="thin">
        <color indexed="64"/>
      </right>
      <top/>
      <bottom/>
      <diagonal/>
    </border>
    <border>
      <left style="thin">
        <color theme="2" tint="-0.749992370372631"/>
      </left>
      <right style="thin">
        <color theme="2" tint="-0.749992370372631"/>
      </right>
      <top style="thin">
        <color theme="2" tint="-0.749992370372631"/>
      </top>
      <bottom style="thin">
        <color theme="2" tint="-0.74999237037263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medium">
        <color theme="4" tint="-0.249977111117893"/>
      </bottom>
      <diagonal/>
    </border>
    <border>
      <left style="medium">
        <color theme="2" tint="-0.749992370372631"/>
      </left>
      <right style="medium">
        <color theme="2" tint="-0.749992370372631"/>
      </right>
      <top style="medium">
        <color theme="2" tint="-0.749992370372631"/>
      </top>
      <bottom style="medium">
        <color theme="2" tint="-0.749992370372631"/>
      </bottom>
      <diagonal/>
    </border>
    <border>
      <left/>
      <right style="thin">
        <color theme="2" tint="-0.749992370372631"/>
      </right>
      <top style="thin">
        <color theme="2" tint="-0.749992370372631"/>
      </top>
      <bottom style="thin">
        <color theme="2" tint="-0.749992370372631"/>
      </bottom>
      <diagonal/>
    </border>
    <border>
      <left style="medium">
        <color theme="2" tint="-0.749992370372631"/>
      </left>
      <right style="medium">
        <color theme="2" tint="-0.749992370372631"/>
      </right>
      <top style="thin">
        <color theme="2" tint="-0.749992370372631"/>
      </top>
      <bottom style="thin">
        <color theme="2" tint="-0.749992370372631"/>
      </bottom>
      <diagonal/>
    </border>
    <border>
      <left style="medium">
        <color theme="2" tint="-0.749992370372631"/>
      </left>
      <right style="medium">
        <color theme="2" tint="-0.749992370372631"/>
      </right>
      <top style="thin">
        <color theme="2" tint="-0.749992370372631"/>
      </top>
      <bottom style="medium">
        <color theme="2" tint="-0.749992370372631"/>
      </bottom>
      <diagonal/>
    </border>
    <border>
      <left style="medium">
        <color theme="2" tint="-0.749992370372631"/>
      </left>
      <right style="medium">
        <color theme="2" tint="-0.749992370372631"/>
      </right>
      <top/>
      <bottom style="thin">
        <color theme="2" tint="-0.749992370372631"/>
      </bottom>
      <diagonal/>
    </border>
    <border>
      <left style="thin">
        <color theme="2" tint="-0.749992370372631"/>
      </left>
      <right style="thin">
        <color theme="2" tint="-0.749992370372631"/>
      </right>
      <top/>
      <bottom style="thin">
        <color theme="2" tint="-0.749992370372631"/>
      </bottom>
      <diagonal/>
    </border>
    <border>
      <left/>
      <right style="thin">
        <color theme="2" tint="-0.749992370372631"/>
      </right>
      <top style="medium">
        <color theme="2" tint="-0.749992370372631"/>
      </top>
      <bottom style="medium">
        <color theme="2" tint="-0.749992370372631"/>
      </bottom>
      <diagonal/>
    </border>
    <border>
      <left style="thin">
        <color theme="2" tint="-0.749992370372631"/>
      </left>
      <right style="thin">
        <color theme="2" tint="-0.749992370372631"/>
      </right>
      <top style="medium">
        <color theme="2" tint="-0.749992370372631"/>
      </top>
      <bottom style="medium">
        <color theme="2" tint="-0.749992370372631"/>
      </bottom>
      <diagonal/>
    </border>
    <border>
      <left style="medium">
        <color theme="2" tint="-0.749992370372631"/>
      </left>
      <right style="thin">
        <color theme="2" tint="-0.749992370372631"/>
      </right>
      <top style="thin">
        <color theme="2" tint="-0.749992370372631"/>
      </top>
      <bottom style="medium">
        <color theme="2" tint="-0.749992370372631"/>
      </bottom>
      <diagonal/>
    </border>
    <border>
      <left style="thin">
        <color theme="2" tint="-0.749992370372631"/>
      </left>
      <right style="thin">
        <color theme="2" tint="-0.749992370372631"/>
      </right>
      <top style="thin">
        <color theme="2" tint="-0.749992370372631"/>
      </top>
      <bottom style="medium">
        <color theme="2" tint="-0.749992370372631"/>
      </bottom>
      <diagonal/>
    </border>
    <border>
      <left style="thin">
        <color theme="2" tint="-0.749992370372631"/>
      </left>
      <right/>
      <top style="medium">
        <color theme="2" tint="-0.749992370372631"/>
      </top>
      <bottom style="medium">
        <color theme="2" tint="-0.749992370372631"/>
      </bottom>
      <diagonal/>
    </border>
    <border>
      <left style="thin">
        <color theme="2" tint="-0.749992370372631"/>
      </left>
      <right/>
      <top style="thin">
        <color theme="2" tint="-0.749992370372631"/>
      </top>
      <bottom style="thin">
        <color theme="2" tint="-0.749992370372631"/>
      </bottom>
      <diagonal/>
    </border>
    <border>
      <left style="thin">
        <color theme="2" tint="-0.749992370372631"/>
      </left>
      <right/>
      <top style="thin">
        <color theme="2" tint="-0.749992370372631"/>
      </top>
      <bottom style="medium">
        <color theme="2" tint="-0.749992370372631"/>
      </bottom>
      <diagonal/>
    </border>
    <border>
      <left/>
      <right/>
      <top/>
      <bottom style="double">
        <color theme="2" tint="-0.74999237037263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2" tint="-0.749992370372631"/>
      </right>
      <top/>
      <bottom style="thin">
        <color theme="0" tint="-0.14999847407452621"/>
      </bottom>
      <diagonal/>
    </border>
    <border>
      <left/>
      <right style="thin">
        <color theme="2" tint="-0.74999237037263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2" tint="-0.749992370372631"/>
      </left>
      <right/>
      <top/>
      <bottom style="medium">
        <color theme="2" tint="-0.749992370372631"/>
      </bottom>
      <diagonal/>
    </border>
    <border>
      <left/>
      <right style="thin">
        <color theme="2" tint="-0.749992370372631"/>
      </right>
      <top/>
      <bottom style="medium">
        <color theme="2" tint="-0.749992370372631"/>
      </bottom>
      <diagonal/>
    </border>
    <border>
      <left/>
      <right/>
      <top/>
      <bottom style="thin">
        <color theme="3" tint="-0.249977111117893"/>
      </bottom>
      <diagonal/>
    </border>
    <border>
      <left/>
      <right/>
      <top style="thin">
        <color theme="3" tint="-0.249977111117893"/>
      </top>
      <bottom style="thin">
        <color theme="3" tint="-0.249977111117893"/>
      </bottom>
      <diagonal/>
    </border>
    <border>
      <left/>
      <right/>
      <top style="thin">
        <color theme="3" tint="-0.249977111117893"/>
      </top>
      <bottom/>
      <diagonal/>
    </border>
    <border>
      <left/>
      <right style="thin">
        <color theme="3" tint="-0.249977111117893"/>
      </right>
      <top/>
      <bottom/>
      <diagonal/>
    </border>
    <border>
      <left style="thin">
        <color theme="3" tint="-0.249977111117893"/>
      </left>
      <right style="thin">
        <color theme="3" tint="-0.249977111117893"/>
      </right>
      <top/>
      <bottom/>
      <diagonal/>
    </border>
    <border>
      <left style="thin">
        <color theme="3" tint="-0.249977111117893"/>
      </left>
      <right style="thin">
        <color theme="3" tint="-0.249977111117893"/>
      </right>
      <top style="thin">
        <color theme="3" tint="-0.249977111117893"/>
      </top>
      <bottom style="thin">
        <color theme="3" tint="-0.249977111117893"/>
      </bottom>
      <diagonal/>
    </border>
    <border>
      <left style="thin">
        <color theme="3" tint="-0.249977111117893"/>
      </left>
      <right/>
      <top style="thin">
        <color theme="3" tint="-0.249977111117893"/>
      </top>
      <bottom style="thin">
        <color theme="3" tint="-0.249977111117893"/>
      </bottom>
      <diagonal/>
    </border>
    <border>
      <left/>
      <right style="thin">
        <color theme="3" tint="-0.249977111117893"/>
      </right>
      <top style="thin">
        <color theme="3" tint="-0.249977111117893"/>
      </top>
      <bottom style="thin">
        <color theme="3" tint="-0.249977111117893"/>
      </bottom>
      <diagonal/>
    </border>
    <border>
      <left style="thin">
        <color theme="3" tint="-0.249977111117893"/>
      </left>
      <right/>
      <top style="thin">
        <color theme="3" tint="-0.249977111117893"/>
      </top>
      <bottom/>
      <diagonal/>
    </border>
    <border>
      <left/>
      <right style="thin">
        <color theme="3" tint="-0.249977111117893"/>
      </right>
      <top style="thin">
        <color theme="3" tint="-0.249977111117893"/>
      </top>
      <bottom/>
      <diagonal/>
    </border>
    <border>
      <left style="thin">
        <color theme="3" tint="-0.249977111117893"/>
      </left>
      <right/>
      <top/>
      <bottom/>
      <diagonal/>
    </border>
    <border>
      <left style="thin">
        <color theme="3" tint="-0.249977111117893"/>
      </left>
      <right/>
      <top/>
      <bottom style="thin">
        <color theme="3" tint="-0.249977111117893"/>
      </bottom>
      <diagonal/>
    </border>
    <border>
      <left/>
      <right style="thin">
        <color theme="3" tint="-0.249977111117893"/>
      </right>
      <top/>
      <bottom style="thin">
        <color theme="3" tint="-0.249977111117893"/>
      </bottom>
      <diagonal/>
    </border>
    <border>
      <left/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double">
        <color theme="0" tint="-4.9989318521683403E-2"/>
      </bottom>
      <diagonal/>
    </border>
    <border>
      <left/>
      <right/>
      <top/>
      <bottom style="double">
        <color theme="0" tint="-4.9989318521683403E-2"/>
      </bottom>
      <diagonal/>
    </border>
    <border>
      <left/>
      <right style="thin">
        <color theme="2" tint="-0.74999237037263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2" tint="-0.749992370372631"/>
      </right>
      <top style="thin">
        <color theme="2" tint="-0.749992370372631"/>
      </top>
      <bottom style="thin">
        <color theme="0" tint="-4.9989318521683403E-2"/>
      </bottom>
      <diagonal/>
    </border>
    <border>
      <left/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 style="double">
        <color theme="0" tint="-0.14999847407452621"/>
      </bottom>
      <diagonal/>
    </border>
    <border>
      <left style="thin">
        <color theme="2" tint="-0.749992370372631"/>
      </left>
      <right style="thin">
        <color theme="2" tint="-0.749992370372631"/>
      </right>
      <top style="thin">
        <color theme="2" tint="-0.749992370372631"/>
      </top>
      <bottom/>
      <diagonal/>
    </border>
    <border>
      <left style="thin">
        <color theme="2" tint="-0.749992370372631"/>
      </left>
      <right/>
      <top style="medium">
        <color theme="2" tint="-0.749992370372631"/>
      </top>
      <bottom/>
      <diagonal/>
    </border>
    <border>
      <left style="thin">
        <color theme="2" tint="-0.74999237037263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749992370372631"/>
      </left>
      <right style="thin">
        <color theme="2" tint="-0.749992370372631"/>
      </right>
      <top/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0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672">
    <xf numFmtId="0" fontId="0" fillId="0" borderId="0" xfId="0"/>
    <xf numFmtId="0" fontId="0" fillId="0" borderId="0" xfId="0" applyProtection="1">
      <protection hidden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9" fontId="0" fillId="0" borderId="0" xfId="1" applyFont="1"/>
    <xf numFmtId="9" fontId="0" fillId="0" borderId="4" xfId="1" applyFont="1" applyBorder="1"/>
    <xf numFmtId="9" fontId="0" fillId="0" borderId="3" xfId="1" applyFont="1" applyBorder="1"/>
    <xf numFmtId="0" fontId="0" fillId="0" borderId="7" xfId="0" applyBorder="1"/>
    <xf numFmtId="0" fontId="0" fillId="5" borderId="0" xfId="0" applyFill="1"/>
    <xf numFmtId="0" fontId="4" fillId="4" borderId="0" xfId="0" applyFont="1" applyFill="1"/>
    <xf numFmtId="0" fontId="0" fillId="5" borderId="10" xfId="0" applyFill="1" applyBorder="1"/>
    <xf numFmtId="0" fontId="4" fillId="5" borderId="0" xfId="0" applyFont="1" applyFill="1"/>
    <xf numFmtId="0" fontId="0" fillId="4" borderId="0" xfId="0" applyFill="1"/>
    <xf numFmtId="0" fontId="0" fillId="6" borderId="0" xfId="0" applyFill="1"/>
    <xf numFmtId="0" fontId="0" fillId="7" borderId="0" xfId="0" applyFill="1"/>
    <xf numFmtId="10" fontId="0" fillId="0" borderId="0" xfId="1" applyNumberFormat="1" applyFont="1"/>
    <xf numFmtId="0" fontId="17" fillId="0" borderId="0" xfId="0" applyFont="1" applyAlignment="1">
      <alignment horizontal="center" vertical="center"/>
    </xf>
    <xf numFmtId="165" fontId="0" fillId="0" borderId="0" xfId="1" applyNumberFormat="1" applyFont="1"/>
    <xf numFmtId="166" fontId="0" fillId="0" borderId="0" xfId="1" applyNumberFormat="1" applyFont="1"/>
    <xf numFmtId="0" fontId="15" fillId="0" borderId="0" xfId="0" applyFont="1" applyAlignment="1">
      <alignment horizontal="center" vertical="center"/>
    </xf>
    <xf numFmtId="10" fontId="0" fillId="0" borderId="3" xfId="0" applyNumberFormat="1" applyBorder="1"/>
    <xf numFmtId="165" fontId="0" fillId="0" borderId="3" xfId="0" applyNumberFormat="1" applyBorder="1"/>
    <xf numFmtId="0" fontId="0" fillId="4" borderId="13" xfId="0" applyFill="1" applyBorder="1"/>
    <xf numFmtId="0" fontId="18" fillId="4" borderId="0" xfId="0" applyFont="1" applyFill="1" applyAlignment="1">
      <alignment vertical="center"/>
    </xf>
    <xf numFmtId="0" fontId="18" fillId="4" borderId="0" xfId="0" applyFont="1" applyFill="1" applyAlignment="1">
      <alignment horizontal="center" vertical="center"/>
    </xf>
    <xf numFmtId="44" fontId="0" fillId="4" borderId="0" xfId="0" applyNumberFormat="1" applyFill="1" applyAlignment="1">
      <alignment horizontal="right" vertical="center"/>
    </xf>
    <xf numFmtId="0" fontId="20" fillId="4" borderId="0" xfId="0" applyFont="1" applyFill="1" applyAlignment="1">
      <alignment horizontal="center" vertical="center"/>
    </xf>
    <xf numFmtId="0" fontId="0" fillId="4" borderId="14" xfId="0" applyFill="1" applyBorder="1"/>
    <xf numFmtId="0" fontId="0" fillId="4" borderId="15" xfId="0" applyFill="1" applyBorder="1"/>
    <xf numFmtId="0" fontId="0" fillId="4" borderId="12" xfId="0" applyFill="1" applyBorder="1"/>
    <xf numFmtId="0" fontId="0" fillId="4" borderId="11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6" fillId="4" borderId="14" xfId="0" applyFont="1" applyFill="1" applyBorder="1"/>
    <xf numFmtId="0" fontId="26" fillId="4" borderId="14" xfId="0" applyFont="1" applyFill="1" applyBorder="1" applyAlignment="1">
      <alignment horizontal="right" vertical="center"/>
    </xf>
    <xf numFmtId="0" fontId="27" fillId="4" borderId="0" xfId="0" applyFont="1" applyFill="1" applyAlignment="1">
      <alignment vertical="center"/>
    </xf>
    <xf numFmtId="0" fontId="29" fillId="9" borderId="0" xfId="0" applyFont="1" applyFill="1" applyAlignment="1">
      <alignment horizontal="center" vertical="center"/>
    </xf>
    <xf numFmtId="0" fontId="0" fillId="9" borderId="0" xfId="0" applyFill="1"/>
    <xf numFmtId="0" fontId="0" fillId="4" borderId="22" xfId="0" applyFill="1" applyBorder="1"/>
    <xf numFmtId="0" fontId="19" fillId="8" borderId="0" xfId="0" applyFont="1" applyFill="1" applyAlignment="1">
      <alignment vertical="center"/>
    </xf>
    <xf numFmtId="0" fontId="19" fillId="8" borderId="0" xfId="0" applyFont="1" applyFill="1"/>
    <xf numFmtId="0" fontId="28" fillId="9" borderId="0" xfId="0" applyFont="1" applyFill="1" applyAlignment="1">
      <alignment horizontal="center" vertical="center"/>
    </xf>
    <xf numFmtId="44" fontId="25" fillId="4" borderId="0" xfId="0" applyNumberFormat="1" applyFont="1" applyFill="1" applyAlignment="1">
      <alignment vertical="center"/>
    </xf>
    <xf numFmtId="0" fontId="25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44" fontId="22" fillId="4" borderId="0" xfId="0" applyNumberFormat="1" applyFont="1" applyFill="1" applyAlignment="1">
      <alignment vertical="center"/>
    </xf>
    <xf numFmtId="1" fontId="0" fillId="0" borderId="3" xfId="0" applyNumberFormat="1" applyBorder="1"/>
    <xf numFmtId="0" fontId="25" fillId="4" borderId="0" xfId="0" applyFont="1" applyFill="1"/>
    <xf numFmtId="44" fontId="0" fillId="0" borderId="0" xfId="0" applyNumberFormat="1"/>
    <xf numFmtId="0" fontId="28" fillId="9" borderId="0" xfId="0" applyFont="1" applyFill="1" applyAlignment="1">
      <alignment vertical="center"/>
    </xf>
    <xf numFmtId="0" fontId="0" fillId="0" borderId="3" xfId="0" applyBorder="1" applyAlignment="1">
      <alignment horizontal="center"/>
    </xf>
    <xf numFmtId="44" fontId="0" fillId="0" borderId="3" xfId="0" applyNumberFormat="1" applyBorder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right"/>
    </xf>
    <xf numFmtId="10" fontId="0" fillId="0" borderId="3" xfId="1" applyNumberFormat="1" applyFont="1" applyBorder="1"/>
    <xf numFmtId="167" fontId="0" fillId="0" borderId="3" xfId="1" applyNumberFormat="1" applyFont="1" applyBorder="1"/>
    <xf numFmtId="0" fontId="0" fillId="4" borderId="26" xfId="0" applyFill="1" applyBorder="1"/>
    <xf numFmtId="0" fontId="0" fillId="4" borderId="27" xfId="0" applyFill="1" applyBorder="1"/>
    <xf numFmtId="0" fontId="0" fillId="4" borderId="28" xfId="0" applyFill="1" applyBorder="1"/>
    <xf numFmtId="0" fontId="0" fillId="4" borderId="29" xfId="0" applyFill="1" applyBorder="1"/>
    <xf numFmtId="0" fontId="0" fillId="4" borderId="30" xfId="0" applyFill="1" applyBorder="1"/>
    <xf numFmtId="0" fontId="30" fillId="0" borderId="0" xfId="5"/>
    <xf numFmtId="0" fontId="0" fillId="10" borderId="0" xfId="0" applyFill="1"/>
    <xf numFmtId="0" fontId="19" fillId="4" borderId="0" xfId="0" applyFont="1" applyFill="1"/>
    <xf numFmtId="0" fontId="3" fillId="9" borderId="0" xfId="0" applyFont="1" applyFill="1"/>
    <xf numFmtId="0" fontId="41" fillId="9" borderId="0" xfId="0" applyFont="1" applyFill="1"/>
    <xf numFmtId="0" fontId="25" fillId="8" borderId="0" xfId="0" applyFont="1" applyFill="1" applyAlignment="1" applyProtection="1">
      <alignment horizontal="center" vertical="center"/>
      <protection locked="0"/>
    </xf>
    <xf numFmtId="44" fontId="25" fillId="8" borderId="11" xfId="0" applyNumberFormat="1" applyFont="1" applyFill="1" applyBorder="1" applyAlignment="1" applyProtection="1">
      <alignment vertical="center"/>
      <protection locked="0"/>
    </xf>
    <xf numFmtId="0" fontId="19" fillId="8" borderId="11" xfId="0" applyFont="1" applyFill="1" applyBorder="1" applyProtection="1">
      <protection locked="0"/>
    </xf>
    <xf numFmtId="14" fontId="25" fillId="8" borderId="11" xfId="0" applyNumberFormat="1" applyFont="1" applyFill="1" applyBorder="1" applyProtection="1">
      <protection locked="0"/>
    </xf>
    <xf numFmtId="14" fontId="19" fillId="8" borderId="11" xfId="0" applyNumberFormat="1" applyFont="1" applyFill="1" applyBorder="1" applyProtection="1">
      <protection locked="0"/>
    </xf>
    <xf numFmtId="0" fontId="25" fillId="8" borderId="2" xfId="0" applyFont="1" applyFill="1" applyBorder="1" applyAlignment="1" applyProtection="1">
      <alignment vertical="center"/>
      <protection locked="0"/>
    </xf>
    <xf numFmtId="10" fontId="25" fillId="8" borderId="11" xfId="1" applyNumberFormat="1" applyFont="1" applyFill="1" applyBorder="1" applyAlignment="1" applyProtection="1">
      <alignment vertical="center"/>
      <protection locked="0"/>
    </xf>
    <xf numFmtId="44" fontId="25" fillId="8" borderId="11" xfId="0" applyNumberFormat="1" applyFont="1" applyFill="1" applyBorder="1" applyAlignment="1" applyProtection="1">
      <alignment horizontal="right" vertical="center"/>
      <protection locked="0"/>
    </xf>
    <xf numFmtId="44" fontId="25" fillId="8" borderId="2" xfId="0" applyNumberFormat="1" applyFont="1" applyFill="1" applyBorder="1" applyAlignment="1" applyProtection="1">
      <alignment vertical="center"/>
      <protection locked="0"/>
    </xf>
    <xf numFmtId="0" fontId="25" fillId="8" borderId="11" xfId="0" applyFont="1" applyFill="1" applyBorder="1" applyProtection="1">
      <protection locked="0"/>
    </xf>
    <xf numFmtId="9" fontId="25" fillId="8" borderId="11" xfId="1" applyFont="1" applyFill="1" applyBorder="1" applyAlignment="1" applyProtection="1">
      <protection locked="0"/>
    </xf>
    <xf numFmtId="0" fontId="25" fillId="8" borderId="11" xfId="0" applyFont="1" applyFill="1" applyBorder="1" applyAlignment="1" applyProtection="1">
      <alignment vertical="center"/>
      <protection locked="0"/>
    </xf>
    <xf numFmtId="44" fontId="25" fillId="8" borderId="11" xfId="0" applyNumberFormat="1" applyFont="1" applyFill="1" applyBorder="1" applyProtection="1">
      <protection locked="0"/>
    </xf>
    <xf numFmtId="9" fontId="25" fillId="8" borderId="11" xfId="1" applyFont="1" applyFill="1" applyBorder="1" applyProtection="1"/>
    <xf numFmtId="0" fontId="38" fillId="8" borderId="11" xfId="0" applyFont="1" applyFill="1" applyBorder="1" applyAlignment="1" applyProtection="1">
      <alignment vertical="center"/>
      <protection locked="0"/>
    </xf>
    <xf numFmtId="9" fontId="25" fillId="8" borderId="11" xfId="0" applyNumberFormat="1" applyFont="1" applyFill="1" applyBorder="1" applyProtection="1">
      <protection locked="0"/>
    </xf>
    <xf numFmtId="0" fontId="0" fillId="0" borderId="0" xfId="0" applyAlignment="1">
      <alignment vertical="center"/>
    </xf>
    <xf numFmtId="0" fontId="0" fillId="11" borderId="0" xfId="0" applyFill="1"/>
    <xf numFmtId="0" fontId="0" fillId="8" borderId="0" xfId="0" applyFill="1"/>
    <xf numFmtId="0" fontId="0" fillId="12" borderId="3" xfId="0" applyFill="1" applyBorder="1"/>
    <xf numFmtId="0" fontId="0" fillId="8" borderId="3" xfId="0" applyFill="1" applyBorder="1"/>
    <xf numFmtId="168" fontId="0" fillId="0" borderId="0" xfId="0" applyNumberFormat="1"/>
    <xf numFmtId="168" fontId="0" fillId="0" borderId="3" xfId="0" applyNumberFormat="1" applyBorder="1"/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vertical="center"/>
    </xf>
    <xf numFmtId="2" fontId="0" fillId="8" borderId="3" xfId="0" applyNumberFormat="1" applyFill="1" applyBorder="1"/>
    <xf numFmtId="10" fontId="0" fillId="8" borderId="3" xfId="0" applyNumberFormat="1" applyFill="1" applyBorder="1"/>
    <xf numFmtId="0" fontId="38" fillId="4" borderId="0" xfId="0" applyFont="1" applyFill="1" applyAlignment="1">
      <alignment vertical="center"/>
    </xf>
    <xf numFmtId="0" fontId="38" fillId="4" borderId="12" xfId="0" applyFont="1" applyFill="1" applyBorder="1" applyAlignment="1">
      <alignment vertical="center"/>
    </xf>
    <xf numFmtId="0" fontId="38" fillId="8" borderId="11" xfId="0" applyFont="1" applyFill="1" applyBorder="1" applyAlignment="1">
      <alignment vertical="center"/>
    </xf>
    <xf numFmtId="2" fontId="0" fillId="8" borderId="0" xfId="0" applyNumberFormat="1" applyFill="1"/>
    <xf numFmtId="0" fontId="19" fillId="8" borderId="0" xfId="0" applyFont="1" applyFill="1" applyAlignment="1">
      <alignment horizontal="center"/>
    </xf>
    <xf numFmtId="44" fontId="0" fillId="8" borderId="3" xfId="6" applyFont="1" applyFill="1" applyBorder="1"/>
    <xf numFmtId="0" fontId="39" fillId="9" borderId="0" xfId="0" applyFont="1" applyFill="1" applyAlignment="1">
      <alignment horizontal="center" vertical="center"/>
    </xf>
    <xf numFmtId="0" fontId="0" fillId="9" borderId="3" xfId="0" applyFill="1" applyBorder="1"/>
    <xf numFmtId="0" fontId="46" fillId="9" borderId="3" xfId="0" applyFont="1" applyFill="1" applyBorder="1"/>
    <xf numFmtId="0" fontId="45" fillId="9" borderId="0" xfId="0" applyFont="1" applyFill="1"/>
    <xf numFmtId="0" fontId="45" fillId="0" borderId="0" xfId="0" applyFont="1"/>
    <xf numFmtId="0" fontId="46" fillId="9" borderId="3" xfId="0" applyFont="1" applyFill="1" applyBorder="1" applyAlignment="1">
      <alignment horizontal="right"/>
    </xf>
    <xf numFmtId="0" fontId="46" fillId="9" borderId="3" xfId="0" applyFont="1" applyFill="1" applyBorder="1" applyAlignment="1">
      <alignment horizontal="right" vertical="center"/>
    </xf>
    <xf numFmtId="0" fontId="46" fillId="9" borderId="0" xfId="0" applyFont="1" applyFill="1"/>
    <xf numFmtId="0" fontId="46" fillId="0" borderId="0" xfId="0" applyFont="1"/>
    <xf numFmtId="0" fontId="19" fillId="0" borderId="0" xfId="0" applyFont="1"/>
    <xf numFmtId="168" fontId="19" fillId="8" borderId="0" xfId="0" applyNumberFormat="1" applyFont="1" applyFill="1"/>
    <xf numFmtId="0" fontId="19" fillId="8" borderId="4" xfId="0" applyFont="1" applyFill="1" applyBorder="1"/>
    <xf numFmtId="10" fontId="19" fillId="8" borderId="3" xfId="1" applyNumberFormat="1" applyFont="1" applyFill="1" applyBorder="1"/>
    <xf numFmtId="0" fontId="19" fillId="8" borderId="3" xfId="0" applyFont="1" applyFill="1" applyBorder="1"/>
    <xf numFmtId="0" fontId="46" fillId="9" borderId="3" xfId="0" applyFont="1" applyFill="1" applyBorder="1" applyAlignment="1">
      <alignment vertical="center"/>
    </xf>
    <xf numFmtId="0" fontId="46" fillId="9" borderId="3" xfId="5" applyFont="1" applyFill="1" applyBorder="1" applyAlignment="1">
      <alignment vertical="center"/>
    </xf>
    <xf numFmtId="0" fontId="3" fillId="13" borderId="0" xfId="3" applyFill="1" applyProtection="1">
      <protection hidden="1"/>
    </xf>
    <xf numFmtId="0" fontId="3" fillId="13" borderId="0" xfId="3" applyFill="1" applyAlignment="1" applyProtection="1">
      <alignment horizontal="right"/>
      <protection hidden="1"/>
    </xf>
    <xf numFmtId="0" fontId="3" fillId="13" borderId="0" xfId="0" applyFont="1" applyFill="1"/>
    <xf numFmtId="0" fontId="19" fillId="8" borderId="0" xfId="4" applyFont="1" applyFill="1" applyProtection="1">
      <protection hidden="1"/>
    </xf>
    <xf numFmtId="0" fontId="19" fillId="8" borderId="2" xfId="4" applyFont="1" applyFill="1" applyBorder="1" applyProtection="1">
      <protection hidden="1"/>
    </xf>
    <xf numFmtId="0" fontId="3" fillId="9" borderId="0" xfId="3" applyFill="1" applyProtection="1">
      <protection hidden="1"/>
    </xf>
    <xf numFmtId="0" fontId="2" fillId="0" borderId="1" xfId="2" applyFill="1" applyProtection="1">
      <protection hidden="1"/>
    </xf>
    <xf numFmtId="164" fontId="19" fillId="0" borderId="0" xfId="0" applyNumberFormat="1" applyFont="1" applyProtection="1">
      <protection hidden="1"/>
    </xf>
    <xf numFmtId="0" fontId="19" fillId="0" borderId="0" xfId="0" applyFont="1" applyProtection="1">
      <protection hidden="1"/>
    </xf>
    <xf numFmtId="164" fontId="19" fillId="0" borderId="32" xfId="0" applyNumberFormat="1" applyFont="1" applyBorder="1" applyAlignment="1" applyProtection="1">
      <alignment horizontal="right"/>
      <protection hidden="1"/>
    </xf>
    <xf numFmtId="164" fontId="19" fillId="0" borderId="32" xfId="1" applyNumberFormat="1" applyFont="1" applyBorder="1" applyAlignment="1" applyProtection="1">
      <alignment horizontal="right"/>
      <protection hidden="1"/>
    </xf>
    <xf numFmtId="164" fontId="19" fillId="0" borderId="32" xfId="1" applyNumberFormat="1" applyFont="1" applyBorder="1" applyAlignment="1">
      <alignment horizontal="right"/>
    </xf>
    <xf numFmtId="0" fontId="0" fillId="0" borderId="31" xfId="0" applyBorder="1"/>
    <xf numFmtId="0" fontId="0" fillId="4" borderId="31" xfId="0" applyFill="1" applyBorder="1"/>
    <xf numFmtId="0" fontId="0" fillId="4" borderId="34" xfId="0" applyFill="1" applyBorder="1"/>
    <xf numFmtId="0" fontId="0" fillId="4" borderId="7" xfId="0" applyFill="1" applyBorder="1"/>
    <xf numFmtId="0" fontId="0" fillId="11" borderId="3" xfId="0" applyFill="1" applyBorder="1"/>
    <xf numFmtId="0" fontId="0" fillId="11" borderId="3" xfId="0" applyFill="1" applyBorder="1" applyAlignment="1">
      <alignment horizontal="center" vertical="center"/>
    </xf>
    <xf numFmtId="0" fontId="0" fillId="14" borderId="3" xfId="0" applyFill="1" applyBorder="1"/>
    <xf numFmtId="0" fontId="0" fillId="11" borderId="36" xfId="0" applyFill="1" applyBorder="1" applyAlignment="1">
      <alignment horizontal="center" vertical="center"/>
    </xf>
    <xf numFmtId="0" fontId="0" fillId="14" borderId="36" xfId="0" applyFill="1" applyBorder="1"/>
    <xf numFmtId="0" fontId="0" fillId="14" borderId="37" xfId="0" applyFill="1" applyBorder="1"/>
    <xf numFmtId="0" fontId="0" fillId="0" borderId="34" xfId="0" applyBorder="1"/>
    <xf numFmtId="0" fontId="0" fillId="14" borderId="39" xfId="0" applyFill="1" applyBorder="1"/>
    <xf numFmtId="0" fontId="0" fillId="0" borderId="38" xfId="0" applyBorder="1"/>
    <xf numFmtId="0" fontId="0" fillId="14" borderId="33" xfId="0" applyFill="1" applyBorder="1"/>
    <xf numFmtId="0" fontId="0" fillId="14" borderId="35" xfId="0" applyFill="1" applyBorder="1"/>
    <xf numFmtId="0" fontId="0" fillId="0" borderId="37" xfId="0" applyBorder="1"/>
    <xf numFmtId="0" fontId="3" fillId="6" borderId="3" xfId="0" applyFont="1" applyFill="1" applyBorder="1"/>
    <xf numFmtId="0" fontId="3" fillId="6" borderId="40" xfId="0" applyFont="1" applyFill="1" applyBorder="1"/>
    <xf numFmtId="0" fontId="3" fillId="6" borderId="41" xfId="0" applyFont="1" applyFill="1" applyBorder="1"/>
    <xf numFmtId="0" fontId="3" fillId="6" borderId="42" xfId="0" applyFont="1" applyFill="1" applyBorder="1"/>
    <xf numFmtId="0" fontId="3" fillId="6" borderId="43" xfId="0" applyFont="1" applyFill="1" applyBorder="1"/>
    <xf numFmtId="0" fontId="3" fillId="6" borderId="47" xfId="0" applyFont="1" applyFill="1" applyBorder="1"/>
    <xf numFmtId="9" fontId="3" fillId="6" borderId="44" xfId="0" applyNumberFormat="1" applyFont="1" applyFill="1" applyBorder="1"/>
    <xf numFmtId="0" fontId="0" fillId="0" borderId="45" xfId="0" applyBorder="1"/>
    <xf numFmtId="0" fontId="3" fillId="0" borderId="0" xfId="0" applyFont="1"/>
    <xf numFmtId="0" fontId="3" fillId="0" borderId="0" xfId="0" applyFont="1" applyAlignment="1">
      <alignment horizontal="right"/>
    </xf>
    <xf numFmtId="0" fontId="3" fillId="6" borderId="3" xfId="0" applyFont="1" applyFill="1" applyBorder="1" applyAlignment="1">
      <alignment horizontal="right"/>
    </xf>
    <xf numFmtId="9" fontId="0" fillId="14" borderId="3" xfId="0" applyNumberFormat="1" applyFill="1" applyBorder="1"/>
    <xf numFmtId="44" fontId="0" fillId="0" borderId="3" xfId="6" applyFont="1" applyBorder="1"/>
    <xf numFmtId="0" fontId="0" fillId="8" borderId="11" xfId="0" applyFill="1" applyBorder="1"/>
    <xf numFmtId="0" fontId="38" fillId="8" borderId="11" xfId="0" applyFont="1" applyFill="1" applyBorder="1" applyAlignment="1">
      <alignment horizontal="right"/>
    </xf>
    <xf numFmtId="9" fontId="38" fillId="8" borderId="11" xfId="0" applyNumberFormat="1" applyFont="1" applyFill="1" applyBorder="1" applyProtection="1">
      <protection locked="0"/>
    </xf>
    <xf numFmtId="0" fontId="38" fillId="8" borderId="11" xfId="0" applyFont="1" applyFill="1" applyBorder="1" applyProtection="1">
      <protection locked="0"/>
    </xf>
    <xf numFmtId="0" fontId="38" fillId="8" borderId="11" xfId="0" applyFont="1" applyFill="1" applyBorder="1" applyAlignment="1" applyProtection="1">
      <alignment horizontal="center"/>
      <protection locked="0"/>
    </xf>
    <xf numFmtId="0" fontId="37" fillId="4" borderId="0" xfId="0" applyFont="1" applyFill="1" applyAlignment="1">
      <alignment vertical="top"/>
    </xf>
    <xf numFmtId="0" fontId="38" fillId="8" borderId="11" xfId="0" applyFont="1" applyFill="1" applyBorder="1"/>
    <xf numFmtId="0" fontId="37" fillId="4" borderId="0" xfId="0" applyFont="1" applyFill="1" applyAlignment="1">
      <alignment vertical="center"/>
    </xf>
    <xf numFmtId="0" fontId="0" fillId="0" borderId="32" xfId="0" applyBorder="1"/>
    <xf numFmtId="0" fontId="0" fillId="0" borderId="50" xfId="0" applyBorder="1"/>
    <xf numFmtId="0" fontId="19" fillId="0" borderId="49" xfId="0" applyFont="1" applyBorder="1"/>
    <xf numFmtId="0" fontId="19" fillId="0" borderId="55" xfId="0" applyFont="1" applyBorder="1"/>
    <xf numFmtId="0" fontId="19" fillId="0" borderId="56" xfId="0" applyFont="1" applyBorder="1"/>
    <xf numFmtId="0" fontId="19" fillId="0" borderId="53" xfId="0" applyFont="1" applyBorder="1"/>
    <xf numFmtId="0" fontId="19" fillId="0" borderId="51" xfId="0" applyFont="1" applyBorder="1"/>
    <xf numFmtId="0" fontId="19" fillId="0" borderId="52" xfId="0" applyFont="1" applyBorder="1"/>
    <xf numFmtId="0" fontId="0" fillId="0" borderId="57" xfId="0" applyBorder="1"/>
    <xf numFmtId="0" fontId="0" fillId="0" borderId="58" xfId="0" applyBorder="1"/>
    <xf numFmtId="0" fontId="19" fillId="0" borderId="59" xfId="0" applyFont="1" applyBorder="1"/>
    <xf numFmtId="0" fontId="0" fillId="0" borderId="60" xfId="0" applyBorder="1"/>
    <xf numFmtId="0" fontId="0" fillId="0" borderId="61" xfId="0" applyBorder="1"/>
    <xf numFmtId="0" fontId="0" fillId="0" borderId="62" xfId="0" applyBorder="1"/>
    <xf numFmtId="169" fontId="0" fillId="0" borderId="0" xfId="1" applyNumberFormat="1" applyFont="1"/>
    <xf numFmtId="0" fontId="0" fillId="0" borderId="0" xfId="0" applyAlignment="1">
      <alignment horizontal="right"/>
    </xf>
    <xf numFmtId="10" fontId="0" fillId="0" borderId="19" xfId="1" applyNumberFormat="1" applyFont="1" applyBorder="1"/>
    <xf numFmtId="10" fontId="0" fillId="0" borderId="54" xfId="1" applyNumberFormat="1" applyFont="1" applyBorder="1"/>
    <xf numFmtId="10" fontId="0" fillId="0" borderId="17" xfId="1" applyNumberFormat="1" applyFont="1" applyBorder="1"/>
    <xf numFmtId="0" fontId="0" fillId="15" borderId="0" xfId="0" applyFill="1"/>
    <xf numFmtId="0" fontId="19" fillId="0" borderId="0" xfId="4" applyFont="1" applyFill="1" applyBorder="1" applyProtection="1">
      <protection hidden="1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21" fillId="4" borderId="26" xfId="0" applyFont="1" applyFill="1" applyBorder="1" applyAlignment="1">
      <alignment vertical="center"/>
    </xf>
    <xf numFmtId="0" fontId="21" fillId="4" borderId="0" xfId="0" applyFont="1" applyFill="1" applyAlignment="1">
      <alignment vertical="center"/>
    </xf>
    <xf numFmtId="0" fontId="19" fillId="4" borderId="14" xfId="0" applyFont="1" applyFill="1" applyBorder="1"/>
    <xf numFmtId="0" fontId="33" fillId="4" borderId="0" xfId="0" applyFont="1" applyFill="1"/>
    <xf numFmtId="0" fontId="39" fillId="9" borderId="0" xfId="0" applyFont="1" applyFill="1" applyAlignment="1">
      <alignment horizontal="right"/>
    </xf>
    <xf numFmtId="0" fontId="0" fillId="14" borderId="3" xfId="6" applyNumberFormat="1" applyFont="1" applyFill="1" applyBorder="1"/>
    <xf numFmtId="0" fontId="54" fillId="4" borderId="32" xfId="0" applyFont="1" applyFill="1" applyBorder="1"/>
    <xf numFmtId="0" fontId="39" fillId="9" borderId="11" xfId="0" applyFont="1" applyFill="1" applyBorder="1"/>
    <xf numFmtId="0" fontId="19" fillId="8" borderId="0" xfId="4" applyFont="1" applyFill="1" applyBorder="1" applyProtection="1">
      <protection hidden="1"/>
    </xf>
    <xf numFmtId="0" fontId="0" fillId="4" borderId="69" xfId="0" applyFill="1" applyBorder="1"/>
    <xf numFmtId="0" fontId="0" fillId="4" borderId="70" xfId="0" applyFill="1" applyBorder="1"/>
    <xf numFmtId="0" fontId="0" fillId="4" borderId="71" xfId="0" applyFill="1" applyBorder="1"/>
    <xf numFmtId="0" fontId="0" fillId="8" borderId="34" xfId="0" applyFill="1" applyBorder="1"/>
    <xf numFmtId="0" fontId="0" fillId="8" borderId="72" xfId="0" applyFill="1" applyBorder="1"/>
    <xf numFmtId="0" fontId="5" fillId="9" borderId="0" xfId="0" applyFont="1" applyFill="1" applyAlignment="1">
      <alignment vertical="center"/>
    </xf>
    <xf numFmtId="0" fontId="6" fillId="9" borderId="0" xfId="0" applyFont="1" applyFill="1"/>
    <xf numFmtId="0" fontId="4" fillId="9" borderId="0" xfId="0" applyFont="1" applyFill="1"/>
    <xf numFmtId="0" fontId="6" fillId="4" borderId="0" xfId="0" applyFont="1" applyFill="1"/>
    <xf numFmtId="0" fontId="6" fillId="4" borderId="0" xfId="0" applyFont="1" applyFill="1" applyAlignment="1">
      <alignment horizontal="right" vertical="center"/>
    </xf>
    <xf numFmtId="44" fontId="6" fillId="4" borderId="0" xfId="0" applyNumberFormat="1" applyFont="1" applyFill="1"/>
    <xf numFmtId="0" fontId="6" fillId="4" borderId="0" xfId="0" applyFont="1" applyFill="1" applyAlignment="1">
      <alignment vertical="center"/>
    </xf>
    <xf numFmtId="0" fontId="20" fillId="4" borderId="0" xfId="0" applyFont="1" applyFill="1" applyAlignment="1">
      <alignment vertical="center"/>
    </xf>
    <xf numFmtId="0" fontId="20" fillId="4" borderId="0" xfId="0" applyFont="1" applyFill="1" applyAlignment="1">
      <alignment horizontal="right" vertical="center"/>
    </xf>
    <xf numFmtId="0" fontId="0" fillId="4" borderId="8" xfId="0" applyFill="1" applyBorder="1"/>
    <xf numFmtId="0" fontId="7" fillId="4" borderId="0" xfId="0" applyFont="1" applyFill="1" applyAlignment="1">
      <alignment vertical="center"/>
    </xf>
    <xf numFmtId="164" fontId="13" fillId="4" borderId="0" xfId="1" applyNumberFormat="1" applyFont="1" applyFill="1" applyBorder="1" applyAlignment="1">
      <alignment vertical="center"/>
    </xf>
    <xf numFmtId="0" fontId="7" fillId="4" borderId="0" xfId="0" applyFont="1" applyFill="1"/>
    <xf numFmtId="0" fontId="13" fillId="4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10" fillId="9" borderId="0" xfId="1" applyNumberFormat="1" applyFont="1" applyFill="1" applyAlignment="1">
      <alignment vertical="center"/>
    </xf>
    <xf numFmtId="0" fontId="6" fillId="4" borderId="70" xfId="0" applyFont="1" applyFill="1" applyBorder="1"/>
    <xf numFmtId="0" fontId="6" fillId="4" borderId="71" xfId="0" applyFont="1" applyFill="1" applyBorder="1"/>
    <xf numFmtId="0" fontId="6" fillId="4" borderId="69" xfId="0" applyFont="1" applyFill="1" applyBorder="1" applyAlignment="1">
      <alignment vertical="center"/>
    </xf>
    <xf numFmtId="0" fontId="6" fillId="4" borderId="69" xfId="0" applyFont="1" applyFill="1" applyBorder="1"/>
    <xf numFmtId="0" fontId="6" fillId="4" borderId="73" xfId="0" applyFont="1" applyFill="1" applyBorder="1"/>
    <xf numFmtId="0" fontId="14" fillId="4" borderId="0" xfId="0" applyFont="1" applyFill="1" applyAlignment="1">
      <alignment vertical="center"/>
    </xf>
    <xf numFmtId="0" fontId="14" fillId="4" borderId="70" xfId="0" applyFont="1" applyFill="1" applyBorder="1"/>
    <xf numFmtId="164" fontId="13" fillId="4" borderId="70" xfId="1" applyNumberFormat="1" applyFont="1" applyFill="1" applyBorder="1" applyAlignment="1">
      <alignment vertical="center"/>
    </xf>
    <xf numFmtId="0" fontId="12" fillId="9" borderId="74" xfId="0" applyFont="1" applyFill="1" applyBorder="1" applyAlignment="1">
      <alignment horizontal="center" vertical="center"/>
    </xf>
    <xf numFmtId="9" fontId="7" fillId="9" borderId="9" xfId="1" applyFont="1" applyFill="1" applyBorder="1" applyAlignment="1">
      <alignment horizontal="center" vertical="center"/>
    </xf>
    <xf numFmtId="0" fontId="0" fillId="4" borderId="0" xfId="0" quotePrefix="1" applyFill="1"/>
    <xf numFmtId="0" fontId="39" fillId="9" borderId="71" xfId="0" applyFont="1" applyFill="1" applyBorder="1"/>
    <xf numFmtId="0" fontId="0" fillId="4" borderId="77" xfId="0" applyFill="1" applyBorder="1"/>
    <xf numFmtId="0" fontId="0" fillId="4" borderId="78" xfId="0" applyFill="1" applyBorder="1"/>
    <xf numFmtId="0" fontId="0" fillId="4" borderId="79" xfId="0" applyFill="1" applyBorder="1"/>
    <xf numFmtId="0" fontId="0" fillId="4" borderId="72" xfId="0" applyFill="1" applyBorder="1"/>
    <xf numFmtId="0" fontId="0" fillId="4" borderId="80" xfId="0" applyFill="1" applyBorder="1"/>
    <xf numFmtId="0" fontId="39" fillId="9" borderId="77" xfId="0" applyFont="1" applyFill="1" applyBorder="1"/>
    <xf numFmtId="0" fontId="0" fillId="9" borderId="71" xfId="0" applyFill="1" applyBorder="1"/>
    <xf numFmtId="0" fontId="0" fillId="9" borderId="78" xfId="0" applyFill="1" applyBorder="1"/>
    <xf numFmtId="0" fontId="26" fillId="4" borderId="69" xfId="0" applyFont="1" applyFill="1" applyBorder="1"/>
    <xf numFmtId="0" fontId="26" fillId="4" borderId="69" xfId="0" applyFont="1" applyFill="1" applyBorder="1" applyAlignment="1">
      <alignment horizontal="center" vertical="center"/>
    </xf>
    <xf numFmtId="0" fontId="38" fillId="8" borderId="0" xfId="0" applyFont="1" applyFill="1" applyAlignment="1">
      <alignment vertical="center"/>
    </xf>
    <xf numFmtId="10" fontId="39" fillId="9" borderId="19" xfId="0" applyNumberFormat="1" applyFont="1" applyFill="1" applyBorder="1"/>
    <xf numFmtId="0" fontId="42" fillId="4" borderId="32" xfId="0" applyFont="1" applyFill="1" applyBorder="1" applyAlignment="1">
      <alignment vertical="center"/>
    </xf>
    <xf numFmtId="0" fontId="0" fillId="4" borderId="32" xfId="0" applyFill="1" applyBorder="1" applyAlignment="1">
      <alignment vertical="center"/>
    </xf>
    <xf numFmtId="170" fontId="42" fillId="4" borderId="32" xfId="1" applyNumberFormat="1" applyFont="1" applyFill="1" applyBorder="1" applyAlignment="1">
      <alignment vertical="center"/>
    </xf>
    <xf numFmtId="9" fontId="42" fillId="4" borderId="32" xfId="1" applyFont="1" applyFill="1" applyBorder="1" applyAlignment="1">
      <alignment vertical="center"/>
    </xf>
    <xf numFmtId="9" fontId="42" fillId="4" borderId="32" xfId="1" applyFont="1" applyFill="1" applyBorder="1" applyAlignment="1">
      <alignment horizontal="right" vertical="center"/>
    </xf>
    <xf numFmtId="0" fontId="0" fillId="4" borderId="32" xfId="0" applyFill="1" applyBorder="1" applyAlignment="1">
      <alignment horizontal="left"/>
    </xf>
    <xf numFmtId="0" fontId="0" fillId="4" borderId="32" xfId="0" applyFill="1" applyBorder="1"/>
    <xf numFmtId="44" fontId="0" fillId="4" borderId="32" xfId="6" applyFont="1" applyFill="1" applyBorder="1" applyAlignment="1">
      <alignment horizontal="left"/>
    </xf>
    <xf numFmtId="168" fontId="0" fillId="4" borderId="32" xfId="0" applyNumberFormat="1" applyFill="1" applyBorder="1"/>
    <xf numFmtId="44" fontId="0" fillId="4" borderId="32" xfId="6" applyFont="1" applyFill="1" applyBorder="1"/>
    <xf numFmtId="0" fontId="25" fillId="4" borderId="15" xfId="0" applyFont="1" applyFill="1" applyBorder="1" applyProtection="1">
      <protection locked="0"/>
    </xf>
    <xf numFmtId="164" fontId="0" fillId="0" borderId="0" xfId="1" applyNumberFormat="1" applyFont="1"/>
    <xf numFmtId="0" fontId="19" fillId="10" borderId="0" xfId="0" applyFont="1" applyFill="1"/>
    <xf numFmtId="0" fontId="19" fillId="10" borderId="16" xfId="0" applyFont="1" applyFill="1" applyBorder="1"/>
    <xf numFmtId="0" fontId="19" fillId="10" borderId="12" xfId="0" applyFont="1" applyFill="1" applyBorder="1"/>
    <xf numFmtId="0" fontId="19" fillId="10" borderId="18" xfId="0" applyFont="1" applyFill="1" applyBorder="1"/>
    <xf numFmtId="0" fontId="19" fillId="10" borderId="14" xfId="0" applyFont="1" applyFill="1" applyBorder="1"/>
    <xf numFmtId="0" fontId="19" fillId="10" borderId="15" xfId="0" applyFont="1" applyFill="1" applyBorder="1"/>
    <xf numFmtId="0" fontId="19" fillId="10" borderId="17" xfId="0" applyFont="1" applyFill="1" applyBorder="1"/>
    <xf numFmtId="0" fontId="19" fillId="10" borderId="11" xfId="0" applyFont="1" applyFill="1" applyBorder="1"/>
    <xf numFmtId="0" fontId="19" fillId="10" borderId="19" xfId="0" applyFont="1" applyFill="1" applyBorder="1"/>
    <xf numFmtId="0" fontId="33" fillId="10" borderId="0" xfId="0" applyFont="1" applyFill="1"/>
    <xf numFmtId="0" fontId="33" fillId="10" borderId="0" xfId="0" applyFont="1" applyFill="1" applyAlignment="1">
      <alignment horizontal="right"/>
    </xf>
    <xf numFmtId="0" fontId="19" fillId="10" borderId="82" xfId="0" applyFont="1" applyFill="1" applyBorder="1"/>
    <xf numFmtId="0" fontId="33" fillId="10" borderId="16" xfId="0" applyFont="1" applyFill="1" applyBorder="1" applyAlignment="1">
      <alignment horizontal="right"/>
    </xf>
    <xf numFmtId="0" fontId="33" fillId="10" borderId="17" xfId="0" applyFont="1" applyFill="1" applyBorder="1" applyAlignment="1">
      <alignment horizontal="right"/>
    </xf>
    <xf numFmtId="0" fontId="33" fillId="10" borderId="16" xfId="0" applyFont="1" applyFill="1" applyBorder="1"/>
    <xf numFmtId="0" fontId="25" fillId="10" borderId="14" xfId="0" applyFont="1" applyFill="1" applyBorder="1"/>
    <xf numFmtId="0" fontId="65" fillId="10" borderId="16" xfId="0" applyFont="1" applyFill="1" applyBorder="1"/>
    <xf numFmtId="0" fontId="65" fillId="10" borderId="12" xfId="0" applyFont="1" applyFill="1" applyBorder="1"/>
    <xf numFmtId="0" fontId="65" fillId="10" borderId="18" xfId="0" applyFont="1" applyFill="1" applyBorder="1"/>
    <xf numFmtId="0" fontId="65" fillId="10" borderId="0" xfId="0" applyFont="1" applyFill="1"/>
    <xf numFmtId="0" fontId="65" fillId="10" borderId="14" xfId="0" applyFont="1" applyFill="1" applyBorder="1"/>
    <xf numFmtId="0" fontId="65" fillId="10" borderId="15" xfId="0" applyFont="1" applyFill="1" applyBorder="1"/>
    <xf numFmtId="0" fontId="65" fillId="10" borderId="17" xfId="0" applyFont="1" applyFill="1" applyBorder="1"/>
    <xf numFmtId="0" fontId="65" fillId="10" borderId="11" xfId="0" applyFont="1" applyFill="1" applyBorder="1"/>
    <xf numFmtId="0" fontId="65" fillId="10" borderId="19" xfId="0" applyFont="1" applyFill="1" applyBorder="1"/>
    <xf numFmtId="0" fontId="68" fillId="10" borderId="0" xfId="0" applyFont="1" applyFill="1" applyAlignment="1">
      <alignment horizontal="right"/>
    </xf>
    <xf numFmtId="0" fontId="68" fillId="10" borderId="0" xfId="0" applyFont="1" applyFill="1"/>
    <xf numFmtId="0" fontId="66" fillId="10" borderId="16" xfId="0" applyFont="1" applyFill="1" applyBorder="1"/>
    <xf numFmtId="0" fontId="68" fillId="10" borderId="14" xfId="0" applyFont="1" applyFill="1" applyBorder="1" applyAlignment="1">
      <alignment horizontal="right"/>
    </xf>
    <xf numFmtId="0" fontId="68" fillId="10" borderId="16" xfId="0" applyFont="1" applyFill="1" applyBorder="1" applyAlignment="1">
      <alignment horizontal="right"/>
    </xf>
    <xf numFmtId="0" fontId="71" fillId="10" borderId="0" xfId="0" applyFont="1" applyFill="1"/>
    <xf numFmtId="0" fontId="71" fillId="10" borderId="11" xfId="0" applyFont="1" applyFill="1" applyBorder="1"/>
    <xf numFmtId="0" fontId="68" fillId="10" borderId="17" xfId="0" applyFont="1" applyFill="1" applyBorder="1" applyAlignment="1">
      <alignment horizontal="right"/>
    </xf>
    <xf numFmtId="0" fontId="66" fillId="10" borderId="16" xfId="0" applyFont="1" applyFill="1" applyBorder="1" applyAlignment="1">
      <alignment horizontal="right"/>
    </xf>
    <xf numFmtId="0" fontId="66" fillId="10" borderId="17" xfId="0" applyFont="1" applyFill="1" applyBorder="1" applyAlignment="1">
      <alignment horizontal="right"/>
    </xf>
    <xf numFmtId="44" fontId="19" fillId="8" borderId="0" xfId="6" applyFont="1" applyFill="1"/>
    <xf numFmtId="44" fontId="67" fillId="15" borderId="18" xfId="6" applyFont="1" applyFill="1" applyBorder="1"/>
    <xf numFmtId="44" fontId="67" fillId="15" borderId="19" xfId="6" applyFont="1" applyFill="1" applyBorder="1"/>
    <xf numFmtId="44" fontId="67" fillId="15" borderId="86" xfId="6" applyFont="1" applyFill="1" applyBorder="1"/>
    <xf numFmtId="44" fontId="67" fillId="15" borderId="87" xfId="6" applyFont="1" applyFill="1" applyBorder="1"/>
    <xf numFmtId="0" fontId="66" fillId="10" borderId="14" xfId="0" applyFont="1" applyFill="1" applyBorder="1" applyAlignment="1">
      <alignment horizontal="right"/>
    </xf>
    <xf numFmtId="44" fontId="0" fillId="4" borderId="32" xfId="0" applyNumberFormat="1" applyFill="1" applyBorder="1"/>
    <xf numFmtId="0" fontId="0" fillId="9" borderId="16" xfId="0" applyFill="1" applyBorder="1"/>
    <xf numFmtId="0" fontId="0" fillId="9" borderId="12" xfId="0" applyFill="1" applyBorder="1"/>
    <xf numFmtId="0" fontId="0" fillId="9" borderId="18" xfId="0" applyFill="1" applyBorder="1"/>
    <xf numFmtId="0" fontId="33" fillId="4" borderId="11" xfId="0" applyFont="1" applyFill="1" applyBorder="1" applyAlignment="1">
      <alignment horizontal="right" vertical="center"/>
    </xf>
    <xf numFmtId="0" fontId="33" fillId="4" borderId="11" xfId="0" applyFont="1" applyFill="1" applyBorder="1" applyAlignment="1">
      <alignment horizontal="right"/>
    </xf>
    <xf numFmtId="44" fontId="39" fillId="9" borderId="0" xfId="0" applyNumberFormat="1" applyFont="1" applyFill="1"/>
    <xf numFmtId="44" fontId="39" fillId="9" borderId="0" xfId="6" applyFont="1" applyFill="1" applyBorder="1" applyAlignment="1"/>
    <xf numFmtId="44" fontId="23" fillId="10" borderId="83" xfId="6" applyFont="1" applyFill="1" applyBorder="1"/>
    <xf numFmtId="0" fontId="45" fillId="10" borderId="0" xfId="0" applyFont="1" applyFill="1"/>
    <xf numFmtId="0" fontId="0" fillId="10" borderId="16" xfId="0" applyFill="1" applyBorder="1"/>
    <xf numFmtId="0" fontId="0" fillId="10" borderId="12" xfId="0" applyFill="1" applyBorder="1"/>
    <xf numFmtId="0" fontId="0" fillId="10" borderId="18" xfId="0" applyFill="1" applyBorder="1"/>
    <xf numFmtId="0" fontId="0" fillId="10" borderId="14" xfId="0" applyFill="1" applyBorder="1"/>
    <xf numFmtId="0" fontId="0" fillId="10" borderId="15" xfId="0" applyFill="1" applyBorder="1"/>
    <xf numFmtId="0" fontId="0" fillId="10" borderId="17" xfId="0" applyFill="1" applyBorder="1"/>
    <xf numFmtId="0" fontId="0" fillId="10" borderId="11" xfId="0" applyFill="1" applyBorder="1"/>
    <xf numFmtId="0" fontId="0" fillId="10" borderId="19" xfId="0" applyFill="1" applyBorder="1"/>
    <xf numFmtId="44" fontId="0" fillId="0" borderId="0" xfId="6" applyFont="1"/>
    <xf numFmtId="0" fontId="26" fillId="10" borderId="0" xfId="0" applyFont="1" applyFill="1" applyAlignment="1">
      <alignment horizontal="right"/>
    </xf>
    <xf numFmtId="0" fontId="25" fillId="10" borderId="0" xfId="0" applyFont="1" applyFill="1"/>
    <xf numFmtId="0" fontId="0" fillId="10" borderId="88" xfId="0" applyFill="1" applyBorder="1"/>
    <xf numFmtId="0" fontId="19" fillId="10" borderId="14" xfId="0" applyFont="1" applyFill="1" applyBorder="1" applyAlignment="1">
      <alignment horizontal="right"/>
    </xf>
    <xf numFmtId="0" fontId="76" fillId="10" borderId="0" xfId="0" applyFont="1" applyFill="1" applyAlignment="1">
      <alignment horizontal="right"/>
    </xf>
    <xf numFmtId="0" fontId="77" fillId="10" borderId="14" xfId="0" applyFont="1" applyFill="1" applyBorder="1" applyAlignment="1">
      <alignment horizontal="right"/>
    </xf>
    <xf numFmtId="0" fontId="39" fillId="10" borderId="0" xfId="0" applyFont="1" applyFill="1"/>
    <xf numFmtId="0" fontId="25" fillId="10" borderId="0" xfId="0" applyFont="1" applyFill="1" applyAlignment="1">
      <alignment horizontal="right"/>
    </xf>
    <xf numFmtId="0" fontId="19" fillId="10" borderId="0" xfId="0" applyFont="1" applyFill="1" applyAlignment="1">
      <alignment horizontal="right"/>
    </xf>
    <xf numFmtId="0" fontId="0" fillId="10" borderId="90" xfId="0" applyFill="1" applyBorder="1"/>
    <xf numFmtId="0" fontId="25" fillId="10" borderId="17" xfId="0" applyFont="1" applyFill="1" applyBorder="1" applyAlignment="1">
      <alignment horizontal="right" vertical="center"/>
    </xf>
    <xf numFmtId="0" fontId="33" fillId="10" borderId="14" xfId="0" applyFont="1" applyFill="1" applyBorder="1" applyAlignment="1">
      <alignment horizontal="right"/>
    </xf>
    <xf numFmtId="0" fontId="0" fillId="16" borderId="0" xfId="0" applyFill="1"/>
    <xf numFmtId="0" fontId="42" fillId="4" borderId="32" xfId="0" applyFont="1" applyFill="1" applyBorder="1"/>
    <xf numFmtId="170" fontId="42" fillId="4" borderId="32" xfId="1" applyNumberFormat="1" applyFont="1" applyFill="1" applyBorder="1"/>
    <xf numFmtId="9" fontId="42" fillId="4" borderId="32" xfId="1" applyFont="1" applyFill="1" applyBorder="1"/>
    <xf numFmtId="44" fontId="0" fillId="14" borderId="36" xfId="0" applyNumberFormat="1" applyFill="1" applyBorder="1"/>
    <xf numFmtId="44" fontId="0" fillId="14" borderId="36" xfId="6" applyFont="1" applyFill="1" applyBorder="1"/>
    <xf numFmtId="0" fontId="0" fillId="16" borderId="3" xfId="0" applyFill="1" applyBorder="1"/>
    <xf numFmtId="0" fontId="79" fillId="0" borderId="0" xfId="0" applyFont="1" applyAlignment="1">
      <alignment horizontal="right"/>
    </xf>
    <xf numFmtId="0" fontId="79" fillId="0" borderId="45" xfId="0" applyFont="1" applyBorder="1" applyAlignment="1">
      <alignment horizontal="right"/>
    </xf>
    <xf numFmtId="0" fontId="79" fillId="16" borderId="3" xfId="0" applyFont="1" applyFill="1" applyBorder="1" applyAlignment="1">
      <alignment horizontal="right"/>
    </xf>
    <xf numFmtId="44" fontId="79" fillId="16" borderId="3" xfId="0" applyNumberFormat="1" applyFont="1" applyFill="1" applyBorder="1" applyAlignment="1">
      <alignment horizontal="right"/>
    </xf>
    <xf numFmtId="44" fontId="79" fillId="16" borderId="3" xfId="6" applyFont="1" applyFill="1" applyBorder="1" applyAlignment="1">
      <alignment horizontal="right"/>
    </xf>
    <xf numFmtId="44" fontId="39" fillId="9" borderId="0" xfId="6" applyFont="1" applyFill="1"/>
    <xf numFmtId="0" fontId="80" fillId="10" borderId="0" xfId="0" applyFont="1" applyFill="1" applyAlignment="1">
      <alignment vertical="top"/>
    </xf>
    <xf numFmtId="0" fontId="3" fillId="10" borderId="0" xfId="0" applyFont="1" applyFill="1"/>
    <xf numFmtId="0" fontId="0" fillId="10" borderId="14" xfId="0" applyFill="1" applyBorder="1" applyAlignment="1">
      <alignment horizontal="right"/>
    </xf>
    <xf numFmtId="0" fontId="19" fillId="4" borderId="14" xfId="0" applyFont="1" applyFill="1" applyBorder="1" applyAlignment="1">
      <alignment horizontal="center"/>
    </xf>
    <xf numFmtId="0" fontId="0" fillId="9" borderId="15" xfId="0" applyFill="1" applyBorder="1"/>
    <xf numFmtId="0" fontId="39" fillId="9" borderId="15" xfId="0" applyFont="1" applyFill="1" applyBorder="1"/>
    <xf numFmtId="0" fontId="19" fillId="4" borderId="20" xfId="0" applyFont="1" applyFill="1" applyBorder="1"/>
    <xf numFmtId="0" fontId="19" fillId="4" borderId="54" xfId="0" applyFont="1" applyFill="1" applyBorder="1"/>
    <xf numFmtId="0" fontId="39" fillId="9" borderId="20" xfId="0" applyFont="1" applyFill="1" applyBorder="1" applyAlignment="1">
      <alignment horizontal="right"/>
    </xf>
    <xf numFmtId="44" fontId="19" fillId="4" borderId="20" xfId="6" applyFont="1" applyFill="1" applyBorder="1"/>
    <xf numFmtId="44" fontId="19" fillId="4" borderId="54" xfId="6" applyFont="1" applyFill="1" applyBorder="1"/>
    <xf numFmtId="44" fontId="19" fillId="4" borderId="0" xfId="6" applyFont="1" applyFill="1"/>
    <xf numFmtId="0" fontId="39" fillId="9" borderId="90" xfId="0" applyFont="1" applyFill="1" applyBorder="1" applyAlignment="1">
      <alignment horizontal="right"/>
    </xf>
    <xf numFmtId="44" fontId="19" fillId="4" borderId="90" xfId="6" applyFont="1" applyFill="1" applyBorder="1"/>
    <xf numFmtId="44" fontId="52" fillId="15" borderId="18" xfId="6" applyFont="1" applyFill="1" applyBorder="1"/>
    <xf numFmtId="44" fontId="52" fillId="15" borderId="19" xfId="6" applyFont="1" applyFill="1" applyBorder="1"/>
    <xf numFmtId="10" fontId="39" fillId="15" borderId="0" xfId="0" applyNumberFormat="1" applyFont="1" applyFill="1"/>
    <xf numFmtId="44" fontId="52" fillId="15" borderId="15" xfId="6" applyFont="1" applyFill="1" applyBorder="1"/>
    <xf numFmtId="44" fontId="52" fillId="15" borderId="19" xfId="6" applyFont="1" applyFill="1" applyBorder="1" applyAlignment="1">
      <alignment horizontal="right"/>
    </xf>
    <xf numFmtId="0" fontId="83" fillId="10" borderId="0" xfId="0" applyFont="1" applyFill="1"/>
    <xf numFmtId="0" fontId="19" fillId="10" borderId="32" xfId="0" applyFont="1" applyFill="1" applyBorder="1"/>
    <xf numFmtId="0" fontId="50" fillId="9" borderId="32" xfId="0" applyFont="1" applyFill="1" applyBorder="1"/>
    <xf numFmtId="44" fontId="19" fillId="10" borderId="32" xfId="6" applyFont="1" applyFill="1" applyBorder="1"/>
    <xf numFmtId="0" fontId="41" fillId="9" borderId="0" xfId="0" applyFont="1" applyFill="1" applyAlignment="1">
      <alignment horizontal="center" vertical="center"/>
    </xf>
    <xf numFmtId="0" fontId="48" fillId="10" borderId="32" xfId="0" applyFont="1" applyFill="1" applyBorder="1"/>
    <xf numFmtId="44" fontId="48" fillId="10" borderId="32" xfId="6" applyFont="1" applyFill="1" applyBorder="1"/>
    <xf numFmtId="44" fontId="0" fillId="14" borderId="3" xfId="0" applyNumberFormat="1" applyFill="1" applyBorder="1"/>
    <xf numFmtId="170" fontId="19" fillId="10" borderId="54" xfId="1" applyNumberFormat="1" applyFont="1" applyFill="1" applyBorder="1"/>
    <xf numFmtId="9" fontId="39" fillId="10" borderId="0" xfId="1" applyFont="1" applyFill="1" applyBorder="1"/>
    <xf numFmtId="44" fontId="0" fillId="14" borderId="3" xfId="6" applyFont="1" applyFill="1" applyBorder="1"/>
    <xf numFmtId="0" fontId="0" fillId="11" borderId="36" xfId="0" applyFill="1" applyBorder="1"/>
    <xf numFmtId="0" fontId="0" fillId="14" borderId="92" xfId="0" applyFill="1" applyBorder="1"/>
    <xf numFmtId="0" fontId="0" fillId="17" borderId="5" xfId="0" applyFill="1" applyBorder="1"/>
    <xf numFmtId="0" fontId="0" fillId="17" borderId="38" xfId="0" applyFill="1" applyBorder="1"/>
    <xf numFmtId="0" fontId="0" fillId="17" borderId="31" xfId="0" applyFill="1" applyBorder="1"/>
    <xf numFmtId="0" fontId="0" fillId="17" borderId="7" xfId="0" applyFill="1" applyBorder="1"/>
    <xf numFmtId="0" fontId="0" fillId="17" borderId="0" xfId="0" applyFill="1"/>
    <xf numFmtId="44" fontId="0" fillId="0" borderId="7" xfId="0" applyNumberFormat="1" applyBorder="1"/>
    <xf numFmtId="0" fontId="19" fillId="10" borderId="32" xfId="0" applyFont="1" applyFill="1" applyBorder="1" applyProtection="1">
      <protection locked="0"/>
    </xf>
    <xf numFmtId="172" fontId="0" fillId="0" borderId="0" xfId="0" applyNumberFormat="1"/>
    <xf numFmtId="0" fontId="79" fillId="4" borderId="11" xfId="0" applyFont="1" applyFill="1" applyBorder="1"/>
    <xf numFmtId="0" fontId="79" fillId="4" borderId="69" xfId="0" applyFont="1" applyFill="1" applyBorder="1" applyAlignment="1">
      <alignment horizontal="right"/>
    </xf>
    <xf numFmtId="9" fontId="67" fillId="15" borderId="0" xfId="1" applyFont="1" applyFill="1"/>
    <xf numFmtId="44" fontId="19" fillId="8" borderId="4" xfId="0" applyNumberFormat="1" applyFont="1" applyFill="1" applyBorder="1"/>
    <xf numFmtId="44" fontId="19" fillId="4" borderId="93" xfId="6" applyFont="1" applyFill="1" applyBorder="1"/>
    <xf numFmtId="0" fontId="19" fillId="4" borderId="11" xfId="0" applyFont="1" applyFill="1" applyBorder="1" applyProtection="1">
      <protection locked="0"/>
    </xf>
    <xf numFmtId="0" fontId="19" fillId="4" borderId="0" xfId="0" applyFont="1" applyFill="1" applyProtection="1">
      <protection locked="0"/>
    </xf>
    <xf numFmtId="170" fontId="19" fillId="4" borderId="11" xfId="1" applyNumberFormat="1" applyFont="1" applyFill="1" applyBorder="1" applyProtection="1">
      <protection locked="0"/>
    </xf>
    <xf numFmtId="9" fontId="19" fillId="4" borderId="11" xfId="1" applyFont="1" applyFill="1" applyBorder="1" applyProtection="1">
      <protection locked="0"/>
    </xf>
    <xf numFmtId="0" fontId="23" fillId="9" borderId="69" xfId="0" applyFont="1" applyFill="1" applyBorder="1" applyProtection="1">
      <protection locked="0"/>
    </xf>
    <xf numFmtId="44" fontId="67" fillId="15" borderId="0" xfId="6" applyFont="1" applyFill="1" applyProtection="1">
      <protection locked="0"/>
    </xf>
    <xf numFmtId="44" fontId="41" fillId="15" borderId="0" xfId="6" applyFont="1" applyFill="1" applyProtection="1">
      <protection locked="0"/>
    </xf>
    <xf numFmtId="0" fontId="65" fillId="10" borderId="0" xfId="0" applyFont="1" applyFill="1" applyProtection="1">
      <protection locked="0"/>
    </xf>
    <xf numFmtId="0" fontId="67" fillId="15" borderId="83" xfId="0" applyFont="1" applyFill="1" applyBorder="1" applyProtection="1">
      <protection locked="0"/>
    </xf>
    <xf numFmtId="0" fontId="67" fillId="15" borderId="84" xfId="0" applyFont="1" applyFill="1" applyBorder="1" applyProtection="1">
      <protection locked="0"/>
    </xf>
    <xf numFmtId="0" fontId="67" fillId="15" borderId="85" xfId="0" applyFont="1" applyFill="1" applyBorder="1" applyProtection="1">
      <protection locked="0"/>
    </xf>
    <xf numFmtId="0" fontId="68" fillId="10" borderId="32" xfId="0" applyFont="1" applyFill="1" applyBorder="1" applyAlignment="1" applyProtection="1">
      <alignment horizontal="center" vertical="center"/>
      <protection locked="0"/>
    </xf>
    <xf numFmtId="9" fontId="84" fillId="10" borderId="32" xfId="1" applyFont="1" applyFill="1" applyBorder="1" applyAlignment="1" applyProtection="1">
      <alignment horizontal="center" vertical="center"/>
      <protection locked="0"/>
    </xf>
    <xf numFmtId="0" fontId="69" fillId="15" borderId="0" xfId="0" applyFont="1" applyFill="1" applyProtection="1">
      <protection locked="0"/>
    </xf>
    <xf numFmtId="0" fontId="85" fillId="10" borderId="0" xfId="0" applyFont="1" applyFill="1"/>
    <xf numFmtId="0" fontId="85" fillId="10" borderId="0" xfId="0" applyFont="1" applyFill="1" applyProtection="1">
      <protection locked="0"/>
    </xf>
    <xf numFmtId="0" fontId="39" fillId="10" borderId="0" xfId="0" applyFont="1" applyFill="1" applyProtection="1">
      <protection locked="0"/>
    </xf>
    <xf numFmtId="0" fontId="23" fillId="15" borderId="0" xfId="0" applyFont="1" applyFill="1" applyProtection="1">
      <protection locked="0"/>
    </xf>
    <xf numFmtId="0" fontId="19" fillId="10" borderId="0" xfId="0" applyFont="1" applyFill="1" applyProtection="1">
      <protection locked="0"/>
    </xf>
    <xf numFmtId="44" fontId="50" fillId="15" borderId="0" xfId="6" applyFont="1" applyFill="1" applyProtection="1">
      <protection locked="0"/>
    </xf>
    <xf numFmtId="44" fontId="23" fillId="15" borderId="83" xfId="6" applyFont="1" applyFill="1" applyBorder="1" applyProtection="1">
      <protection locked="0"/>
    </xf>
    <xf numFmtId="0" fontId="23" fillId="15" borderId="83" xfId="0" applyFont="1" applyFill="1" applyBorder="1" applyProtection="1">
      <protection locked="0"/>
    </xf>
    <xf numFmtId="0" fontId="23" fillId="15" borderId="84" xfId="0" applyFont="1" applyFill="1" applyBorder="1" applyProtection="1">
      <protection locked="0"/>
    </xf>
    <xf numFmtId="0" fontId="33" fillId="10" borderId="32" xfId="0" applyFont="1" applyFill="1" applyBorder="1" applyProtection="1">
      <protection locked="0"/>
    </xf>
    <xf numFmtId="9" fontId="33" fillId="10" borderId="32" xfId="1" applyFont="1" applyFill="1" applyBorder="1" applyProtection="1">
      <protection locked="0"/>
    </xf>
    <xf numFmtId="44" fontId="39" fillId="9" borderId="0" xfId="6" applyFont="1" applyFill="1" applyProtection="1">
      <protection locked="0"/>
    </xf>
    <xf numFmtId="44" fontId="0" fillId="10" borderId="0" xfId="6" applyFont="1" applyFill="1" applyProtection="1">
      <protection locked="0"/>
    </xf>
    <xf numFmtId="0" fontId="0" fillId="10" borderId="0" xfId="0" applyFill="1" applyProtection="1">
      <protection locked="0"/>
    </xf>
    <xf numFmtId="0" fontId="0" fillId="10" borderId="11" xfId="0" applyFill="1" applyBorder="1" applyProtection="1">
      <protection locked="0"/>
    </xf>
    <xf numFmtId="0" fontId="0" fillId="10" borderId="12" xfId="0" applyFill="1" applyBorder="1" applyProtection="1">
      <protection locked="0"/>
    </xf>
    <xf numFmtId="0" fontId="39" fillId="9" borderId="63" xfId="0" applyFont="1" applyFill="1" applyBorder="1" applyProtection="1">
      <protection locked="0"/>
    </xf>
    <xf numFmtId="0" fontId="39" fillId="9" borderId="89" xfId="0" applyFont="1" applyFill="1" applyBorder="1" applyProtection="1">
      <protection locked="0"/>
    </xf>
    <xf numFmtId="0" fontId="0" fillId="10" borderId="88" xfId="0" applyFill="1" applyBorder="1" applyProtection="1">
      <protection locked="0"/>
    </xf>
    <xf numFmtId="0" fontId="39" fillId="9" borderId="0" xfId="0" applyFont="1" applyFill="1" applyProtection="1">
      <protection locked="0"/>
    </xf>
    <xf numFmtId="9" fontId="39" fillId="9" borderId="0" xfId="1" applyFont="1" applyFill="1" applyBorder="1" applyProtection="1">
      <protection locked="0"/>
    </xf>
    <xf numFmtId="9" fontId="19" fillId="10" borderId="32" xfId="1" applyFont="1" applyFill="1" applyBorder="1" applyProtection="1">
      <protection locked="0"/>
    </xf>
    <xf numFmtId="0" fontId="0" fillId="10" borderId="14" xfId="0" applyFill="1" applyBorder="1" applyProtection="1">
      <protection locked="0"/>
    </xf>
    <xf numFmtId="0" fontId="0" fillId="10" borderId="17" xfId="0" applyFill="1" applyBorder="1" applyProtection="1">
      <protection locked="0"/>
    </xf>
    <xf numFmtId="0" fontId="0" fillId="10" borderId="13" xfId="0" applyFill="1" applyBorder="1" applyProtection="1">
      <protection locked="0"/>
    </xf>
    <xf numFmtId="0" fontId="0" fillId="10" borderId="16" xfId="0" applyFill="1" applyBorder="1" applyProtection="1">
      <protection locked="0"/>
    </xf>
    <xf numFmtId="0" fontId="39" fillId="9" borderId="88" xfId="0" applyFont="1" applyFill="1" applyBorder="1" applyProtection="1">
      <protection locked="0"/>
    </xf>
    <xf numFmtId="0" fontId="39" fillId="9" borderId="11" xfId="0" applyFont="1" applyFill="1" applyBorder="1" applyProtection="1">
      <protection locked="0"/>
    </xf>
    <xf numFmtId="0" fontId="33" fillId="10" borderId="0" xfId="0" applyFont="1" applyFill="1" applyAlignment="1" applyProtection="1">
      <alignment horizontal="right"/>
      <protection locked="0"/>
    </xf>
    <xf numFmtId="9" fontId="39" fillId="9" borderId="0" xfId="0" applyNumberFormat="1" applyFont="1" applyFill="1" applyProtection="1">
      <protection locked="0"/>
    </xf>
    <xf numFmtId="44" fontId="39" fillId="9" borderId="0" xfId="6" applyFont="1" applyFill="1" applyBorder="1" applyProtection="1">
      <protection locked="0"/>
    </xf>
    <xf numFmtId="44" fontId="39" fillId="9" borderId="0" xfId="0" applyNumberFormat="1" applyFont="1" applyFill="1" applyProtection="1">
      <protection locked="0"/>
    </xf>
    <xf numFmtId="0" fontId="33" fillId="4" borderId="0" xfId="0" applyFont="1" applyFill="1" applyProtection="1">
      <protection locked="0"/>
    </xf>
    <xf numFmtId="9" fontId="39" fillId="9" borderId="65" xfId="1" applyFont="1" applyFill="1" applyBorder="1" applyAlignment="1" applyProtection="1">
      <alignment horizontal="right"/>
      <protection locked="0"/>
    </xf>
    <xf numFmtId="0" fontId="39" fillId="9" borderId="66" xfId="0" applyFont="1" applyFill="1" applyBorder="1" applyAlignment="1" applyProtection="1">
      <alignment horizontal="right"/>
      <protection locked="0"/>
    </xf>
    <xf numFmtId="0" fontId="39" fillId="9" borderId="65" xfId="0" applyFont="1" applyFill="1" applyBorder="1" applyAlignment="1" applyProtection="1">
      <alignment horizontal="right"/>
      <protection locked="0"/>
    </xf>
    <xf numFmtId="0" fontId="0" fillId="4" borderId="0" xfId="0" applyFill="1" applyProtection="1">
      <protection locked="0"/>
    </xf>
    <xf numFmtId="0" fontId="0" fillId="4" borderId="15" xfId="0" applyFill="1" applyBorder="1" applyProtection="1">
      <protection locked="0"/>
    </xf>
    <xf numFmtId="0" fontId="39" fillId="9" borderId="15" xfId="0" applyFont="1" applyFill="1" applyBorder="1" applyAlignment="1" applyProtection="1">
      <alignment horizontal="right"/>
      <protection locked="0"/>
    </xf>
    <xf numFmtId="0" fontId="33" fillId="4" borderId="14" xfId="0" applyFont="1" applyFill="1" applyBorder="1" applyProtection="1">
      <protection locked="0"/>
    </xf>
    <xf numFmtId="9" fontId="39" fillId="9" borderId="63" xfId="1" applyFont="1" applyFill="1" applyBorder="1" applyAlignment="1" applyProtection="1">
      <alignment horizontal="right"/>
      <protection locked="0"/>
    </xf>
    <xf numFmtId="0" fontId="39" fillId="9" borderId="64" xfId="0" applyFont="1" applyFill="1" applyBorder="1" applyAlignment="1" applyProtection="1">
      <alignment horizontal="right"/>
      <protection locked="0"/>
    </xf>
    <xf numFmtId="0" fontId="19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39" fillId="9" borderId="0" xfId="0" applyFont="1" applyFill="1" applyAlignment="1" applyProtection="1">
      <alignment horizontal="right"/>
      <protection locked="0"/>
    </xf>
    <xf numFmtId="14" fontId="39" fillId="9" borderId="0" xfId="0" applyNumberFormat="1" applyFont="1" applyFill="1" applyProtection="1">
      <protection locked="0"/>
    </xf>
    <xf numFmtId="0" fontId="6" fillId="4" borderId="0" xfId="0" applyFont="1" applyFill="1" applyProtection="1">
      <protection locked="0"/>
    </xf>
    <xf numFmtId="0" fontId="6" fillId="9" borderId="74" xfId="0" applyFont="1" applyFill="1" applyBorder="1" applyProtection="1">
      <protection locked="0"/>
    </xf>
    <xf numFmtId="44" fontId="7" fillId="9" borderId="74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vertical="center"/>
      <protection locked="0"/>
    </xf>
    <xf numFmtId="0" fontId="38" fillId="4" borderId="0" xfId="0" applyFont="1" applyFill="1" applyAlignment="1" applyProtection="1">
      <alignment vertical="center"/>
      <protection locked="0"/>
    </xf>
    <xf numFmtId="164" fontId="13" fillId="9" borderId="74" xfId="1" applyNumberFormat="1" applyFont="1" applyFill="1" applyBorder="1" applyAlignment="1" applyProtection="1">
      <alignment vertical="center"/>
      <protection locked="0"/>
    </xf>
    <xf numFmtId="0" fontId="7" fillId="9" borderId="74" xfId="0" applyFont="1" applyFill="1" applyBorder="1" applyAlignment="1" applyProtection="1">
      <alignment horizontal="center" vertical="center"/>
      <protection locked="0"/>
    </xf>
    <xf numFmtId="0" fontId="20" fillId="4" borderId="0" xfId="0" applyFont="1" applyFill="1" applyAlignment="1" applyProtection="1">
      <alignment horizontal="right" vertical="center"/>
      <protection locked="0"/>
    </xf>
    <xf numFmtId="0" fontId="7" fillId="9" borderId="0" xfId="0" applyFont="1" applyFill="1" applyAlignment="1" applyProtection="1">
      <alignment horizontal="center" vertical="center"/>
      <protection locked="0"/>
    </xf>
    <xf numFmtId="0" fontId="33" fillId="4" borderId="0" xfId="0" applyFont="1" applyFill="1" applyAlignment="1" applyProtection="1">
      <alignment horizontal="right" vertical="center"/>
      <protection locked="0"/>
    </xf>
    <xf numFmtId="14" fontId="7" fillId="9" borderId="9" xfId="0" applyNumberFormat="1" applyFont="1" applyFill="1" applyBorder="1" applyAlignment="1" applyProtection="1">
      <alignment horizontal="right" vertical="center"/>
      <protection locked="0"/>
    </xf>
    <xf numFmtId="14" fontId="7" fillId="9" borderId="0" xfId="0" applyNumberFormat="1" applyFont="1" applyFill="1" applyAlignment="1" applyProtection="1">
      <alignment vertical="center"/>
      <protection locked="0"/>
    </xf>
    <xf numFmtId="0" fontId="6" fillId="4" borderId="8" xfId="0" applyFont="1" applyFill="1" applyBorder="1" applyProtection="1">
      <protection locked="0"/>
    </xf>
    <xf numFmtId="0" fontId="60" fillId="4" borderId="69" xfId="0" applyFont="1" applyFill="1" applyBorder="1" applyProtection="1">
      <protection locked="0"/>
    </xf>
    <xf numFmtId="44" fontId="7" fillId="4" borderId="0" xfId="0" applyNumberFormat="1" applyFont="1" applyFill="1" applyAlignment="1" applyProtection="1">
      <alignment horizontal="center" vertical="center"/>
      <protection locked="0"/>
    </xf>
    <xf numFmtId="0" fontId="7" fillId="9" borderId="74" xfId="0" applyFont="1" applyFill="1" applyBorder="1" applyAlignment="1" applyProtection="1">
      <alignment horizontal="right" vertical="center"/>
      <protection locked="0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7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48" xfId="0" applyFont="1" applyBorder="1" applyAlignment="1">
      <alignment horizontal="center" vertical="center"/>
    </xf>
    <xf numFmtId="0" fontId="59" fillId="4" borderId="0" xfId="0" applyFont="1" applyFill="1" applyAlignment="1">
      <alignment horizontal="center" vertical="center"/>
    </xf>
    <xf numFmtId="0" fontId="56" fillId="4" borderId="71" xfId="0" applyFont="1" applyFill="1" applyBorder="1" applyAlignment="1">
      <alignment horizontal="center"/>
    </xf>
    <xf numFmtId="0" fontId="56" fillId="4" borderId="0" xfId="0" applyFont="1" applyFill="1" applyAlignment="1">
      <alignment horizontal="center"/>
    </xf>
    <xf numFmtId="0" fontId="58" fillId="4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right" vertical="center"/>
    </xf>
    <xf numFmtId="0" fontId="11" fillId="9" borderId="0" xfId="0" applyFont="1" applyFill="1" applyAlignment="1">
      <alignment horizontal="center" vertical="center"/>
    </xf>
    <xf numFmtId="0" fontId="57" fillId="4" borderId="0" xfId="0" applyFont="1" applyFill="1" applyAlignment="1">
      <alignment horizontal="center" vertical="center"/>
    </xf>
    <xf numFmtId="0" fontId="56" fillId="4" borderId="71" xfId="0" applyFont="1" applyFill="1" applyBorder="1" applyAlignment="1">
      <alignment horizontal="center" vertical="center"/>
    </xf>
    <xf numFmtId="0" fontId="56" fillId="4" borderId="0" xfId="0" applyFont="1" applyFill="1" applyAlignment="1">
      <alignment horizontal="center" vertical="center"/>
    </xf>
    <xf numFmtId="0" fontId="3" fillId="9" borderId="75" xfId="0" applyFont="1" applyFill="1" applyBorder="1" applyAlignment="1" applyProtection="1">
      <alignment horizontal="center"/>
      <protection locked="0"/>
    </xf>
    <xf numFmtId="0" fontId="3" fillId="9" borderId="70" xfId="0" applyFont="1" applyFill="1" applyBorder="1" applyAlignment="1" applyProtection="1">
      <alignment horizontal="center"/>
      <protection locked="0"/>
    </xf>
    <xf numFmtId="0" fontId="3" fillId="9" borderId="76" xfId="0" applyFont="1" applyFill="1" applyBorder="1" applyAlignment="1" applyProtection="1">
      <alignment horizontal="center"/>
      <protection locked="0"/>
    </xf>
    <xf numFmtId="0" fontId="10" fillId="9" borderId="0" xfId="1" applyNumberFormat="1" applyFont="1" applyFill="1" applyAlignment="1">
      <alignment horizontal="center" vertical="center"/>
    </xf>
    <xf numFmtId="0" fontId="20" fillId="4" borderId="0" xfId="0" applyFont="1" applyFill="1" applyAlignment="1" applyProtection="1">
      <alignment horizontal="center"/>
      <protection locked="0"/>
    </xf>
    <xf numFmtId="0" fontId="55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/>
    </xf>
    <xf numFmtId="0" fontId="7" fillId="4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/>
    </xf>
    <xf numFmtId="0" fontId="40" fillId="9" borderId="16" xfId="0" applyFont="1" applyFill="1" applyBorder="1" applyAlignment="1">
      <alignment horizontal="center" vertical="center"/>
    </xf>
    <xf numFmtId="0" fontId="40" fillId="9" borderId="12" xfId="0" applyFont="1" applyFill="1" applyBorder="1" applyAlignment="1">
      <alignment horizontal="center" vertical="center"/>
    </xf>
    <xf numFmtId="0" fontId="40" fillId="9" borderId="18" xfId="0" applyFont="1" applyFill="1" applyBorder="1" applyAlignment="1">
      <alignment horizontal="center" vertical="center"/>
    </xf>
    <xf numFmtId="0" fontId="40" fillId="9" borderId="14" xfId="0" applyFont="1" applyFill="1" applyBorder="1" applyAlignment="1">
      <alignment horizontal="center" vertical="center"/>
    </xf>
    <xf numFmtId="0" fontId="40" fillId="9" borderId="0" xfId="0" applyFont="1" applyFill="1" applyAlignment="1">
      <alignment horizontal="center" vertical="center"/>
    </xf>
    <xf numFmtId="0" fontId="40" fillId="9" borderId="15" xfId="0" applyFont="1" applyFill="1" applyBorder="1" applyAlignment="1">
      <alignment horizontal="center" vertical="center"/>
    </xf>
    <xf numFmtId="0" fontId="40" fillId="9" borderId="67" xfId="0" applyFont="1" applyFill="1" applyBorder="1" applyAlignment="1">
      <alignment horizontal="center" vertical="center"/>
    </xf>
    <xf numFmtId="0" fontId="40" fillId="9" borderId="29" xfId="0" applyFont="1" applyFill="1" applyBorder="1" applyAlignment="1">
      <alignment horizontal="center" vertical="center"/>
    </xf>
    <xf numFmtId="0" fontId="40" fillId="9" borderId="68" xfId="0" applyFont="1" applyFill="1" applyBorder="1" applyAlignment="1">
      <alignment horizontal="center" vertical="center"/>
    </xf>
    <xf numFmtId="0" fontId="53" fillId="4" borderId="0" xfId="0" applyFont="1" applyFill="1" applyAlignment="1">
      <alignment horizontal="center"/>
    </xf>
    <xf numFmtId="0" fontId="23" fillId="9" borderId="14" xfId="0" applyFont="1" applyFill="1" applyBorder="1" applyAlignment="1">
      <alignment horizontal="center"/>
    </xf>
    <xf numFmtId="0" fontId="23" fillId="9" borderId="0" xfId="0" applyFont="1" applyFill="1" applyAlignment="1">
      <alignment horizontal="center"/>
    </xf>
    <xf numFmtId="0" fontId="39" fillId="9" borderId="14" xfId="0" applyFont="1" applyFill="1" applyBorder="1" applyAlignment="1">
      <alignment horizontal="center"/>
    </xf>
    <xf numFmtId="0" fontId="39" fillId="9" borderId="0" xfId="0" applyFont="1" applyFill="1" applyAlignment="1">
      <alignment horizontal="center"/>
    </xf>
    <xf numFmtId="0" fontId="23" fillId="9" borderId="14" xfId="0" applyFont="1" applyFill="1" applyBorder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54" fillId="4" borderId="0" xfId="0" applyFont="1" applyFill="1" applyAlignment="1">
      <alignment horizontal="center" vertical="center"/>
    </xf>
    <xf numFmtId="0" fontId="54" fillId="4" borderId="15" xfId="0" applyFont="1" applyFill="1" applyBorder="1" applyAlignment="1">
      <alignment horizontal="center" vertical="center"/>
    </xf>
    <xf numFmtId="0" fontId="54" fillId="4" borderId="91" xfId="0" applyFont="1" applyFill="1" applyBorder="1" applyAlignment="1">
      <alignment horizontal="center" vertical="center"/>
    </xf>
    <xf numFmtId="0" fontId="54" fillId="4" borderId="24" xfId="0" applyFont="1" applyFill="1" applyBorder="1" applyAlignment="1">
      <alignment horizontal="center" vertical="center"/>
    </xf>
    <xf numFmtId="0" fontId="54" fillId="4" borderId="14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33" fillId="4" borderId="29" xfId="0" applyFont="1" applyFill="1" applyBorder="1" applyAlignment="1">
      <alignment horizontal="center"/>
    </xf>
    <xf numFmtId="0" fontId="23" fillId="9" borderId="16" xfId="0" applyFont="1" applyFill="1" applyBorder="1" applyAlignment="1">
      <alignment horizontal="center"/>
    </xf>
    <xf numFmtId="0" fontId="23" fillId="9" borderId="12" xfId="0" applyFont="1" applyFill="1" applyBorder="1" applyAlignment="1">
      <alignment horizontal="center"/>
    </xf>
    <xf numFmtId="0" fontId="23" fillId="9" borderId="18" xfId="0" applyFont="1" applyFill="1" applyBorder="1" applyAlignment="1">
      <alignment horizontal="center"/>
    </xf>
    <xf numFmtId="14" fontId="52" fillId="9" borderId="26" xfId="0" applyNumberFormat="1" applyFont="1" applyFill="1" applyBorder="1" applyAlignment="1">
      <alignment horizontal="center"/>
    </xf>
    <xf numFmtId="14" fontId="52" fillId="9" borderId="0" xfId="0" applyNumberFormat="1" applyFont="1" applyFill="1" applyAlignment="1">
      <alignment horizontal="center"/>
    </xf>
    <xf numFmtId="0" fontId="40" fillId="9" borderId="23" xfId="0" applyFont="1" applyFill="1" applyBorder="1" applyAlignment="1">
      <alignment horizontal="center" vertical="center"/>
    </xf>
    <xf numFmtId="0" fontId="40" fillId="9" borderId="24" xfId="0" applyFont="1" applyFill="1" applyBorder="1" applyAlignment="1">
      <alignment horizontal="center" vertical="center"/>
    </xf>
    <xf numFmtId="0" fontId="40" fillId="9" borderId="25" xfId="0" applyFont="1" applyFill="1" applyBorder="1" applyAlignment="1">
      <alignment horizontal="center" vertical="center"/>
    </xf>
    <xf numFmtId="0" fontId="40" fillId="9" borderId="26" xfId="0" applyFont="1" applyFill="1" applyBorder="1" applyAlignment="1">
      <alignment horizontal="center" vertical="center"/>
    </xf>
    <xf numFmtId="0" fontId="40" fillId="9" borderId="27" xfId="0" applyFont="1" applyFill="1" applyBorder="1" applyAlignment="1">
      <alignment horizontal="center" vertical="center"/>
    </xf>
    <xf numFmtId="0" fontId="49" fillId="9" borderId="0" xfId="0" applyFont="1" applyFill="1" applyAlignment="1">
      <alignment horizontal="center" vertical="center"/>
    </xf>
    <xf numFmtId="0" fontId="50" fillId="9" borderId="0" xfId="0" applyFont="1" applyFill="1" applyAlignment="1">
      <alignment horizontal="center" vertical="center"/>
    </xf>
    <xf numFmtId="0" fontId="51" fillId="4" borderId="26" xfId="0" applyFont="1" applyFill="1" applyBorder="1" applyAlignment="1">
      <alignment horizontal="center" vertical="center"/>
    </xf>
    <xf numFmtId="0" fontId="51" fillId="4" borderId="0" xfId="0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10" fontId="86" fillId="9" borderId="0" xfId="1" applyNumberFormat="1" applyFont="1" applyFill="1" applyAlignment="1">
      <alignment horizontal="center" vertical="center"/>
    </xf>
    <xf numFmtId="0" fontId="23" fillId="9" borderId="14" xfId="0" applyFont="1" applyFill="1" applyBorder="1" applyAlignment="1" applyProtection="1">
      <alignment horizontal="center"/>
      <protection locked="0"/>
    </xf>
    <xf numFmtId="0" fontId="23" fillId="9" borderId="0" xfId="0" applyFont="1" applyFill="1" applyAlignment="1" applyProtection="1">
      <alignment horizontal="center"/>
      <protection locked="0"/>
    </xf>
    <xf numFmtId="0" fontId="23" fillId="9" borderId="15" xfId="0" applyFont="1" applyFill="1" applyBorder="1" applyAlignment="1" applyProtection="1">
      <alignment horizontal="center"/>
      <protection locked="0"/>
    </xf>
    <xf numFmtId="0" fontId="21" fillId="4" borderId="0" xfId="0" applyFont="1" applyFill="1" applyAlignment="1">
      <alignment horizontal="right" vertical="center"/>
    </xf>
    <xf numFmtId="14" fontId="52" fillId="9" borderId="0" xfId="0" applyNumberFormat="1" applyFont="1" applyFill="1" applyAlignment="1">
      <alignment horizontal="right"/>
    </xf>
    <xf numFmtId="0" fontId="26" fillId="4" borderId="14" xfId="0" applyFont="1" applyFill="1" applyBorder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5" fillId="8" borderId="11" xfId="0" applyFont="1" applyFill="1" applyBorder="1" applyAlignment="1" applyProtection="1">
      <alignment horizontal="center" vertical="center"/>
      <protection locked="0"/>
    </xf>
    <xf numFmtId="0" fontId="21" fillId="4" borderId="0" xfId="0" applyFont="1" applyFill="1" applyAlignment="1">
      <alignment horizontal="right"/>
    </xf>
    <xf numFmtId="0" fontId="73" fillId="9" borderId="32" xfId="0" applyFont="1" applyFill="1" applyBorder="1" applyAlignment="1">
      <alignment horizontal="center" vertical="center"/>
    </xf>
    <xf numFmtId="0" fontId="25" fillId="4" borderId="17" xfId="0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0" fontId="33" fillId="4" borderId="11" xfId="0" applyFont="1" applyFill="1" applyBorder="1" applyAlignment="1">
      <alignment horizontal="right" vertical="center"/>
    </xf>
    <xf numFmtId="0" fontId="35" fillId="9" borderId="0" xfId="0" applyFont="1" applyFill="1" applyAlignment="1">
      <alignment horizontal="center" vertical="center"/>
    </xf>
    <xf numFmtId="0" fontId="35" fillId="9" borderId="21" xfId="0" applyFont="1" applyFill="1" applyBorder="1" applyAlignment="1">
      <alignment horizontal="center" vertical="center"/>
    </xf>
    <xf numFmtId="0" fontId="29" fillId="9" borderId="0" xfId="0" applyFont="1" applyFill="1" applyAlignment="1">
      <alignment horizontal="center" vertical="center"/>
    </xf>
    <xf numFmtId="0" fontId="31" fillId="4" borderId="0" xfId="0" applyFont="1" applyFill="1" applyAlignment="1">
      <alignment horizontal="right" vertical="center"/>
    </xf>
    <xf numFmtId="0" fontId="18" fillId="4" borderId="12" xfId="0" applyFont="1" applyFill="1" applyBorder="1" applyAlignment="1">
      <alignment horizontal="center" vertical="center"/>
    </xf>
    <xf numFmtId="0" fontId="20" fillId="8" borderId="0" xfId="0" applyFont="1" applyFill="1" applyAlignment="1" applyProtection="1">
      <alignment horizontal="center" vertical="center"/>
      <protection locked="0"/>
    </xf>
    <xf numFmtId="0" fontId="59" fillId="4" borderId="11" xfId="0" applyFont="1" applyFill="1" applyBorder="1" applyAlignment="1">
      <alignment horizontal="center" vertical="center"/>
    </xf>
    <xf numFmtId="0" fontId="21" fillId="4" borderId="0" xfId="0" applyFont="1" applyFill="1" applyAlignment="1">
      <alignment horizontal="center"/>
    </xf>
    <xf numFmtId="0" fontId="31" fillId="4" borderId="0" xfId="0" applyFont="1" applyFill="1" applyAlignment="1">
      <alignment horizontal="center" vertical="center"/>
    </xf>
    <xf numFmtId="0" fontId="32" fillId="4" borderId="0" xfId="0" applyFont="1" applyFill="1" applyAlignment="1">
      <alignment horizontal="left" vertical="center"/>
    </xf>
    <xf numFmtId="0" fontId="33" fillId="8" borderId="0" xfId="0" applyFont="1" applyFill="1" applyAlignment="1" applyProtection="1">
      <alignment horizontal="center" vertical="center"/>
      <protection locked="0"/>
    </xf>
    <xf numFmtId="0" fontId="54" fillId="4" borderId="69" xfId="0" applyFont="1" applyFill="1" applyBorder="1" applyAlignment="1">
      <alignment horizontal="center"/>
    </xf>
    <xf numFmtId="0" fontId="33" fillId="4" borderId="80" xfId="0" applyFont="1" applyFill="1" applyBorder="1" applyAlignment="1">
      <alignment horizontal="center" vertical="center"/>
    </xf>
    <xf numFmtId="0" fontId="33" fillId="4" borderId="69" xfId="0" applyFont="1" applyFill="1" applyBorder="1" applyAlignment="1">
      <alignment horizontal="center" vertical="center"/>
    </xf>
    <xf numFmtId="0" fontId="61" fillId="9" borderId="77" xfId="0" applyFont="1" applyFill="1" applyBorder="1" applyAlignment="1">
      <alignment horizontal="center"/>
    </xf>
    <xf numFmtId="0" fontId="61" fillId="9" borderId="71" xfId="0" applyFont="1" applyFill="1" applyBorder="1" applyAlignment="1">
      <alignment horizontal="center"/>
    </xf>
    <xf numFmtId="0" fontId="61" fillId="9" borderId="78" xfId="0" applyFont="1" applyFill="1" applyBorder="1" applyAlignment="1">
      <alignment horizontal="center"/>
    </xf>
    <xf numFmtId="0" fontId="61" fillId="9" borderId="79" xfId="0" applyFont="1" applyFill="1" applyBorder="1" applyAlignment="1">
      <alignment horizontal="center"/>
    </xf>
    <xf numFmtId="0" fontId="61" fillId="9" borderId="0" xfId="0" applyFont="1" applyFill="1" applyAlignment="1">
      <alignment horizontal="center"/>
    </xf>
    <xf numFmtId="0" fontId="61" fillId="9" borderId="72" xfId="0" applyFont="1" applyFill="1" applyBorder="1" applyAlignment="1">
      <alignment horizontal="center"/>
    </xf>
    <xf numFmtId="44" fontId="23" fillId="9" borderId="69" xfId="6" applyFont="1" applyFill="1" applyBorder="1" applyAlignment="1">
      <alignment horizontal="center"/>
    </xf>
    <xf numFmtId="44" fontId="23" fillId="9" borderId="0" xfId="0" applyNumberFormat="1" applyFont="1" applyFill="1" applyAlignment="1">
      <alignment horizontal="center"/>
    </xf>
    <xf numFmtId="0" fontId="23" fillId="9" borderId="72" xfId="0" applyFont="1" applyFill="1" applyBorder="1" applyAlignment="1">
      <alignment horizontal="center"/>
    </xf>
    <xf numFmtId="44" fontId="23" fillId="9" borderId="69" xfId="0" applyNumberFormat="1" applyFont="1" applyFill="1" applyBorder="1" applyAlignment="1">
      <alignment horizontal="center"/>
    </xf>
    <xf numFmtId="0" fontId="23" fillId="9" borderId="81" xfId="0" applyFont="1" applyFill="1" applyBorder="1" applyAlignment="1">
      <alignment horizontal="center"/>
    </xf>
    <xf numFmtId="171" fontId="35" fillId="9" borderId="0" xfId="0" applyNumberFormat="1" applyFont="1" applyFill="1" applyAlignment="1">
      <alignment horizontal="center" vertical="center"/>
    </xf>
    <xf numFmtId="171" fontId="35" fillId="9" borderId="11" xfId="0" applyNumberFormat="1" applyFont="1" applyFill="1" applyBorder="1" applyAlignment="1">
      <alignment horizontal="center" vertical="center"/>
    </xf>
    <xf numFmtId="0" fontId="26" fillId="4" borderId="14" xfId="0" applyFont="1" applyFill="1" applyBorder="1" applyAlignment="1">
      <alignment horizontal="center"/>
    </xf>
    <xf numFmtId="0" fontId="26" fillId="4" borderId="0" xfId="0" applyFont="1" applyFill="1" applyAlignment="1">
      <alignment horizontal="center"/>
    </xf>
    <xf numFmtId="0" fontId="34" fillId="9" borderId="0" xfId="0" applyFont="1" applyFill="1" applyAlignment="1">
      <alignment horizontal="center" vertical="center"/>
    </xf>
    <xf numFmtId="0" fontId="25" fillId="8" borderId="11" xfId="0" applyFont="1" applyFill="1" applyBorder="1" applyAlignment="1" applyProtection="1">
      <alignment horizontal="center"/>
      <protection locked="0"/>
    </xf>
    <xf numFmtId="44" fontId="27" fillId="9" borderId="0" xfId="6" applyFont="1" applyFill="1" applyAlignment="1">
      <alignment horizontal="center" vertical="center"/>
    </xf>
    <xf numFmtId="0" fontId="26" fillId="10" borderId="0" xfId="0" applyFont="1" applyFill="1" applyAlignment="1">
      <alignment horizontal="right"/>
    </xf>
    <xf numFmtId="0" fontId="75" fillId="10" borderId="0" xfId="0" applyFont="1" applyFill="1" applyAlignment="1">
      <alignment horizontal="center"/>
    </xf>
    <xf numFmtId="0" fontId="26" fillId="10" borderId="0" xfId="0" applyFont="1" applyFill="1" applyAlignment="1">
      <alignment horizontal="right" vertical="center"/>
    </xf>
    <xf numFmtId="0" fontId="75" fillId="10" borderId="0" xfId="0" applyFont="1" applyFill="1" applyAlignment="1">
      <alignment horizontal="center" vertical="center"/>
    </xf>
    <xf numFmtId="0" fontId="39" fillId="9" borderId="11" xfId="0" applyFont="1" applyFill="1" applyBorder="1" applyAlignment="1" applyProtection="1">
      <alignment horizontal="center"/>
      <protection locked="0"/>
    </xf>
    <xf numFmtId="0" fontId="25" fillId="10" borderId="16" xfId="0" applyFont="1" applyFill="1" applyBorder="1" applyAlignment="1">
      <alignment horizontal="center"/>
    </xf>
    <xf numFmtId="0" fontId="25" fillId="10" borderId="12" xfId="0" applyFont="1" applyFill="1" applyBorder="1" applyAlignment="1">
      <alignment horizontal="center"/>
    </xf>
    <xf numFmtId="0" fontId="21" fillId="10" borderId="0" xfId="0" applyFont="1" applyFill="1" applyAlignment="1" applyProtection="1">
      <alignment horizontal="center" vertical="center"/>
      <protection locked="0"/>
    </xf>
    <xf numFmtId="0" fontId="21" fillId="10" borderId="11" xfId="0" applyFont="1" applyFill="1" applyBorder="1" applyAlignment="1" applyProtection="1">
      <alignment horizontal="center" vertical="center"/>
      <protection locked="0"/>
    </xf>
    <xf numFmtId="0" fontId="32" fillId="10" borderId="0" xfId="0" applyFont="1" applyFill="1" applyAlignment="1" applyProtection="1">
      <alignment horizontal="center" vertical="center"/>
      <protection locked="0"/>
    </xf>
    <xf numFmtId="0" fontId="39" fillId="9" borderId="0" xfId="0" applyFont="1" applyFill="1" applyAlignment="1" applyProtection="1">
      <alignment horizontal="center"/>
      <protection locked="0"/>
    </xf>
    <xf numFmtId="0" fontId="26" fillId="10" borderId="0" xfId="0" applyFont="1" applyFill="1" applyAlignment="1" applyProtection="1">
      <alignment horizontal="center"/>
      <protection locked="0"/>
    </xf>
    <xf numFmtId="0" fontId="26" fillId="10" borderId="0" xfId="0" applyFont="1" applyFill="1" applyAlignment="1" applyProtection="1">
      <alignment horizontal="center" vertical="center"/>
      <protection locked="0"/>
    </xf>
    <xf numFmtId="44" fontId="52" fillId="9" borderId="0" xfId="6" applyFont="1" applyFill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0" fontId="21" fillId="10" borderId="11" xfId="0" applyFont="1" applyFill="1" applyBorder="1" applyAlignment="1">
      <alignment horizontal="center" vertical="center"/>
    </xf>
    <xf numFmtId="0" fontId="32" fillId="10" borderId="0" xfId="0" applyFont="1" applyFill="1" applyAlignment="1">
      <alignment horizontal="center" vertical="center"/>
    </xf>
    <xf numFmtId="44" fontId="33" fillId="10" borderId="90" xfId="0" applyNumberFormat="1" applyFont="1" applyFill="1" applyBorder="1" applyAlignment="1">
      <alignment horizontal="center"/>
    </xf>
    <xf numFmtId="0" fontId="33" fillId="10" borderId="54" xfId="0" applyFont="1" applyFill="1" applyBorder="1" applyAlignment="1">
      <alignment horizontal="center"/>
    </xf>
    <xf numFmtId="0" fontId="27" fillId="9" borderId="0" xfId="0" applyFont="1" applyFill="1" applyAlignment="1">
      <alignment horizontal="center" vertical="center"/>
    </xf>
    <xf numFmtId="0" fontId="52" fillId="9" borderId="16" xfId="0" applyFont="1" applyFill="1" applyBorder="1" applyAlignment="1">
      <alignment horizontal="center" vertical="center"/>
    </xf>
    <xf numFmtId="0" fontId="52" fillId="9" borderId="12" xfId="0" applyFont="1" applyFill="1" applyBorder="1" applyAlignment="1">
      <alignment horizontal="center" vertical="center"/>
    </xf>
    <xf numFmtId="0" fontId="52" fillId="9" borderId="18" xfId="0" applyFont="1" applyFill="1" applyBorder="1" applyAlignment="1">
      <alignment horizontal="center" vertical="center"/>
    </xf>
    <xf numFmtId="0" fontId="52" fillId="9" borderId="17" xfId="0" applyFont="1" applyFill="1" applyBorder="1" applyAlignment="1">
      <alignment horizontal="center" vertical="center"/>
    </xf>
    <xf numFmtId="0" fontId="52" fillId="9" borderId="11" xfId="0" applyFont="1" applyFill="1" applyBorder="1" applyAlignment="1">
      <alignment horizontal="center" vertical="center"/>
    </xf>
    <xf numFmtId="0" fontId="52" fillId="9" borderId="19" xfId="0" applyFont="1" applyFill="1" applyBorder="1" applyAlignment="1">
      <alignment horizontal="center" vertical="center"/>
    </xf>
    <xf numFmtId="44" fontId="33" fillId="10" borderId="90" xfId="6" applyFont="1" applyFill="1" applyBorder="1" applyAlignment="1">
      <alignment horizontal="center"/>
    </xf>
    <xf numFmtId="44" fontId="33" fillId="10" borderId="54" xfId="6" applyFont="1" applyFill="1" applyBorder="1" applyAlignment="1">
      <alignment horizontal="center"/>
    </xf>
    <xf numFmtId="0" fontId="82" fillId="16" borderId="16" xfId="0" applyFont="1" applyFill="1" applyBorder="1" applyAlignment="1">
      <alignment horizontal="center"/>
    </xf>
    <xf numFmtId="0" fontId="82" fillId="16" borderId="12" xfId="0" applyFont="1" applyFill="1" applyBorder="1" applyAlignment="1">
      <alignment horizontal="center"/>
    </xf>
    <xf numFmtId="0" fontId="82" fillId="16" borderId="18" xfId="0" applyFont="1" applyFill="1" applyBorder="1" applyAlignment="1">
      <alignment horizontal="center"/>
    </xf>
    <xf numFmtId="0" fontId="77" fillId="10" borderId="0" xfId="0" applyFont="1" applyFill="1" applyAlignment="1">
      <alignment horizontal="center"/>
    </xf>
    <xf numFmtId="0" fontId="31" fillId="10" borderId="12" xfId="0" applyFont="1" applyFill="1" applyBorder="1" applyAlignment="1">
      <alignment horizontal="center"/>
    </xf>
    <xf numFmtId="0" fontId="31" fillId="10" borderId="0" xfId="0" applyFont="1" applyFill="1" applyAlignment="1">
      <alignment horizontal="center"/>
    </xf>
    <xf numFmtId="44" fontId="33" fillId="10" borderId="16" xfId="6" applyFont="1" applyFill="1" applyBorder="1" applyAlignment="1">
      <alignment horizontal="center"/>
    </xf>
    <xf numFmtId="44" fontId="33" fillId="10" borderId="18" xfId="6" applyFont="1" applyFill="1" applyBorder="1" applyAlignment="1">
      <alignment horizontal="center"/>
    </xf>
    <xf numFmtId="44" fontId="33" fillId="10" borderId="17" xfId="6" applyFont="1" applyFill="1" applyBorder="1" applyAlignment="1">
      <alignment horizontal="center"/>
    </xf>
    <xf numFmtId="44" fontId="33" fillId="10" borderId="19" xfId="6" applyFont="1" applyFill="1" applyBorder="1" applyAlignment="1">
      <alignment horizontal="center"/>
    </xf>
    <xf numFmtId="0" fontId="78" fillId="16" borderId="16" xfId="0" applyFont="1" applyFill="1" applyBorder="1" applyAlignment="1">
      <alignment horizontal="center"/>
    </xf>
    <xf numFmtId="0" fontId="78" fillId="16" borderId="12" xfId="0" applyFont="1" applyFill="1" applyBorder="1" applyAlignment="1">
      <alignment horizontal="center"/>
    </xf>
    <xf numFmtId="0" fontId="78" fillId="16" borderId="18" xfId="0" applyFont="1" applyFill="1" applyBorder="1" applyAlignment="1">
      <alignment horizontal="center"/>
    </xf>
    <xf numFmtId="0" fontId="37" fillId="10" borderId="0" xfId="0" applyFont="1" applyFill="1" applyAlignment="1">
      <alignment horizontal="left" vertical="center"/>
    </xf>
    <xf numFmtId="44" fontId="33" fillId="10" borderId="16" xfId="0" applyNumberFormat="1" applyFont="1" applyFill="1" applyBorder="1" applyAlignment="1">
      <alignment horizontal="center"/>
    </xf>
    <xf numFmtId="0" fontId="33" fillId="10" borderId="18" xfId="0" applyFont="1" applyFill="1" applyBorder="1" applyAlignment="1">
      <alignment horizontal="center"/>
    </xf>
    <xf numFmtId="0" fontId="33" fillId="10" borderId="17" xfId="0" applyFont="1" applyFill="1" applyBorder="1" applyAlignment="1">
      <alignment horizontal="center"/>
    </xf>
    <xf numFmtId="0" fontId="33" fillId="10" borderId="19" xfId="0" applyFont="1" applyFill="1" applyBorder="1" applyAlignment="1">
      <alignment horizontal="center"/>
    </xf>
    <xf numFmtId="0" fontId="19" fillId="10" borderId="0" xfId="0" applyFont="1" applyFill="1" applyAlignment="1">
      <alignment horizontal="right"/>
    </xf>
    <xf numFmtId="0" fontId="23" fillId="9" borderId="16" xfId="0" applyFont="1" applyFill="1" applyBorder="1" applyAlignment="1">
      <alignment horizontal="center" vertical="center"/>
    </xf>
    <xf numFmtId="0" fontId="23" fillId="9" borderId="12" xfId="0" applyFont="1" applyFill="1" applyBorder="1" applyAlignment="1">
      <alignment horizontal="center" vertical="center"/>
    </xf>
    <xf numFmtId="0" fontId="23" fillId="9" borderId="18" xfId="0" applyFont="1" applyFill="1" applyBorder="1" applyAlignment="1">
      <alignment horizontal="center" vertical="center"/>
    </xf>
    <xf numFmtId="0" fontId="23" fillId="9" borderId="17" xfId="0" applyFont="1" applyFill="1" applyBorder="1" applyAlignment="1">
      <alignment horizontal="center" vertical="center"/>
    </xf>
    <xf numFmtId="0" fontId="23" fillId="9" borderId="11" xfId="0" applyFont="1" applyFill="1" applyBorder="1" applyAlignment="1">
      <alignment horizontal="center" vertical="center"/>
    </xf>
    <xf numFmtId="0" fontId="23" fillId="9" borderId="19" xfId="0" applyFont="1" applyFill="1" applyBorder="1" applyAlignment="1">
      <alignment horizontal="center" vertical="center"/>
    </xf>
    <xf numFmtId="0" fontId="27" fillId="9" borderId="14" xfId="0" applyFont="1" applyFill="1" applyBorder="1" applyAlignment="1">
      <alignment horizontal="center"/>
    </xf>
    <xf numFmtId="0" fontId="27" fillId="9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4" borderId="16" xfId="0" applyFont="1" applyFill="1" applyBorder="1" applyAlignment="1">
      <alignment horizontal="center" wrapText="1"/>
    </xf>
    <xf numFmtId="0" fontId="19" fillId="4" borderId="18" xfId="0" applyFont="1" applyFill="1" applyBorder="1" applyAlignment="1">
      <alignment horizontal="center" wrapText="1"/>
    </xf>
    <xf numFmtId="0" fontId="19" fillId="4" borderId="17" xfId="0" applyFont="1" applyFill="1" applyBorder="1" applyAlignment="1">
      <alignment horizontal="center" wrapText="1"/>
    </xf>
    <xf numFmtId="0" fontId="19" fillId="4" borderId="19" xfId="0" applyFont="1" applyFill="1" applyBorder="1" applyAlignment="1">
      <alignment horizontal="center" wrapText="1"/>
    </xf>
    <xf numFmtId="0" fontId="37" fillId="4" borderId="0" xfId="0" applyFont="1" applyFill="1" applyAlignment="1">
      <alignment horizontal="right" wrapText="1"/>
    </xf>
    <xf numFmtId="169" fontId="40" fillId="9" borderId="0" xfId="1" applyNumberFormat="1" applyFont="1" applyFill="1" applyAlignment="1">
      <alignment horizontal="center" vertical="center"/>
    </xf>
    <xf numFmtId="0" fontId="36" fillId="9" borderId="23" xfId="0" applyFont="1" applyFill="1" applyBorder="1" applyAlignment="1">
      <alignment horizontal="center" vertical="center"/>
    </xf>
    <xf numFmtId="0" fontId="36" fillId="9" borderId="24" xfId="0" applyFont="1" applyFill="1" applyBorder="1" applyAlignment="1">
      <alignment horizontal="center" vertical="center"/>
    </xf>
    <xf numFmtId="0" fontId="36" fillId="9" borderId="25" xfId="0" applyFont="1" applyFill="1" applyBorder="1" applyAlignment="1">
      <alignment horizontal="center" vertical="center"/>
    </xf>
    <xf numFmtId="0" fontId="36" fillId="9" borderId="26" xfId="0" applyFont="1" applyFill="1" applyBorder="1" applyAlignment="1">
      <alignment horizontal="center" vertical="center"/>
    </xf>
    <xf numFmtId="0" fontId="36" fillId="9" borderId="0" xfId="0" applyFont="1" applyFill="1" applyAlignment="1">
      <alignment horizontal="center" vertical="center"/>
    </xf>
    <xf numFmtId="0" fontId="36" fillId="9" borderId="27" xfId="0" applyFont="1" applyFill="1" applyBorder="1" applyAlignment="1">
      <alignment horizontal="center" vertical="center"/>
    </xf>
    <xf numFmtId="0" fontId="37" fillId="4" borderId="0" xfId="0" applyFont="1" applyFill="1" applyAlignment="1">
      <alignment horizontal="right" vertical="center"/>
    </xf>
    <xf numFmtId="0" fontId="37" fillId="4" borderId="0" xfId="0" applyFont="1" applyFill="1" applyAlignment="1">
      <alignment horizontal="right" vertical="top"/>
    </xf>
    <xf numFmtId="0" fontId="15" fillId="4" borderId="0" xfId="0" applyFont="1" applyFill="1" applyAlignment="1">
      <alignment horizontal="center" vertical="center"/>
    </xf>
    <xf numFmtId="0" fontId="37" fillId="4" borderId="0" xfId="0" applyFont="1" applyFill="1" applyAlignment="1">
      <alignment horizontal="right"/>
    </xf>
    <xf numFmtId="0" fontId="62" fillId="10" borderId="0" xfId="0" applyFont="1" applyFill="1" applyAlignment="1">
      <alignment horizontal="center"/>
    </xf>
    <xf numFmtId="0" fontId="52" fillId="15" borderId="0" xfId="0" applyFont="1" applyFill="1" applyAlignment="1">
      <alignment horizontal="center" vertical="center"/>
    </xf>
    <xf numFmtId="0" fontId="72" fillId="10" borderId="14" xfId="0" applyFont="1" applyFill="1" applyBorder="1" applyAlignment="1">
      <alignment horizontal="center"/>
    </xf>
    <xf numFmtId="0" fontId="72" fillId="10" borderId="0" xfId="0" applyFont="1" applyFill="1" applyAlignment="1">
      <alignment horizontal="center"/>
    </xf>
    <xf numFmtId="0" fontId="62" fillId="10" borderId="0" xfId="0" applyFont="1" applyFill="1" applyAlignment="1">
      <alignment horizontal="center" vertical="center"/>
    </xf>
    <xf numFmtId="0" fontId="23" fillId="15" borderId="0" xfId="0" applyFont="1" applyFill="1" applyAlignment="1" applyProtection="1">
      <alignment horizontal="center" vertical="center"/>
      <protection locked="0"/>
    </xf>
    <xf numFmtId="0" fontId="63" fillId="10" borderId="0" xfId="0" applyFont="1" applyFill="1" applyAlignment="1">
      <alignment horizontal="center"/>
    </xf>
    <xf numFmtId="0" fontId="63" fillId="10" borderId="11" xfId="0" applyFont="1" applyFill="1" applyBorder="1" applyAlignment="1">
      <alignment horizontal="center"/>
    </xf>
    <xf numFmtId="0" fontId="64" fillId="10" borderId="0" xfId="0" applyFont="1" applyFill="1" applyAlignment="1">
      <alignment horizontal="center" vertical="center"/>
    </xf>
    <xf numFmtId="0" fontId="70" fillId="15" borderId="0" xfId="0" applyFont="1" applyFill="1" applyAlignment="1">
      <alignment horizontal="center" vertical="center"/>
    </xf>
    <xf numFmtId="0" fontId="71" fillId="10" borderId="0" xfId="0" applyFont="1" applyFill="1" applyAlignment="1">
      <alignment horizontal="center"/>
    </xf>
    <xf numFmtId="0" fontId="71" fillId="10" borderId="11" xfId="0" applyFont="1" applyFill="1" applyBorder="1" applyAlignment="1">
      <alignment horizontal="center"/>
    </xf>
    <xf numFmtId="0" fontId="72" fillId="10" borderId="14" xfId="0" applyFont="1" applyFill="1" applyBorder="1" applyAlignment="1">
      <alignment horizontal="center" vertical="center"/>
    </xf>
    <xf numFmtId="0" fontId="72" fillId="10" borderId="0" xfId="0" applyFont="1" applyFill="1" applyAlignment="1">
      <alignment horizontal="center" vertical="center"/>
    </xf>
    <xf numFmtId="0" fontId="67" fillId="15" borderId="0" xfId="0" applyFont="1" applyFill="1" applyAlignment="1" applyProtection="1">
      <alignment horizontal="center"/>
      <protection locked="0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2" fillId="11" borderId="31" xfId="0" applyFont="1" applyFill="1" applyBorder="1" applyAlignment="1">
      <alignment horizontal="center" vertical="center" wrapText="1"/>
    </xf>
    <xf numFmtId="0" fontId="42" fillId="11" borderId="0" xfId="0" applyFont="1" applyFill="1" applyAlignment="1">
      <alignment horizontal="center" vertical="center" wrapText="1"/>
    </xf>
  </cellXfs>
  <cellStyles count="7">
    <cellStyle name="Accent2" xfId="3" builtinId="33"/>
    <cellStyle name="Accent6" xfId="4" builtinId="49"/>
    <cellStyle name="Currency" xfId="6" builtinId="4"/>
    <cellStyle name="Heading 1" xfId="2" builtinId="16"/>
    <cellStyle name="Hyperlink" xfId="5" builtinId="8"/>
    <cellStyle name="Normal" xfId="0" builtinId="0"/>
    <cellStyle name="Percent" xfId="1" builtinId="5"/>
  </cellStyles>
  <dxfs count="73"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auto="1"/>
        </left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border>
        <left style="thin">
          <color auto="1"/>
        </left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right style="thin">
          <color auto="1"/>
        </right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numFmt numFmtId="34" formatCode="_-&quot;R&quot;* #,##0.00_-;\-&quot;R&quot;* #,##0.00_-;_-&quot;R&quot;* &quot;-&quot;??_-;_-@_-"/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numFmt numFmtId="34" formatCode="_-&quot;R&quot;* #,##0.00_-;\-&quot;R&quot;* #,##0.00_-;_-&quot;R&quot;* &quot;-&quot;??_-;_-@_-"/>
    </dxf>
    <dxf>
      <numFmt numFmtId="34" formatCode="_-&quot;R&quot;* #,##0.00_-;\-&quot;R&quot;* #,##0.00_-;_-&quot;R&quot;* &quot;-&quot;??_-;_-@_-"/>
    </dxf>
    <dxf>
      <numFmt numFmtId="34" formatCode="_-&quot;R&quot;* #,##0.00_-;\-&quot;R&quot;* #,##0.00_-;_-&quot;R&quot;* &quot;-&quot;??_-;_-@_-"/>
    </dxf>
    <dxf>
      <numFmt numFmtId="34" formatCode="_-&quot;R&quot;* #,##0.00_-;\-&quot;R&quot;* #,##0.00_-;_-&quot;R&quot;* &quot;-&quot;??_-;_-@_-"/>
    </dxf>
    <dxf>
      <numFmt numFmtId="34" formatCode="_-&quot;R&quot;* #,##0.00_-;\-&quot;R&quot;* #,##0.00_-;_-&quot;R&quot;* &quot;-&quot;??_-;_-@_-"/>
    </dxf>
    <dxf>
      <numFmt numFmtId="34" formatCode="_-&quot;R&quot;* #,##0.00_-;\-&quot;R&quot;* #,##0.00_-;_-&quot;R&quot;* &quot;-&quot;??_-;_-@_-"/>
    </dxf>
    <dxf>
      <numFmt numFmtId="34" formatCode="_-&quot;R&quot;* #,##0.00_-;\-&quot;R&quot;* #,##0.00_-;_-&quot;R&quot;* &quot;-&quot;??_-;_-@_-"/>
    </dxf>
    <dxf>
      <numFmt numFmtId="34" formatCode="_-&quot;R&quot;* #,##0.00_-;\-&quot;R&quot;* #,##0.00_-;_-&quot;R&quot;* &quot;-&quot;??_-;_-@_-"/>
    </dxf>
    <dxf>
      <numFmt numFmtId="14" formatCode="0.00%"/>
    </dxf>
  </dxfs>
  <tableStyles count="0" defaultTableStyle="TableStyleMedium2" defaultPivotStyle="PivotStyleLight16"/>
  <colors>
    <mruColors>
      <color rgb="FF000066"/>
      <color rgb="FF0000CC"/>
      <color rgb="FF194A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Accumulated value each year if you invest at this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'Single-BE'!$K$8</c:f>
              <c:strCache>
                <c:ptCount val="1"/>
                <c:pt idx="0">
                  <c:v>Years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76000"/>
                    <a:tint val="94000"/>
                    <a:satMod val="100000"/>
                    <a:lumMod val="104000"/>
                  </a:schemeClr>
                </a:gs>
                <a:gs pos="69000">
                  <a:schemeClr val="accent3">
                    <a:shade val="76000"/>
                    <a:shade val="86000"/>
                    <a:satMod val="130000"/>
                    <a:lumMod val="102000"/>
                  </a:schemeClr>
                </a:gs>
                <a:gs pos="100000">
                  <a:schemeClr val="accent3">
                    <a:shade val="76000"/>
                    <a:shade val="72000"/>
                    <a:satMod val="130000"/>
                    <a:lumMod val="100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76200" dist="38100" dir="5400000" algn="ctr" rotWithShape="0">
                <a:srgbClr val="000000">
                  <a:alpha val="76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/>
            </a:scene3d>
            <a:sp3d prstMaterial="matte">
              <a:bevelT w="25400" h="25400" prst="relaxedInset"/>
            </a:sp3d>
          </c:spPr>
          <c:invertIfNegative val="0"/>
          <c:val>
            <c:numRef>
              <c:f>'Single-BE'!$K$9:$K$28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33-4263-A5CD-77F6EDEC3FB3}"/>
            </c:ext>
          </c:extLst>
        </c:ser>
        <c:ser>
          <c:idx val="1"/>
          <c:order val="1"/>
          <c:tx>
            <c:strRef>
              <c:f>'Single-BE'!$L$8</c:f>
              <c:strCache>
                <c:ptCount val="1"/>
                <c:pt idx="0">
                  <c:v>FV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tint val="77000"/>
                    <a:tint val="94000"/>
                    <a:satMod val="100000"/>
                    <a:lumMod val="104000"/>
                  </a:schemeClr>
                </a:gs>
                <a:gs pos="69000">
                  <a:schemeClr val="accent3">
                    <a:tint val="77000"/>
                    <a:shade val="86000"/>
                    <a:satMod val="130000"/>
                    <a:lumMod val="102000"/>
                  </a:schemeClr>
                </a:gs>
                <a:gs pos="100000">
                  <a:schemeClr val="accent3">
                    <a:tint val="77000"/>
                    <a:shade val="72000"/>
                    <a:satMod val="130000"/>
                    <a:lumMod val="100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76200" dist="38100" dir="5400000" algn="ctr" rotWithShape="0">
                <a:srgbClr val="000000">
                  <a:alpha val="76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/>
            </a:scene3d>
            <a:sp3d prstMaterial="matte">
              <a:bevelT w="25400" h="25400" prst="relaxedInset"/>
            </a:sp3d>
          </c:spPr>
          <c:invertIfNegative val="0"/>
          <c:trendline>
            <c:spPr>
              <a:ln w="19050" cap="rnd">
                <a:solidFill>
                  <a:schemeClr val="accent3">
                    <a:tint val="77000"/>
                  </a:schemeClr>
                </a:solidFill>
              </a:ln>
              <a:effectLst/>
            </c:spPr>
            <c:trendlineType val="exp"/>
            <c:dispRSqr val="0"/>
            <c:dispEq val="0"/>
          </c:trendline>
          <c:val>
            <c:numRef>
              <c:f>'Single-BE'!$L$9:$L$28</c:f>
              <c:numCache>
                <c:formatCode>General</c:formatCode>
                <c:ptCount val="20"/>
                <c:pt idx="0">
                  <c:v>36465.1875</c:v>
                </c:pt>
                <c:pt idx="1">
                  <c:v>44323.663313671874</c:v>
                </c:pt>
                <c:pt idx="2">
                  <c:v>53875.689780663874</c:v>
                </c:pt>
                <c:pt idx="3">
                  <c:v>65486.237651458083</c:v>
                </c:pt>
                <c:pt idx="4">
                  <c:v>79598.931154332633</c:v>
                </c:pt>
                <c:pt idx="5">
                  <c:v>96752.998311411022</c:v>
                </c:pt>
                <c:pt idx="6">
                  <c:v>117603.87415375955</c:v>
                </c:pt>
                <c:pt idx="7">
                  <c:v>142948.24405810822</c:v>
                </c:pt>
                <c:pt idx="8">
                  <c:v>173754.4840791559</c:v>
                </c:pt>
                <c:pt idx="9">
                  <c:v>211199.66136373946</c:v>
                </c:pt>
                <c:pt idx="10">
                  <c:v>256714.50838550887</c:v>
                </c:pt>
                <c:pt idx="11">
                  <c:v>312038.08940826351</c:v>
                </c:pt>
                <c:pt idx="12">
                  <c:v>379284.24791380315</c:v>
                </c:pt>
                <c:pt idx="13">
                  <c:v>461022.3738657771</c:v>
                </c:pt>
                <c:pt idx="14">
                  <c:v>560375.57682368881</c:v>
                </c:pt>
                <c:pt idx="15">
                  <c:v>681140.01597654901</c:v>
                </c:pt>
                <c:pt idx="16">
                  <c:v>827929.94654459518</c:v>
                </c:pt>
                <c:pt idx="17">
                  <c:v>1006354.0245871214</c:v>
                </c:pt>
                <c:pt idx="18">
                  <c:v>1223229.6065982997</c:v>
                </c:pt>
                <c:pt idx="19">
                  <c:v>1486843.2320052746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33-4263-A5CD-77F6EDEC3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4283792"/>
        <c:axId val="24284272"/>
      </c:barChart>
      <c:catAx>
        <c:axId val="24283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years</a:t>
                </a:r>
              </a:p>
            </c:rich>
          </c:tx>
          <c:layout>
            <c:manualLayout>
              <c:xMode val="edge"/>
              <c:yMode val="edge"/>
              <c:x val="0.47486672950069037"/>
              <c:y val="0.931925051837439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4272"/>
        <c:crosses val="autoZero"/>
        <c:auto val="1"/>
        <c:lblAlgn val="ctr"/>
        <c:lblOffset val="100"/>
        <c:noMultiLvlLbl val="0"/>
      </c:catAx>
      <c:valAx>
        <c:axId val="2428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Amount(R)</a:t>
                </a:r>
              </a:p>
            </c:rich>
          </c:tx>
          <c:layout>
            <c:manualLayout>
              <c:xMode val="edge"/>
              <c:yMode val="edge"/>
              <c:x val="1.2914483746054473E-2"/>
              <c:y val="0.4032015677252225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Option</a:t>
            </a:r>
            <a:r>
              <a:rPr lang="en-ZA" baseline="0"/>
              <a:t> 1:</a:t>
            </a:r>
            <a:endParaRPr lang="en-ZA"/>
          </a:p>
        </c:rich>
      </c:tx>
      <c:layout>
        <c:manualLayout>
          <c:xMode val="edge"/>
          <c:yMode val="edge"/>
          <c:x val="0.4430037818071747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'Graphs for single investments'!$I$9</c:f>
              <c:strCache>
                <c:ptCount val="1"/>
                <c:pt idx="0">
                  <c:v>Nominal: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'Graphs for single investments'!$H$10:$H$38</c:f>
              <c:numCache>
                <c:formatCode>General</c:formatCode>
                <c:ptCount val="2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numCache>
            </c:numRef>
          </c:cat>
          <c:val>
            <c:numRef>
              <c:f>'Graphs for single investments'!$I$10:$I$38</c:f>
              <c:numCache>
                <c:formatCode>_("R"* #,##0.00_);_("R"* \(#,##0.00\);_("R"* "-"??_);_(@_)</c:formatCode>
                <c:ptCount val="29"/>
                <c:pt idx="0">
                  <c:v>12011.999999999998</c:v>
                </c:pt>
                <c:pt idx="1">
                  <c:v>12024.011999999997</c:v>
                </c:pt>
                <c:pt idx="2">
                  <c:v>12036.036011999993</c:v>
                </c:pt>
                <c:pt idx="3">
                  <c:v>12048.072048011994</c:v>
                </c:pt>
                <c:pt idx="4">
                  <c:v>12060.120120060004</c:v>
                </c:pt>
                <c:pt idx="5">
                  <c:v>12072.180240180061</c:v>
                </c:pt>
                <c:pt idx="6">
                  <c:v>12084.25242042024</c:v>
                </c:pt>
                <c:pt idx="7">
                  <c:v>12096.33667284066</c:v>
                </c:pt>
                <c:pt idx="8">
                  <c:v>12108.433009513499</c:v>
                </c:pt>
                <c:pt idx="9">
                  <c:v>12120.541442523012</c:v>
                </c:pt>
                <c:pt idx="10">
                  <c:v>12132.66198396553</c:v>
                </c:pt>
                <c:pt idx="11">
                  <c:v>12144.794645949496</c:v>
                </c:pt>
                <c:pt idx="12">
                  <c:v>12156.939440595444</c:v>
                </c:pt>
                <c:pt idx="13">
                  <c:v>12169.096380036037</c:v>
                </c:pt>
                <c:pt idx="14">
                  <c:v>12181.265476416072</c:v>
                </c:pt>
                <c:pt idx="15">
                  <c:v>12193.446741892485</c:v>
                </c:pt>
                <c:pt idx="16">
                  <c:v>12205.640188634376</c:v>
                </c:pt>
                <c:pt idx="17">
                  <c:v>12217.84582882301</c:v>
                </c:pt>
                <c:pt idx="18">
                  <c:v>12230.06367465183</c:v>
                </c:pt>
                <c:pt idx="19">
                  <c:v>12242.293738326482</c:v>
                </c:pt>
                <c:pt idx="20">
                  <c:v>12254.536032064805</c:v>
                </c:pt>
                <c:pt idx="21">
                  <c:v>12266.790568096867</c:v>
                </c:pt>
                <c:pt idx="22">
                  <c:v>12279.057358664963</c:v>
                </c:pt>
                <c:pt idx="23">
                  <c:v>12291.336416023629</c:v>
                </c:pt>
                <c:pt idx="24">
                  <c:v>12303.627752439652</c:v>
                </c:pt>
                <c:pt idx="25">
                  <c:v>12315.931380192089</c:v>
                </c:pt>
                <c:pt idx="26">
                  <c:v>12328.247311572279</c:v>
                </c:pt>
                <c:pt idx="27">
                  <c:v>12340.575558883849</c:v>
                </c:pt>
                <c:pt idx="28">
                  <c:v>12352.916134442732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49-4057-915C-DED6AD73E50F}"/>
            </c:ext>
          </c:extLst>
        </c:ser>
        <c:ser>
          <c:idx val="1"/>
          <c:order val="1"/>
          <c:tx>
            <c:strRef>
              <c:f>'Graphs for single investments'!$J$9</c:f>
              <c:strCache>
                <c:ptCount val="1"/>
                <c:pt idx="0">
                  <c:v>Real: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'Graphs for single investments'!$H$10:$H$38</c:f>
              <c:numCache>
                <c:formatCode>General</c:formatCode>
                <c:ptCount val="2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numCache>
            </c:numRef>
          </c:cat>
          <c:val>
            <c:numRef>
              <c:f>'Graphs for single investments'!$J$10:$J$38</c:f>
              <c:numCache>
                <c:formatCode>_("R"* #,##0.00_);_("R"* \(#,##0.00\);_("R"* "-"??_);_(@_)</c:formatCode>
                <c:ptCount val="29"/>
                <c:pt idx="0">
                  <c:v>11953.814204908889</c:v>
                </c:pt>
                <c:pt idx="1">
                  <c:v>11907.806170456792</c:v>
                </c:pt>
                <c:pt idx="2">
                  <c:v>11861.975212475676</c:v>
                </c:pt>
                <c:pt idx="3">
                  <c:v>11816.320649430741</c:v>
                </c:pt>
                <c:pt idx="4">
                  <c:v>11770.841802410279</c:v>
                </c:pt>
                <c:pt idx="5">
                  <c:v>11725.537995115619</c:v>
                </c:pt>
                <c:pt idx="6">
                  <c:v>11680.40855385099</c:v>
                </c:pt>
                <c:pt idx="7">
                  <c:v>11635.452807513613</c:v>
                </c:pt>
                <c:pt idx="8">
                  <c:v>11590.670087583603</c:v>
                </c:pt>
                <c:pt idx="9">
                  <c:v>11546.05972811412</c:v>
                </c:pt>
                <c:pt idx="10">
                  <c:v>11501.62106572142</c:v>
                </c:pt>
                <c:pt idx="11">
                  <c:v>11457.353439575001</c:v>
                </c:pt>
                <c:pt idx="12">
                  <c:v>11413.256191387782</c:v>
                </c:pt>
                <c:pt idx="13">
                  <c:v>11369.328665406298</c:v>
                </c:pt>
                <c:pt idx="14">
                  <c:v>11325.570208400968</c:v>
                </c:pt>
                <c:pt idx="15">
                  <c:v>11281.980169656368</c:v>
                </c:pt>
                <c:pt idx="16">
                  <c:v>11238.557900961558</c:v>
                </c:pt>
                <c:pt idx="17">
                  <c:v>11195.302756600442</c:v>
                </c:pt>
                <c:pt idx="18">
                  <c:v>11152.214093342167</c:v>
                </c:pt>
                <c:pt idx="19">
                  <c:v>11109.291270431557</c:v>
                </c:pt>
                <c:pt idx="20">
                  <c:v>11066.533649579589</c:v>
                </c:pt>
                <c:pt idx="21">
                  <c:v>11023.940594953892</c:v>
                </c:pt>
                <c:pt idx="22">
                  <c:v>10981.511473169297</c:v>
                </c:pt>
                <c:pt idx="23">
                  <c:v>10939.245653278424</c:v>
                </c:pt>
                <c:pt idx="24">
                  <c:v>10897.142506762288</c:v>
                </c:pt>
                <c:pt idx="25">
                  <c:v>10855.201407520957</c:v>
                </c:pt>
                <c:pt idx="26">
                  <c:v>10813.42173186425</c:v>
                </c:pt>
                <c:pt idx="27">
                  <c:v>10771.802858502444</c:v>
                </c:pt>
                <c:pt idx="28">
                  <c:v>10730.34416853706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49-4057-915C-DED6AD73E50F}"/>
            </c:ext>
          </c:extLst>
        </c:ser>
        <c:ser>
          <c:idx val="2"/>
          <c:order val="2"/>
          <c:tx>
            <c:strRef>
              <c:f>'Graphs for single investments'!$K$9</c:f>
              <c:strCache>
                <c:ptCount val="1"/>
                <c:pt idx="0">
                  <c:v>No investment: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'Graphs for single investments'!$H$10:$H$38</c:f>
              <c:numCache>
                <c:formatCode>General</c:formatCode>
                <c:ptCount val="2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numCache>
            </c:numRef>
          </c:cat>
          <c:val>
            <c:numRef>
              <c:f>'Graphs for single investments'!$K$10:$K$38</c:f>
              <c:numCache>
                <c:formatCode>_("R"* #,##0.00_);_("R"* \(#,##0.00\);_("R"* "-"??_);_(@_)</c:formatCode>
                <c:ptCount val="29"/>
                <c:pt idx="0">
                  <c:v>11941.872332576313</c:v>
                </c:pt>
                <c:pt idx="1">
                  <c:v>11884.026233962637</c:v>
                </c:pt>
                <c:pt idx="2">
                  <c:v>11826.460340247459</c:v>
                </c:pt>
                <c:pt idx="3">
                  <c:v>11769.173294126016</c:v>
                </c:pt>
                <c:pt idx="4">
                  <c:v>11712.16374486829</c:v>
                </c:pt>
                <c:pt idx="5">
                  <c:v>11655.430348287171</c:v>
                </c:pt>
                <c:pt idx="6">
                  <c:v>11598.971766706738</c:v>
                </c:pt>
                <c:pt idx="7">
                  <c:v>11542.786668930752</c:v>
                </c:pt>
                <c:pt idx="8">
                  <c:v>11486.873730211235</c:v>
                </c:pt>
                <c:pt idx="9">
                  <c:v>11431.23163221727</c:v>
                </c:pt>
                <c:pt idx="10">
                  <c:v>11375.859063003885</c:v>
                </c:pt>
                <c:pt idx="11">
                  <c:v>11320.754716981131</c:v>
                </c:pt>
                <c:pt idx="12">
                  <c:v>11265.917294883315</c:v>
                </c:pt>
                <c:pt idx="13">
                  <c:v>11211.345503738337</c:v>
                </c:pt>
                <c:pt idx="14">
                  <c:v>11157.038056837226</c:v>
                </c:pt>
                <c:pt idx="15">
                  <c:v>11102.993673703788</c:v>
                </c:pt>
                <c:pt idx="16">
                  <c:v>11049.211080064426</c:v>
                </c:pt>
                <c:pt idx="17">
                  <c:v>10995.689007818082</c:v>
                </c:pt>
                <c:pt idx="18">
                  <c:v>10942.426195006357</c:v>
                </c:pt>
                <c:pt idx="19">
                  <c:v>10889.421385783728</c:v>
                </c:pt>
                <c:pt idx="20">
                  <c:v>10836.673330387957</c:v>
                </c:pt>
                <c:pt idx="21">
                  <c:v>10784.180785110631</c:v>
                </c:pt>
                <c:pt idx="22">
                  <c:v>10731.942512267815</c:v>
                </c:pt>
                <c:pt idx="23">
                  <c:v>10679.957280170878</c:v>
                </c:pt>
                <c:pt idx="24">
                  <c:v>10628.223863097466</c:v>
                </c:pt>
                <c:pt idx="25">
                  <c:v>10576.741041262581</c:v>
                </c:pt>
                <c:pt idx="26">
                  <c:v>10525.507600789833</c:v>
                </c:pt>
                <c:pt idx="27">
                  <c:v>10474.522333682817</c:v>
                </c:pt>
                <c:pt idx="28">
                  <c:v>10423.784037796626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49-4057-915C-DED6AD73E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8920000"/>
        <c:axId val="1148911840"/>
      </c:lineChart>
      <c:catAx>
        <c:axId val="114892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911840"/>
        <c:crosses val="autoZero"/>
        <c:auto val="1"/>
        <c:lblAlgn val="ctr"/>
        <c:lblOffset val="100"/>
        <c:noMultiLvlLbl val="0"/>
      </c:catAx>
      <c:valAx>
        <c:axId val="114891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&quot;* #,##0.00_);_(&quot;R&quot;* \(#,##0.00\);_(&quot;R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9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'Graphs for single investments'!$Z$9</c:f>
              <c:strCache>
                <c:ptCount val="1"/>
                <c:pt idx="0">
                  <c:v>Nominal: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'Graphs for single investments'!$Y$10:$Y$38</c:f>
              <c:numCache>
                <c:formatCode>General</c:formatCode>
                <c:ptCount val="2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numCache>
            </c:numRef>
          </c:cat>
          <c:val>
            <c:numRef>
              <c:f>'Graphs for single investments'!$Z$10:$Z$38</c:f>
              <c:numCache>
                <c:formatCode>_("R"* #,##0.00_);_("R"* \(#,##0.00\);_("R"* "-"??_);_(@_)</c:formatCode>
                <c:ptCount val="29"/>
                <c:pt idx="0">
                  <c:v>15150</c:v>
                </c:pt>
                <c:pt idx="1">
                  <c:v>15301.5</c:v>
                </c:pt>
                <c:pt idx="2">
                  <c:v>15454.514999999999</c:v>
                </c:pt>
                <c:pt idx="3">
                  <c:v>15609.060150000001</c:v>
                </c:pt>
                <c:pt idx="4">
                  <c:v>15765.150751499999</c:v>
                </c:pt>
                <c:pt idx="5">
                  <c:v>15922.802259015001</c:v>
                </c:pt>
                <c:pt idx="6">
                  <c:v>16082.030281605148</c:v>
                </c:pt>
                <c:pt idx="7">
                  <c:v>16242.850584421203</c:v>
                </c:pt>
                <c:pt idx="8">
                  <c:v>16405.279090265416</c:v>
                </c:pt>
                <c:pt idx="9">
                  <c:v>16569.331881168073</c:v>
                </c:pt>
                <c:pt idx="10">
                  <c:v>16735.025199979747</c:v>
                </c:pt>
                <c:pt idx="11">
                  <c:v>16902.375451979548</c:v>
                </c:pt>
                <c:pt idx="12">
                  <c:v>17071.399206499344</c:v>
                </c:pt>
                <c:pt idx="13">
                  <c:v>17242.113198564337</c:v>
                </c:pt>
                <c:pt idx="14">
                  <c:v>17414.534330549977</c:v>
                </c:pt>
                <c:pt idx="15">
                  <c:v>17588.67967385548</c:v>
                </c:pt>
                <c:pt idx="16">
                  <c:v>17764.566470594036</c:v>
                </c:pt>
                <c:pt idx="17">
                  <c:v>17942.212135299978</c:v>
                </c:pt>
                <c:pt idx="18">
                  <c:v>18121.634256652975</c:v>
                </c:pt>
                <c:pt idx="19">
                  <c:v>18302.850599219506</c:v>
                </c:pt>
                <c:pt idx="20">
                  <c:v>18485.879105211698</c:v>
                </c:pt>
                <c:pt idx="21">
                  <c:v>18670.737896263821</c:v>
                </c:pt>
                <c:pt idx="22">
                  <c:v>18857.445275226455</c:v>
                </c:pt>
                <c:pt idx="23">
                  <c:v>19046.019727978724</c:v>
                </c:pt>
                <c:pt idx="24">
                  <c:v>19236.479925258514</c:v>
                </c:pt>
                <c:pt idx="25">
                  <c:v>19428.844724511098</c:v>
                </c:pt>
                <c:pt idx="26">
                  <c:v>19623.133171756203</c:v>
                </c:pt>
                <c:pt idx="27">
                  <c:v>19819.364503473767</c:v>
                </c:pt>
                <c:pt idx="28">
                  <c:v>20017.558148508506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8-49E1-B344-438E044C98B0}"/>
            </c:ext>
          </c:extLst>
        </c:ser>
        <c:ser>
          <c:idx val="1"/>
          <c:order val="1"/>
          <c:tx>
            <c:strRef>
              <c:f>'Graphs for single investments'!$AA$9</c:f>
              <c:strCache>
                <c:ptCount val="1"/>
                <c:pt idx="0">
                  <c:v>Real: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'Graphs for single investments'!$Y$10:$Y$38</c:f>
              <c:numCache>
                <c:formatCode>General</c:formatCode>
                <c:ptCount val="2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numCache>
            </c:numRef>
          </c:cat>
          <c:val>
            <c:numRef>
              <c:f>'Graphs for single investments'!$AA$10:$AA$38</c:f>
              <c:numCache>
                <c:formatCode>_("R"* #,##0.00_);_("R"* \(#,##0.00\);_("R"* "-"??_);_(@_)</c:formatCode>
                <c:ptCount val="29"/>
                <c:pt idx="0">
                  <c:v>14921.558835202466</c:v>
                </c:pt>
                <c:pt idx="1">
                  <c:v>14843.527871493914</c:v>
                </c:pt>
                <c:pt idx="2">
                  <c:v>14765.904963764267</c:v>
                </c:pt>
                <c:pt idx="3">
                  <c:v>14688.687978121108</c:v>
                </c:pt>
                <c:pt idx="4">
                  <c:v>14611.874791831015</c:v>
                </c:pt>
                <c:pt idx="5">
                  <c:v>14535.463293261226</c:v>
                </c:pt>
                <c:pt idx="6">
                  <c:v>14459.451381821533</c:v>
                </c:pt>
                <c:pt idx="7">
                  <c:v>14383.836967906651</c:v>
                </c:pt>
                <c:pt idx="8">
                  <c:v>14308.617972838621</c:v>
                </c:pt>
                <c:pt idx="9">
                  <c:v>14233.792328809795</c:v>
                </c:pt>
                <c:pt idx="10">
                  <c:v>14159.357978825907</c:v>
                </c:pt>
                <c:pt idx="11">
                  <c:v>14085.312876649612</c:v>
                </c:pt>
                <c:pt idx="12">
                  <c:v>14011.654986744137</c:v>
                </c:pt>
                <c:pt idx="13">
                  <c:v>13938.382284217376</c:v>
                </c:pt>
                <c:pt idx="14">
                  <c:v>13865.492754766219</c:v>
                </c:pt>
                <c:pt idx="15">
                  <c:v>13792.984394621173</c:v>
                </c:pt>
                <c:pt idx="16">
                  <c:v>13720.855210491285</c:v>
                </c:pt>
                <c:pt idx="17">
                  <c:v>13649.103219509334</c:v>
                </c:pt>
                <c:pt idx="18">
                  <c:v>13577.726449177324</c:v>
                </c:pt>
                <c:pt idx="19">
                  <c:v>13506.722937312272</c:v>
                </c:pt>
                <c:pt idx="20">
                  <c:v>13436.090731992246</c:v>
                </c:pt>
                <c:pt idx="21">
                  <c:v>13365.827891502722</c:v>
                </c:pt>
                <c:pt idx="22">
                  <c:v>13295.932484283199</c:v>
                </c:pt>
                <c:pt idx="23">
                  <c:v>13226.402588874131</c:v>
                </c:pt>
                <c:pt idx="24">
                  <c:v>13157.236293863967</c:v>
                </c:pt>
                <c:pt idx="25">
                  <c:v>13088.431697836828</c:v>
                </c:pt>
                <c:pt idx="26">
                  <c:v>13019.986909320036</c:v>
                </c:pt>
                <c:pt idx="27">
                  <c:v>12951.900046732319</c:v>
                </c:pt>
                <c:pt idx="28">
                  <c:v>12884.169238331857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18-49E1-B344-438E044C98B0}"/>
            </c:ext>
          </c:extLst>
        </c:ser>
        <c:ser>
          <c:idx val="2"/>
          <c:order val="2"/>
          <c:tx>
            <c:strRef>
              <c:f>'Graphs for single investments'!$AB$9</c:f>
              <c:strCache>
                <c:ptCount val="1"/>
                <c:pt idx="0">
                  <c:v>No investment: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'Graphs for single investments'!$Y$10:$Y$38</c:f>
              <c:numCache>
                <c:formatCode>General</c:formatCode>
                <c:ptCount val="2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numCache>
            </c:numRef>
          </c:cat>
          <c:val>
            <c:numRef>
              <c:f>'Graphs for single investments'!$AB$10:$AB$38</c:f>
              <c:numCache>
                <c:formatCode>_("R"* #,##0.00_);_("R"* \(#,##0.00\);_("R"* "-"??_);_(@_)</c:formatCode>
                <c:ptCount val="29"/>
                <c:pt idx="0">
                  <c:v>14773.82062891333</c:v>
                </c:pt>
                <c:pt idx="1">
                  <c:v>14551.051731687006</c:v>
                </c:pt>
                <c:pt idx="2">
                  <c:v>14331.641883065502</c:v>
                </c:pt>
                <c:pt idx="3">
                  <c:v>14115.540433215427</c:v>
                </c:pt>
                <c:pt idx="4">
                  <c:v>13902.697496033221</c:v>
                </c:pt>
                <c:pt idx="5">
                  <c:v>13693.063937629153</c:v>
                </c:pt>
                <c:pt idx="6">
                  <c:v>13486.591364984984</c:v>
                </c:pt>
                <c:pt idx="7">
                  <c:v>13283.232114782639</c:v>
                </c:pt>
                <c:pt idx="8">
                  <c:v>13082.939242401319</c:v>
                </c:pt>
                <c:pt idx="9">
                  <c:v>12885.666511080557</c:v>
                </c:pt>
                <c:pt idx="10">
                  <c:v>12691.368381246641</c:v>
                </c:pt>
                <c:pt idx="11">
                  <c:v>12500</c:v>
                </c:pt>
                <c:pt idx="12">
                  <c:v>12311.517190761109</c:v>
                </c:pt>
                <c:pt idx="13">
                  <c:v>12125.876443072506</c:v>
                </c:pt>
                <c:pt idx="14">
                  <c:v>11943.034902554587</c:v>
                </c:pt>
                <c:pt idx="15">
                  <c:v>11762.950361012856</c:v>
                </c:pt>
                <c:pt idx="16">
                  <c:v>11585.581246694348</c:v>
                </c:pt>
                <c:pt idx="17">
                  <c:v>11410.88661469096</c:v>
                </c:pt>
                <c:pt idx="18">
                  <c:v>11238.826137487487</c:v>
                </c:pt>
                <c:pt idx="19">
                  <c:v>11069.360095652199</c:v>
                </c:pt>
                <c:pt idx="20">
                  <c:v>10902.449368667767</c:v>
                </c:pt>
                <c:pt idx="21">
                  <c:v>10738.055425900466</c:v>
                </c:pt>
                <c:pt idx="22">
                  <c:v>10576.140317705534</c:v>
                </c:pt>
                <c:pt idx="23">
                  <c:v>10416.666666666666</c:v>
                </c:pt>
                <c:pt idx="24">
                  <c:v>10259.597658967592</c:v>
                </c:pt>
                <c:pt idx="25">
                  <c:v>10104.897035893755</c:v>
                </c:pt>
                <c:pt idx="26">
                  <c:v>9952.5290854621544</c:v>
                </c:pt>
                <c:pt idx="27">
                  <c:v>9802.4586341773811</c:v>
                </c:pt>
                <c:pt idx="28">
                  <c:v>9654.6510389119594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18-49E1-B344-438E044C9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2499088"/>
        <c:axId val="1302508208"/>
      </c:lineChart>
      <c:catAx>
        <c:axId val="1302499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508208"/>
        <c:crosses val="autoZero"/>
        <c:auto val="1"/>
        <c:lblAlgn val="ctr"/>
        <c:lblOffset val="100"/>
        <c:noMultiLvlLbl val="0"/>
      </c:catAx>
      <c:valAx>
        <c:axId val="130250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&quot;* #,##0.00_);_(&quot;R&quot;* \(#,##0.00\);_(&quot;R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499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ZA"/>
              <a:t>Future value over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FV</c:v>
          </c:tx>
          <c:marker>
            <c:symbol val="none"/>
          </c:marker>
          <c:cat>
            <c:strRef>
              <c:f>'Annuity-In advance'!$R$29:$R$102</c:f>
              <c:strCache>
                <c:ptCount val="74"/>
                <c:pt idx="0">
                  <c:v>Period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strCache>
            </c:strRef>
          </c:cat>
          <c:val>
            <c:numRef>
              <c:f>'Annuity-In advance'!$AA$29:$AA$102</c:f>
              <c:numCache>
                <c:formatCode>_("R"* #,##0.00_);_("R"* \(#,##0.00\);_("R"* "-"??_);_(@_)</c:formatCode>
                <c:ptCount val="74"/>
                <c:pt idx="0" formatCode="0%">
                  <c:v>0.04</c:v>
                </c:pt>
                <c:pt idx="1">
                  <c:v>1040.0000000000009</c:v>
                </c:pt>
                <c:pt idx="2">
                  <c:v>2121.6000000000031</c:v>
                </c:pt>
                <c:pt idx="3">
                  <c:v>3246.4640000000022</c:v>
                </c:pt>
                <c:pt idx="4">
                  <c:v>4416.3225600000051</c:v>
                </c:pt>
                <c:pt idx="5">
                  <c:v>5632.9754624000079</c:v>
                </c:pt>
                <c:pt idx="6">
                  <c:v>6898.2944808960092</c:v>
                </c:pt>
                <c:pt idx="7">
                  <c:v>8214.2262601318471</c:v>
                </c:pt>
                <c:pt idx="8">
                  <c:v>9582.7953105371271</c:v>
                </c:pt>
                <c:pt idx="9">
                  <c:v>11006.107122958614</c:v>
                </c:pt>
                <c:pt idx="10">
                  <c:v>12486.351407876959</c:v>
                </c:pt>
                <c:pt idx="11">
                  <c:v>14025.805464192035</c:v>
                </c:pt>
                <c:pt idx="12">
                  <c:v>15626.837682759724</c:v>
                </c:pt>
                <c:pt idx="13">
                  <c:v>17291.911190070114</c:v>
                </c:pt>
                <c:pt idx="14">
                  <c:v>19023.587637672917</c:v>
                </c:pt>
                <c:pt idx="15">
                  <c:v>20824.531143179836</c:v>
                </c:pt>
                <c:pt idx="16">
                  <c:v>22697.512388907038</c:v>
                </c:pt>
                <c:pt idx="17">
                  <c:v>24645.412884463316</c:v>
                </c:pt>
                <c:pt idx="18">
                  <c:v>26671.229399841861</c:v>
                </c:pt>
                <c:pt idx="19">
                  <c:v>28778.078575835534</c:v>
                </c:pt>
                <c:pt idx="20">
                  <c:v>30969.201718868953</c:v>
                </c:pt>
                <c:pt idx="21">
                  <c:v>33247.969787623726</c:v>
                </c:pt>
                <c:pt idx="22">
                  <c:v>35617.888579128674</c:v>
                </c:pt>
                <c:pt idx="23">
                  <c:v>38082.604122293815</c:v>
                </c:pt>
                <c:pt idx="24">
                  <c:v>40645.908287185572</c:v>
                </c:pt>
                <c:pt idx="25">
                  <c:v>43311.744618673009</c:v>
                </c:pt>
                <c:pt idx="26">
                  <c:v>46084.214403419915</c:v>
                </c:pt>
                <c:pt idx="27">
                  <c:v>48967.582979556719</c:v>
                </c:pt>
                <c:pt idx="28">
                  <c:v>51966.286298739004</c:v>
                </c:pt>
                <c:pt idx="29">
                  <c:v>55084.937750688565</c:v>
                </c:pt>
                <c:pt idx="30">
                  <c:v>58328.335260716092</c:v>
                </c:pt>
                <c:pt idx="31">
                  <c:v>61701.468671144743</c:v>
                </c:pt>
                <c:pt idx="32">
                  <c:v>65209.527417990539</c:v>
                </c:pt>
                <c:pt idx="33">
                  <c:v>68857.908514710158</c:v>
                </c:pt>
                <c:pt idx="34">
                  <c:v>72652.224855298584</c:v>
                </c:pt>
                <c:pt idx="35">
                  <c:v>76598.313849510523</c:v>
                </c:pt>
                <c:pt idx="36">
                  <c:v>80702.24640349095</c:v>
                </c:pt>
                <c:pt idx="37">
                  <c:v>84970.336259630625</c:v>
                </c:pt>
                <c:pt idx="38">
                  <c:v>89409.149710015816</c:v>
                </c:pt>
                <c:pt idx="39">
                  <c:v>94025.51569841645</c:v>
                </c:pt>
                <c:pt idx="40">
                  <c:v>98826.536326353147</c:v>
                </c:pt>
                <c:pt idx="41">
                  <c:v>103819.59777940727</c:v>
                </c:pt>
                <c:pt idx="42">
                  <c:v>109012.38169058354</c:v>
                </c:pt>
                <c:pt idx="43">
                  <c:v>114412.87695820691</c:v>
                </c:pt>
                <c:pt idx="44">
                  <c:v>120029.39203653521</c:v>
                </c:pt>
                <c:pt idx="45">
                  <c:v>125870.5677179966</c:v>
                </c:pt>
                <c:pt idx="46">
                  <c:v>131945.39042671648</c:v>
                </c:pt>
                <c:pt idx="47">
                  <c:v>138263.20604378515</c:v>
                </c:pt>
                <c:pt idx="48">
                  <c:v>144833.73428553657</c:v>
                </c:pt>
                <c:pt idx="49">
                  <c:v>151667.08365695804</c:v>
                </c:pt>
                <c:pt idx="50">
                  <c:v>158773.76700323637</c:v>
                </c:pt>
                <c:pt idx="51">
                  <c:v>166164.71768336583</c:v>
                </c:pt>
                <c:pt idx="52">
                  <c:v>173851.30639070048</c:v>
                </c:pt>
                <c:pt idx="53">
                  <c:v>181845.35864632853</c:v>
                </c:pt>
                <c:pt idx="54">
                  <c:v>190159.17299218167</c:v>
                </c:pt>
                <c:pt idx="55">
                  <c:v>198805.53991186889</c:v>
                </c:pt>
                <c:pt idx="56">
                  <c:v>207797.76150834368</c:v>
                </c:pt>
                <c:pt idx="57">
                  <c:v>217149.67196867749</c:v>
                </c:pt>
                <c:pt idx="58">
                  <c:v>226875.65884742449</c:v>
                </c:pt>
                <c:pt idx="59">
                  <c:v>236990.68520132152</c:v>
                </c:pt>
                <c:pt idx="60">
                  <c:v>247510.31260937449</c:v>
                </c:pt>
                <c:pt idx="61">
                  <c:v>258450.72511374945</c:v>
                </c:pt>
                <c:pt idx="62">
                  <c:v>269828.75411829934</c:v>
                </c:pt>
                <c:pt idx="63">
                  <c:v>281661.90428303141</c:v>
                </c:pt>
                <c:pt idx="64">
                  <c:v>293968.38045435271</c:v>
                </c:pt>
                <c:pt idx="65">
                  <c:v>306767.11567252676</c:v>
                </c:pt>
                <c:pt idx="66">
                  <c:v>320077.80029942788</c:v>
                </c:pt>
                <c:pt idx="67">
                  <c:v>333920.91231140494</c:v>
                </c:pt>
                <c:pt idx="68">
                  <c:v>348317.74880386121</c:v>
                </c:pt>
                <c:pt idx="69">
                  <c:v>363290.45875601569</c:v>
                </c:pt>
                <c:pt idx="70">
                  <c:v>378862.07710625633</c:v>
                </c:pt>
                <c:pt idx="71">
                  <c:v>395056.56019050651</c:v>
                </c:pt>
                <c:pt idx="72">
                  <c:v>411898.82259812689</c:v>
                </c:pt>
                <c:pt idx="73">
                  <c:v>429414.77550205193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8B8-4881-90AA-A1CDE071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5352367"/>
        <c:axId val="1925362447"/>
      </c:lineChart>
      <c:catAx>
        <c:axId val="19253523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5362447"/>
        <c:crosses val="autoZero"/>
        <c:auto val="1"/>
        <c:lblAlgn val="ctr"/>
        <c:lblOffset val="100"/>
        <c:noMultiLvlLbl val="0"/>
      </c:catAx>
      <c:valAx>
        <c:axId val="1925362447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92535236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T$20" max="1000" min="1" page="10" val="25"/>
</file>

<file path=xl/ctrlProps/ctrlProp2.xml><?xml version="1.0" encoding="utf-8"?>
<formControlPr xmlns="http://schemas.microsoft.com/office/spreadsheetml/2009/9/main" objectType="Scroll" dx="26" fmlaLink="'Loans - In arrears'!$AB$20" max="500" min="1" page="0" val="20"/>
</file>

<file path=xl/ctrlProps/ctrlProp3.xml><?xml version="1.0" encoding="utf-8"?>
<formControlPr xmlns="http://schemas.microsoft.com/office/spreadsheetml/2009/9/main" objectType="Scroll" dx="26" fmlaLink="$Y$20" max="500" min="1" page="0" val="22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nnuity-In arrears'!A1"/><Relationship Id="rId13" Type="http://schemas.openxmlformats.org/officeDocument/2006/relationships/image" Target="../media/image6.png"/><Relationship Id="rId3" Type="http://schemas.openxmlformats.org/officeDocument/2006/relationships/hyperlink" Target="https://creativecommons.org/licenses/by-sa/3.0/" TargetMode="External"/><Relationship Id="rId7" Type="http://schemas.openxmlformats.org/officeDocument/2006/relationships/image" Target="../media/image5.jpg"/><Relationship Id="rId12" Type="http://schemas.openxmlformats.org/officeDocument/2006/relationships/hyperlink" Target="#'Loans - In arrears'!A1"/><Relationship Id="rId2" Type="http://schemas.openxmlformats.org/officeDocument/2006/relationships/hyperlink" Target="https://courses.lumenlearning.com/boundless-finance/chapter/overview-of-the-working-capital-financing-decision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4.png"/><Relationship Id="rId11" Type="http://schemas.openxmlformats.org/officeDocument/2006/relationships/hyperlink" Target="#'Single Investment'!A1"/><Relationship Id="rId5" Type="http://schemas.openxmlformats.org/officeDocument/2006/relationships/image" Target="../media/image3.jpeg"/><Relationship Id="rId10" Type="http://schemas.openxmlformats.org/officeDocument/2006/relationships/hyperlink" Target="#'Annuity - Retirement'!A1"/><Relationship Id="rId4" Type="http://schemas.openxmlformats.org/officeDocument/2006/relationships/hyperlink" Target="http://www.nwu.ac.za" TargetMode="External"/><Relationship Id="rId9" Type="http://schemas.openxmlformats.org/officeDocument/2006/relationships/hyperlink" Target="#'Increasing Annuity'!A1"/><Relationship Id="rId14" Type="http://schemas.openxmlformats.org/officeDocument/2006/relationships/image" Target="../media/image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image" Target="../media/image14.svg"/><Relationship Id="rId3" Type="http://schemas.openxmlformats.org/officeDocument/2006/relationships/chart" Target="../charts/chart1.xml"/><Relationship Id="rId7" Type="http://schemas.openxmlformats.org/officeDocument/2006/relationships/image" Target="../media/image9.png"/><Relationship Id="rId12" Type="http://schemas.openxmlformats.org/officeDocument/2006/relationships/image" Target="../media/image13.png"/><Relationship Id="rId2" Type="http://schemas.openxmlformats.org/officeDocument/2006/relationships/hyperlink" Target="https://pixabay.com/en/financial-crisis-stock-exchange-544944/" TargetMode="External"/><Relationship Id="rId1" Type="http://schemas.openxmlformats.org/officeDocument/2006/relationships/image" Target="../media/image8.jpeg"/><Relationship Id="rId6" Type="http://schemas.openxmlformats.org/officeDocument/2006/relationships/hyperlink" Target="#Home!A1"/><Relationship Id="rId11" Type="http://schemas.openxmlformats.org/officeDocument/2006/relationships/hyperlink" Target="#'Convert changing interests'!A1"/><Relationship Id="rId5" Type="http://schemas.openxmlformats.org/officeDocument/2006/relationships/hyperlink" Target="#'Graphs for single investments'!A1"/><Relationship Id="rId10" Type="http://schemas.openxmlformats.org/officeDocument/2006/relationships/image" Target="../media/image12.svg"/><Relationship Id="rId4" Type="http://schemas.openxmlformats.org/officeDocument/2006/relationships/image" Target="../media/image4.png"/><Relationship Id="rId9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7" Type="http://schemas.openxmlformats.org/officeDocument/2006/relationships/image" Target="../media/image16.sv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5.png"/><Relationship Id="rId5" Type="http://schemas.openxmlformats.org/officeDocument/2006/relationships/hyperlink" Target="#'Single Investment'!A1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4.svg"/><Relationship Id="rId3" Type="http://schemas.openxmlformats.org/officeDocument/2006/relationships/image" Target="../media/image18.svg"/><Relationship Id="rId7" Type="http://schemas.openxmlformats.org/officeDocument/2006/relationships/image" Target="../media/image20.svg"/><Relationship Id="rId12" Type="http://schemas.openxmlformats.org/officeDocument/2006/relationships/image" Target="../media/image23.png"/><Relationship Id="rId2" Type="http://schemas.openxmlformats.org/officeDocument/2006/relationships/image" Target="../media/image17.png"/><Relationship Id="rId1" Type="http://schemas.openxmlformats.org/officeDocument/2006/relationships/image" Target="../media/image4.png"/><Relationship Id="rId6" Type="http://schemas.openxmlformats.org/officeDocument/2006/relationships/image" Target="../media/image19.png"/><Relationship Id="rId11" Type="http://schemas.openxmlformats.org/officeDocument/2006/relationships/hyperlink" Target="#'Graphs for single investments'!A1"/><Relationship Id="rId5" Type="http://schemas.openxmlformats.org/officeDocument/2006/relationships/hyperlink" Target="#'Convert changing interests'!A1"/><Relationship Id="rId15" Type="http://schemas.openxmlformats.org/officeDocument/2006/relationships/image" Target="../media/image26.svg"/><Relationship Id="rId10" Type="http://schemas.openxmlformats.org/officeDocument/2006/relationships/hyperlink" Target="#'Single Investment'!A1"/><Relationship Id="rId4" Type="http://schemas.openxmlformats.org/officeDocument/2006/relationships/hyperlink" Target="#Home!A1"/><Relationship Id="rId9" Type="http://schemas.openxmlformats.org/officeDocument/2006/relationships/image" Target="../media/image22.svg"/><Relationship Id="rId14" Type="http://schemas.openxmlformats.org/officeDocument/2006/relationships/image" Target="../media/image2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svg"/><Relationship Id="rId7" Type="http://schemas.openxmlformats.org/officeDocument/2006/relationships/hyperlink" Target="#'Annuity - Retirement'!A1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hyperlink" Target="#'Increasing Annuity'!A1"/><Relationship Id="rId5" Type="http://schemas.openxmlformats.org/officeDocument/2006/relationships/hyperlink" Target="#'Annuity-In advance'!A1"/><Relationship Id="rId4" Type="http://schemas.openxmlformats.org/officeDocument/2006/relationships/hyperlink" Target="#'Annuity-In arrears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33.svg"/><Relationship Id="rId7" Type="http://schemas.openxmlformats.org/officeDocument/2006/relationships/hyperlink" Target="#'Annuity - Retirement'!A1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hyperlink" Target="#'Increasing Annuity'!A1"/><Relationship Id="rId5" Type="http://schemas.openxmlformats.org/officeDocument/2006/relationships/hyperlink" Target="#'Annuity-In advance'!A1"/><Relationship Id="rId4" Type="http://schemas.openxmlformats.org/officeDocument/2006/relationships/hyperlink" Target="#'Annuity-In arrear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svg"/><Relationship Id="rId7" Type="http://schemas.openxmlformats.org/officeDocument/2006/relationships/hyperlink" Target="#'Annuity - Retirement'!A1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hyperlink" Target="#'Increasing Annuity'!A1"/><Relationship Id="rId5" Type="http://schemas.openxmlformats.org/officeDocument/2006/relationships/hyperlink" Target="#'Annuity-In advance'!A1"/><Relationship Id="rId4" Type="http://schemas.openxmlformats.org/officeDocument/2006/relationships/hyperlink" Target="#'Annuity-In arrear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sv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hyperlink" Target="#'Increasing Annuity'!A1"/><Relationship Id="rId5" Type="http://schemas.openxmlformats.org/officeDocument/2006/relationships/hyperlink" Target="#'Annuity-In advance'!A1"/><Relationship Id="rId4" Type="http://schemas.openxmlformats.org/officeDocument/2006/relationships/hyperlink" Target="#'Annuity-In arrears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onvert changing interests'!A1"/><Relationship Id="rId3" Type="http://schemas.openxmlformats.org/officeDocument/2006/relationships/image" Target="../media/image24.svg"/><Relationship Id="rId7" Type="http://schemas.openxmlformats.org/officeDocument/2006/relationships/image" Target="../media/image22.svg"/><Relationship Id="rId2" Type="http://schemas.openxmlformats.org/officeDocument/2006/relationships/image" Target="../media/image23.png"/><Relationship Id="rId1" Type="http://schemas.openxmlformats.org/officeDocument/2006/relationships/image" Target="../media/image4.png"/><Relationship Id="rId6" Type="http://schemas.openxmlformats.org/officeDocument/2006/relationships/image" Target="../media/image21.png"/><Relationship Id="rId5" Type="http://schemas.openxmlformats.org/officeDocument/2006/relationships/image" Target="../media/image18.svg"/><Relationship Id="rId10" Type="http://schemas.openxmlformats.org/officeDocument/2006/relationships/image" Target="../media/image20.svg"/><Relationship Id="rId4" Type="http://schemas.openxmlformats.org/officeDocument/2006/relationships/image" Target="../media/image17.png"/><Relationship Id="rId9" Type="http://schemas.openxmlformats.org/officeDocument/2006/relationships/image" Target="../media/image19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sv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hyperlink" Target="#'Loans - In advance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sv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hyperlink" Target="#'Loans - In arrears'!A1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413072</xdr:colOff>
      <xdr:row>4</xdr:row>
      <xdr:rowOff>22998</xdr:rowOff>
    </xdr:from>
    <xdr:to>
      <xdr:col>29</xdr:col>
      <xdr:colOff>183834</xdr:colOff>
      <xdr:row>48</xdr:row>
      <xdr:rowOff>36286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49A4EB5A-9B28-31D5-AF4C-302CC888D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084358" y="712427"/>
          <a:ext cx="18566762" cy="7597002"/>
        </a:xfrm>
        <a:prstGeom prst="rect">
          <a:avLst/>
        </a:prstGeom>
      </xdr:spPr>
    </xdr:pic>
    <xdr:clientData/>
  </xdr:twoCellAnchor>
  <xdr:oneCellAnchor>
    <xdr:from>
      <xdr:col>4</xdr:col>
      <xdr:colOff>68358</xdr:colOff>
      <xdr:row>45</xdr:row>
      <xdr:rowOff>84686</xdr:rowOff>
    </xdr:from>
    <xdr:ext cx="14917642" cy="214671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BA65D947-0D29-0288-6D55-3DE5A0BBF096}"/>
            </a:ext>
          </a:extLst>
        </xdr:cNvPr>
        <xdr:cNvSpPr txBox="1"/>
      </xdr:nvSpPr>
      <xdr:spPr>
        <a:xfrm>
          <a:off x="2753501" y="7840757"/>
          <a:ext cx="14917642" cy="2146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ZA" sz="900">
              <a:hlinkClick xmlns:r="http://schemas.openxmlformats.org/officeDocument/2006/relationships" r:id="rId2" tooltip="https://courses.lumenlearning.com/boundless-finance/chapter/overview-of-the-working-capital-financing-decision/"/>
            </a:rPr>
            <a:t>This Photo</a:t>
          </a:r>
          <a:r>
            <a:rPr lang="en-ZA" sz="900"/>
            <a:t> by Unknown Author is licensed under </a:t>
          </a:r>
          <a:r>
            <a:rPr lang="en-ZA" sz="900">
              <a:hlinkClick xmlns:r="http://schemas.openxmlformats.org/officeDocument/2006/relationships" r:id="rId3" tooltip="https://creativecommons.org/licenses/by-sa/3.0/"/>
            </a:rPr>
            <a:t>CC BY-SA</a:t>
          </a:r>
          <a:endParaRPr lang="en-ZA" sz="900"/>
        </a:p>
      </xdr:txBody>
    </xdr:sp>
    <xdr:clientData/>
  </xdr:oneCellAnchor>
  <xdr:twoCellAnchor>
    <xdr:from>
      <xdr:col>0</xdr:col>
      <xdr:colOff>0</xdr:colOff>
      <xdr:row>0</xdr:row>
      <xdr:rowOff>0</xdr:rowOff>
    </xdr:from>
    <xdr:to>
      <xdr:col>25</xdr:col>
      <xdr:colOff>640080</xdr:colOff>
      <xdr:row>4</xdr:row>
      <xdr:rowOff>22860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45C39DD-E005-57A8-4910-3722A72452E8}"/>
            </a:ext>
          </a:extLst>
        </xdr:cNvPr>
        <xdr:cNvSpPr/>
      </xdr:nvSpPr>
      <xdr:spPr>
        <a:xfrm>
          <a:off x="0" y="0"/>
          <a:ext cx="17404080" cy="723900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7</xdr:col>
      <xdr:colOff>236220</xdr:colOff>
      <xdr:row>0</xdr:row>
      <xdr:rowOff>76200</xdr:rowOff>
    </xdr:from>
    <xdr:to>
      <xdr:col>15</xdr:col>
      <xdr:colOff>173182</xdr:colOff>
      <xdr:row>3</xdr:row>
      <xdr:rowOff>68580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965FC16-EB0D-0EB0-0E0A-BB5534C1AA8B}"/>
            </a:ext>
          </a:extLst>
        </xdr:cNvPr>
        <xdr:cNvSpPr txBox="1"/>
      </xdr:nvSpPr>
      <xdr:spPr>
        <a:xfrm>
          <a:off x="4903470" y="76200"/>
          <a:ext cx="5270962" cy="511925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ZA" sz="3600" b="1">
              <a:ln>
                <a:noFill/>
              </a:ln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Financial</a:t>
          </a:r>
          <a:r>
            <a:rPr lang="en-ZA" sz="36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 calculator</a:t>
          </a:r>
        </a:p>
      </xdr:txBody>
    </xdr:sp>
    <xdr:clientData/>
  </xdr:twoCellAnchor>
  <xdr:twoCellAnchor editAs="oneCell">
    <xdr:from>
      <xdr:col>24</xdr:col>
      <xdr:colOff>90714</xdr:colOff>
      <xdr:row>0</xdr:row>
      <xdr:rowOff>0</xdr:rowOff>
    </xdr:from>
    <xdr:to>
      <xdr:col>25</xdr:col>
      <xdr:colOff>130546</xdr:colOff>
      <xdr:row>4</xdr:row>
      <xdr:rowOff>34637</xdr:rowOff>
    </xdr:to>
    <xdr:pic>
      <xdr:nvPicPr>
        <xdr:cNvPr id="11" name="Picture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BC404FB-6A21-C829-4339-D03BF5467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01571" y="0"/>
          <a:ext cx="711118" cy="72406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25977</xdr:rowOff>
    </xdr:from>
    <xdr:to>
      <xdr:col>2</xdr:col>
      <xdr:colOff>510887</xdr:colOff>
      <xdr:row>63</xdr:row>
      <xdr:rowOff>99786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EF0415B1-2814-FBE3-B533-DCA85C4C704C}"/>
            </a:ext>
          </a:extLst>
        </xdr:cNvPr>
        <xdr:cNvSpPr/>
      </xdr:nvSpPr>
      <xdr:spPr>
        <a:xfrm>
          <a:off x="0" y="715406"/>
          <a:ext cx="1853458" cy="10242880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0</xdr:col>
      <xdr:colOff>225137</xdr:colOff>
      <xdr:row>5</xdr:row>
      <xdr:rowOff>112569</xdr:rowOff>
    </xdr:from>
    <xdr:to>
      <xdr:col>1</xdr:col>
      <xdr:colOff>649433</xdr:colOff>
      <xdr:row>8</xdr:row>
      <xdr:rowOff>69273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3F035D7E-529B-0071-229E-CD791B98AD8B}"/>
            </a:ext>
          </a:extLst>
        </xdr:cNvPr>
        <xdr:cNvSpPr txBox="1"/>
      </xdr:nvSpPr>
      <xdr:spPr>
        <a:xfrm>
          <a:off x="225137" y="978478"/>
          <a:ext cx="1091046" cy="47625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ln>
                <a:solidFill>
                  <a:schemeClr val="bg1">
                    <a:lumMod val="95000"/>
                  </a:schemeClr>
                </a:solidFill>
              </a:ln>
              <a:solidFill>
                <a:schemeClr val="bg1">
                  <a:lumMod val="85000"/>
                </a:schemeClr>
              </a:solidFill>
            </a:rPr>
            <a:t>About me and this project:</a:t>
          </a:r>
        </a:p>
        <a:p>
          <a:endParaRPr lang="en-ZA" sz="1100">
            <a:ln>
              <a:solidFill>
                <a:schemeClr val="bg1">
                  <a:lumMod val="95000"/>
                </a:schemeClr>
              </a:solidFill>
            </a:ln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0</xdr:col>
      <xdr:colOff>277089</xdr:colOff>
      <xdr:row>8</xdr:row>
      <xdr:rowOff>95250</xdr:rowOff>
    </xdr:from>
    <xdr:to>
      <xdr:col>1</xdr:col>
      <xdr:colOff>541803</xdr:colOff>
      <xdr:row>8</xdr:row>
      <xdr:rowOff>95250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2DAC318E-497F-188C-AD27-103B86CD78FD}"/>
            </a:ext>
          </a:extLst>
        </xdr:cNvPr>
        <xdr:cNvCxnSpPr/>
      </xdr:nvCxnSpPr>
      <xdr:spPr>
        <a:xfrm flipV="1">
          <a:off x="277089" y="1474107"/>
          <a:ext cx="936000" cy="0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138546</xdr:colOff>
      <xdr:row>0</xdr:row>
      <xdr:rowOff>0</xdr:rowOff>
    </xdr:from>
    <xdr:to>
      <xdr:col>2</xdr:col>
      <xdr:colOff>216478</xdr:colOff>
      <xdr:row>4</xdr:row>
      <xdr:rowOff>145780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9A15363-59B5-4691-BD9F-D394B9539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546" y="0"/>
          <a:ext cx="1411432" cy="838507"/>
        </a:xfrm>
        <a:prstGeom prst="rect">
          <a:avLst/>
        </a:prstGeom>
      </xdr:spPr>
    </xdr:pic>
    <xdr:clientData/>
  </xdr:twoCellAnchor>
  <xdr:twoCellAnchor editAs="oneCell">
    <xdr:from>
      <xdr:col>0</xdr:col>
      <xdr:colOff>199572</xdr:colOff>
      <xdr:row>9</xdr:row>
      <xdr:rowOff>9072</xdr:rowOff>
    </xdr:from>
    <xdr:to>
      <xdr:col>1</xdr:col>
      <xdr:colOff>653142</xdr:colOff>
      <xdr:row>18</xdr:row>
      <xdr:rowOff>145142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6E6E5C7-DD87-89F6-7DD1-BED2E3FDA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572" y="1560286"/>
          <a:ext cx="1124856" cy="1687285"/>
        </a:xfrm>
        <a:prstGeom prst="rect">
          <a:avLst/>
        </a:prstGeom>
      </xdr:spPr>
    </xdr:pic>
    <xdr:clientData/>
  </xdr:twoCellAnchor>
  <xdr:twoCellAnchor>
    <xdr:from>
      <xdr:col>0</xdr:col>
      <xdr:colOff>281214</xdr:colOff>
      <xdr:row>19</xdr:row>
      <xdr:rowOff>38347</xdr:rowOff>
    </xdr:from>
    <xdr:to>
      <xdr:col>1</xdr:col>
      <xdr:colOff>545928</xdr:colOff>
      <xdr:row>19</xdr:row>
      <xdr:rowOff>38347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A41F4E4-A2A2-497E-AD61-0AB1381F5462}"/>
            </a:ext>
          </a:extLst>
        </xdr:cNvPr>
        <xdr:cNvCxnSpPr/>
      </xdr:nvCxnSpPr>
      <xdr:spPr>
        <a:xfrm flipV="1">
          <a:off x="281214" y="3313133"/>
          <a:ext cx="936000" cy="0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217715</xdr:colOff>
      <xdr:row>19</xdr:row>
      <xdr:rowOff>54427</xdr:rowOff>
    </xdr:from>
    <xdr:to>
      <xdr:col>1</xdr:col>
      <xdr:colOff>653144</xdr:colOff>
      <xdr:row>29</xdr:row>
      <xdr:rowOff>99786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C5DAABF-6376-923A-337A-8D8EB0FFE71F}"/>
            </a:ext>
          </a:extLst>
        </xdr:cNvPr>
        <xdr:cNvSpPr txBox="1"/>
      </xdr:nvSpPr>
      <xdr:spPr>
        <a:xfrm>
          <a:off x="217715" y="3329213"/>
          <a:ext cx="1106715" cy="176893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200">
              <a:solidFill>
                <a:schemeClr val="bg1">
                  <a:lumMod val="85000"/>
                </a:schemeClr>
              </a:solidFill>
            </a:rPr>
            <a:t>I</a:t>
          </a:r>
          <a:r>
            <a:rPr lang="en-ZA" sz="1200" baseline="0">
              <a:solidFill>
                <a:schemeClr val="bg1">
                  <a:lumMod val="85000"/>
                </a:schemeClr>
              </a:solidFill>
            </a:rPr>
            <a:t> am </a:t>
          </a:r>
          <a:r>
            <a:rPr lang="en-ZA" sz="1200">
              <a:solidFill>
                <a:schemeClr val="bg1">
                  <a:lumMod val="85000"/>
                </a:schemeClr>
              </a:solidFill>
            </a:rPr>
            <a:t>Jaun Minnaar. A first year sutdent in B.Sc.</a:t>
          </a:r>
          <a:r>
            <a:rPr lang="en-ZA" sz="1200" baseline="0">
              <a:solidFill>
                <a:schemeClr val="bg1">
                  <a:lumMod val="85000"/>
                </a:schemeClr>
              </a:solidFill>
            </a:rPr>
            <a:t> Financial mathematics</a:t>
          </a:r>
          <a:endParaRPr lang="en-ZA" sz="12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0</xdr:col>
      <xdr:colOff>244928</xdr:colOff>
      <xdr:row>27</xdr:row>
      <xdr:rowOff>47419</xdr:rowOff>
    </xdr:from>
    <xdr:to>
      <xdr:col>1</xdr:col>
      <xdr:colOff>509642</xdr:colOff>
      <xdr:row>27</xdr:row>
      <xdr:rowOff>47419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FC9597F0-2C0B-47AE-B862-5070A3FFDE8F}"/>
            </a:ext>
          </a:extLst>
        </xdr:cNvPr>
        <xdr:cNvCxnSpPr/>
      </xdr:nvCxnSpPr>
      <xdr:spPr>
        <a:xfrm flipV="1">
          <a:off x="244928" y="4701062"/>
          <a:ext cx="936000" cy="0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272144</xdr:colOff>
      <xdr:row>27</xdr:row>
      <xdr:rowOff>90715</xdr:rowOff>
    </xdr:from>
    <xdr:to>
      <xdr:col>1</xdr:col>
      <xdr:colOff>544286</xdr:colOff>
      <xdr:row>30</xdr:row>
      <xdr:rowOff>27214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C29A2AB7-5A92-57AA-8D25-9B7F58A8F66C}"/>
            </a:ext>
          </a:extLst>
        </xdr:cNvPr>
        <xdr:cNvSpPr txBox="1"/>
      </xdr:nvSpPr>
      <xdr:spPr>
        <a:xfrm>
          <a:off x="272144" y="4744358"/>
          <a:ext cx="943428" cy="45357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200">
              <a:solidFill>
                <a:schemeClr val="bg1">
                  <a:lumMod val="85000"/>
                </a:schemeClr>
              </a:solidFill>
            </a:rPr>
            <a:t>The Project:</a:t>
          </a:r>
          <a:endParaRPr lang="en-ZA" sz="1200"/>
        </a:p>
      </xdr:txBody>
    </xdr:sp>
    <xdr:clientData/>
  </xdr:twoCellAnchor>
  <xdr:twoCellAnchor>
    <xdr:from>
      <xdr:col>0</xdr:col>
      <xdr:colOff>226786</xdr:colOff>
      <xdr:row>29</xdr:row>
      <xdr:rowOff>152978</xdr:rowOff>
    </xdr:from>
    <xdr:to>
      <xdr:col>1</xdr:col>
      <xdr:colOff>491500</xdr:colOff>
      <xdr:row>29</xdr:row>
      <xdr:rowOff>152978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3B9AB5A-33F3-461A-8DC7-9B9785856430}"/>
            </a:ext>
          </a:extLst>
        </xdr:cNvPr>
        <xdr:cNvCxnSpPr/>
      </xdr:nvCxnSpPr>
      <xdr:spPr>
        <a:xfrm flipV="1">
          <a:off x="226786" y="5151335"/>
          <a:ext cx="936000" cy="0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172358</xdr:colOff>
      <xdr:row>30</xdr:row>
      <xdr:rowOff>63499</xdr:rowOff>
    </xdr:from>
    <xdr:to>
      <xdr:col>1</xdr:col>
      <xdr:colOff>607786</xdr:colOff>
      <xdr:row>63</xdr:row>
      <xdr:rowOff>18143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887AE44B-AF03-F052-8846-4F420127DA15}"/>
            </a:ext>
          </a:extLst>
        </xdr:cNvPr>
        <xdr:cNvSpPr txBox="1"/>
      </xdr:nvSpPr>
      <xdr:spPr>
        <a:xfrm>
          <a:off x="172358" y="5234213"/>
          <a:ext cx="1106714" cy="564243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200">
              <a:solidFill>
                <a:schemeClr val="bg1">
                  <a:lumMod val="85000"/>
                </a:schemeClr>
              </a:solidFill>
            </a:rPr>
            <a:t>This was a challanging</a:t>
          </a:r>
          <a:r>
            <a:rPr lang="en-ZA" sz="1200" baseline="0">
              <a:solidFill>
                <a:schemeClr val="bg1">
                  <a:lumMod val="85000"/>
                </a:schemeClr>
              </a:solidFill>
            </a:rPr>
            <a:t> and long project but I am exited to present it. This project was a great way of learning excel. As a beginner in excel I learned some really advance concepts in a short period of time thanks to this project. In the end the long hours paid off and I have a functioning financial calculator in excel.</a:t>
          </a:r>
          <a:endParaRPr lang="en-ZA" sz="12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4</xdr:col>
      <xdr:colOff>117928</xdr:colOff>
      <xdr:row>7</xdr:row>
      <xdr:rowOff>9072</xdr:rowOff>
    </xdr:from>
    <xdr:to>
      <xdr:col>8</xdr:col>
      <xdr:colOff>344714</xdr:colOff>
      <xdr:row>11</xdr:row>
      <xdr:rowOff>63500</xdr:rowOff>
    </xdr:to>
    <xdr:sp macro="[0]!RunForm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AF8FA967-65D2-E47C-CB5A-57BC9240C1BD}"/>
            </a:ext>
          </a:extLst>
        </xdr:cNvPr>
        <xdr:cNvSpPr/>
      </xdr:nvSpPr>
      <xdr:spPr>
        <a:xfrm>
          <a:off x="2803071" y="1215572"/>
          <a:ext cx="2911929" cy="743857"/>
        </a:xfrm>
        <a:prstGeom prst="round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290285</xdr:colOff>
      <xdr:row>8</xdr:row>
      <xdr:rowOff>0</xdr:rowOff>
    </xdr:from>
    <xdr:to>
      <xdr:col>8</xdr:col>
      <xdr:colOff>154213</xdr:colOff>
      <xdr:row>10</xdr:row>
      <xdr:rowOff>99786</xdr:rowOff>
    </xdr:to>
    <xdr:sp macro="[0]!RunForm" textlink="">
      <xdr:nvSpPr>
        <xdr:cNvPr id="18" name="TextBox 17">
          <a:extLst>
            <a:ext uri="{FF2B5EF4-FFF2-40B4-BE49-F238E27FC236}">
              <a16:creationId xmlns:a16="http://schemas.microsoft.com/office/drawing/2014/main" id="{5C11CCA5-3577-5CC2-5F10-ACA747075E39}"/>
            </a:ext>
          </a:extLst>
        </xdr:cNvPr>
        <xdr:cNvSpPr txBox="1"/>
      </xdr:nvSpPr>
      <xdr:spPr>
        <a:xfrm>
          <a:off x="2975428" y="1378857"/>
          <a:ext cx="2549071" cy="44450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ZA" sz="1800">
              <a:solidFill>
                <a:schemeClr val="bg1">
                  <a:lumMod val="85000"/>
                </a:schemeClr>
              </a:solidFill>
            </a:rPr>
            <a:t>Converter</a:t>
          </a:r>
        </a:p>
      </xdr:txBody>
    </xdr:sp>
    <xdr:clientData/>
  </xdr:twoCellAnchor>
  <xdr:twoCellAnchor>
    <xdr:from>
      <xdr:col>4</xdr:col>
      <xdr:colOff>99785</xdr:colOff>
      <xdr:row>12</xdr:row>
      <xdr:rowOff>117928</xdr:rowOff>
    </xdr:from>
    <xdr:to>
      <xdr:col>8</xdr:col>
      <xdr:colOff>326571</xdr:colOff>
      <xdr:row>17</xdr:row>
      <xdr:rowOff>0</xdr:rowOff>
    </xdr:to>
    <xdr:sp macro="" textlink="">
      <xdr:nvSpPr>
        <xdr:cNvPr id="19" name="Rectangle: Rounded Corners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EE44B0B-8865-43C0-810E-9F3E62EEF94A}"/>
            </a:ext>
          </a:extLst>
        </xdr:cNvPr>
        <xdr:cNvSpPr/>
      </xdr:nvSpPr>
      <xdr:spPr>
        <a:xfrm>
          <a:off x="2784928" y="2186214"/>
          <a:ext cx="2911929" cy="743857"/>
        </a:xfrm>
        <a:prstGeom prst="round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226785</xdr:colOff>
      <xdr:row>13</xdr:row>
      <xdr:rowOff>108856</xdr:rowOff>
    </xdr:from>
    <xdr:to>
      <xdr:col>8</xdr:col>
      <xdr:colOff>90713</xdr:colOff>
      <xdr:row>16</xdr:row>
      <xdr:rowOff>36285</xdr:rowOff>
    </xdr:to>
    <xdr:sp macro="" textlink="">
      <xdr:nvSpPr>
        <xdr:cNvPr id="20" name="TextBox 1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EF34AD3-904A-4E58-8635-D56924742D21}"/>
            </a:ext>
          </a:extLst>
        </xdr:cNvPr>
        <xdr:cNvSpPr txBox="1"/>
      </xdr:nvSpPr>
      <xdr:spPr>
        <a:xfrm>
          <a:off x="2911928" y="2349499"/>
          <a:ext cx="2549071" cy="44450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ZA" sz="1800">
              <a:solidFill>
                <a:schemeClr val="bg1">
                  <a:lumMod val="85000"/>
                </a:schemeClr>
              </a:solidFill>
            </a:rPr>
            <a:t>Annuity's</a:t>
          </a:r>
        </a:p>
      </xdr:txBody>
    </xdr:sp>
    <xdr:clientData/>
  </xdr:twoCellAnchor>
  <xdr:twoCellAnchor>
    <xdr:from>
      <xdr:col>4</xdr:col>
      <xdr:colOff>90713</xdr:colOff>
      <xdr:row>18</xdr:row>
      <xdr:rowOff>99785</xdr:rowOff>
    </xdr:from>
    <xdr:to>
      <xdr:col>8</xdr:col>
      <xdr:colOff>317499</xdr:colOff>
      <xdr:row>22</xdr:row>
      <xdr:rowOff>154214</xdr:rowOff>
    </xdr:to>
    <xdr:sp macro="" textlink="">
      <xdr:nvSpPr>
        <xdr:cNvPr id="21" name="Rectangle: Rounded Corners 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23DDBAF-05B8-45BD-9A1B-4FC3D000DE59}"/>
            </a:ext>
          </a:extLst>
        </xdr:cNvPr>
        <xdr:cNvSpPr/>
      </xdr:nvSpPr>
      <xdr:spPr>
        <a:xfrm>
          <a:off x="2775856" y="3202214"/>
          <a:ext cx="2911929" cy="743857"/>
        </a:xfrm>
        <a:prstGeom prst="round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263070</xdr:colOff>
      <xdr:row>19</xdr:row>
      <xdr:rowOff>90713</xdr:rowOff>
    </xdr:from>
    <xdr:to>
      <xdr:col>8</xdr:col>
      <xdr:colOff>126998</xdr:colOff>
      <xdr:row>22</xdr:row>
      <xdr:rowOff>18142</xdr:rowOff>
    </xdr:to>
    <xdr:sp macro="" textlink="">
      <xdr:nvSpPr>
        <xdr:cNvPr id="22" name="TextBox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D1A4151-28B5-4E81-8C8C-97B271380B0F}"/>
            </a:ext>
          </a:extLst>
        </xdr:cNvPr>
        <xdr:cNvSpPr txBox="1"/>
      </xdr:nvSpPr>
      <xdr:spPr>
        <a:xfrm>
          <a:off x="2948213" y="3365499"/>
          <a:ext cx="2549071" cy="44450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ZA" sz="1800">
              <a:solidFill>
                <a:schemeClr val="bg1">
                  <a:lumMod val="85000"/>
                </a:schemeClr>
              </a:solidFill>
            </a:rPr>
            <a:t>Increasing annuities</a:t>
          </a:r>
        </a:p>
      </xdr:txBody>
    </xdr:sp>
    <xdr:clientData/>
  </xdr:twoCellAnchor>
  <xdr:twoCellAnchor>
    <xdr:from>
      <xdr:col>14</xdr:col>
      <xdr:colOff>299356</xdr:colOff>
      <xdr:row>18</xdr:row>
      <xdr:rowOff>81643</xdr:rowOff>
    </xdr:from>
    <xdr:to>
      <xdr:col>18</xdr:col>
      <xdr:colOff>526142</xdr:colOff>
      <xdr:row>22</xdr:row>
      <xdr:rowOff>136072</xdr:rowOff>
    </xdr:to>
    <xdr:sp macro="" textlink="">
      <xdr:nvSpPr>
        <xdr:cNvPr id="23" name="Rectangle: Rounded Corners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425318F-6125-4A3C-B18F-9479FDBA9A6E}"/>
            </a:ext>
          </a:extLst>
        </xdr:cNvPr>
        <xdr:cNvSpPr/>
      </xdr:nvSpPr>
      <xdr:spPr>
        <a:xfrm>
          <a:off x="9697356" y="3184072"/>
          <a:ext cx="2911929" cy="743857"/>
        </a:xfrm>
        <a:prstGeom prst="round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14</xdr:col>
      <xdr:colOff>471713</xdr:colOff>
      <xdr:row>19</xdr:row>
      <xdr:rowOff>72571</xdr:rowOff>
    </xdr:from>
    <xdr:to>
      <xdr:col>18</xdr:col>
      <xdr:colOff>335641</xdr:colOff>
      <xdr:row>22</xdr:row>
      <xdr:rowOff>0</xdr:rowOff>
    </xdr:to>
    <xdr:sp macro="" textlink="">
      <xdr:nvSpPr>
        <xdr:cNvPr id="24" name="TextBox 2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D485065-7B1C-47F4-B44A-AC32C9C74A3A}"/>
            </a:ext>
          </a:extLst>
        </xdr:cNvPr>
        <xdr:cNvSpPr txBox="1"/>
      </xdr:nvSpPr>
      <xdr:spPr>
        <a:xfrm>
          <a:off x="9869713" y="3347357"/>
          <a:ext cx="2549071" cy="44450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ZA" sz="1800">
              <a:solidFill>
                <a:schemeClr val="bg1">
                  <a:lumMod val="85000"/>
                </a:schemeClr>
              </a:solidFill>
            </a:rPr>
            <a:t>Retirment</a:t>
          </a:r>
        </a:p>
      </xdr:txBody>
    </xdr:sp>
    <xdr:clientData/>
  </xdr:twoCellAnchor>
  <xdr:twoCellAnchor>
    <xdr:from>
      <xdr:col>14</xdr:col>
      <xdr:colOff>290286</xdr:colOff>
      <xdr:row>6</xdr:row>
      <xdr:rowOff>90715</xdr:rowOff>
    </xdr:from>
    <xdr:to>
      <xdr:col>18</xdr:col>
      <xdr:colOff>517072</xdr:colOff>
      <xdr:row>10</xdr:row>
      <xdr:rowOff>145144</xdr:rowOff>
    </xdr:to>
    <xdr:sp macro="" textlink="">
      <xdr:nvSpPr>
        <xdr:cNvPr id="27" name="Rectangle: Rounded Corners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514DBA0-2F71-471A-96F7-AF733EC904BF}"/>
            </a:ext>
          </a:extLst>
        </xdr:cNvPr>
        <xdr:cNvSpPr/>
      </xdr:nvSpPr>
      <xdr:spPr>
        <a:xfrm>
          <a:off x="9688286" y="1124858"/>
          <a:ext cx="2911929" cy="743857"/>
        </a:xfrm>
        <a:prstGeom prst="round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14</xdr:col>
      <xdr:colOff>435429</xdr:colOff>
      <xdr:row>7</xdr:row>
      <xdr:rowOff>99786</xdr:rowOff>
    </xdr:from>
    <xdr:to>
      <xdr:col>18</xdr:col>
      <xdr:colOff>299357</xdr:colOff>
      <xdr:row>10</xdr:row>
      <xdr:rowOff>27215</xdr:rowOff>
    </xdr:to>
    <xdr:sp macro="" textlink="">
      <xdr:nvSpPr>
        <xdr:cNvPr id="28" name="TextBox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4E7B02-B370-4BA7-B06D-B2454A4F8769}"/>
            </a:ext>
          </a:extLst>
        </xdr:cNvPr>
        <xdr:cNvSpPr txBox="1"/>
      </xdr:nvSpPr>
      <xdr:spPr>
        <a:xfrm>
          <a:off x="9833429" y="1306286"/>
          <a:ext cx="2549071" cy="44450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ZA" sz="1800">
              <a:solidFill>
                <a:schemeClr val="bg1">
                  <a:lumMod val="85000"/>
                </a:schemeClr>
              </a:solidFill>
            </a:rPr>
            <a:t>Single investment</a:t>
          </a:r>
        </a:p>
      </xdr:txBody>
    </xdr:sp>
    <xdr:clientData/>
  </xdr:twoCellAnchor>
  <xdr:twoCellAnchor>
    <xdr:from>
      <xdr:col>14</xdr:col>
      <xdr:colOff>308430</xdr:colOff>
      <xdr:row>12</xdr:row>
      <xdr:rowOff>81643</xdr:rowOff>
    </xdr:from>
    <xdr:to>
      <xdr:col>18</xdr:col>
      <xdr:colOff>535216</xdr:colOff>
      <xdr:row>16</xdr:row>
      <xdr:rowOff>136072</xdr:rowOff>
    </xdr:to>
    <xdr:sp macro="" textlink="">
      <xdr:nvSpPr>
        <xdr:cNvPr id="31" name="Rectangle: Rounded Corners 3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1BE54F3-07DB-A4B5-565E-BAF4CC3E52F5}"/>
            </a:ext>
          </a:extLst>
        </xdr:cNvPr>
        <xdr:cNvSpPr/>
      </xdr:nvSpPr>
      <xdr:spPr>
        <a:xfrm>
          <a:off x="9706430" y="2149929"/>
          <a:ext cx="2911929" cy="743857"/>
        </a:xfrm>
        <a:prstGeom prst="round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14</xdr:col>
      <xdr:colOff>480787</xdr:colOff>
      <xdr:row>13</xdr:row>
      <xdr:rowOff>72571</xdr:rowOff>
    </xdr:from>
    <xdr:to>
      <xdr:col>18</xdr:col>
      <xdr:colOff>344715</xdr:colOff>
      <xdr:row>16</xdr:row>
      <xdr:rowOff>0</xdr:rowOff>
    </xdr:to>
    <xdr:sp macro="" textlink="">
      <xdr:nvSpPr>
        <xdr:cNvPr id="32" name="TextBox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8A16622-8B84-1A3F-A8BD-B1B23E0CAEC4}"/>
            </a:ext>
          </a:extLst>
        </xdr:cNvPr>
        <xdr:cNvSpPr txBox="1"/>
      </xdr:nvSpPr>
      <xdr:spPr>
        <a:xfrm>
          <a:off x="9878787" y="2313214"/>
          <a:ext cx="2549071" cy="44450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ZA" sz="1800">
              <a:solidFill>
                <a:schemeClr val="bg1">
                  <a:lumMod val="85000"/>
                </a:schemeClr>
              </a:solidFill>
            </a:rPr>
            <a:t>Loans</a:t>
          </a:r>
        </a:p>
        <a:p>
          <a:endParaRPr lang="en-ZA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 editAs="oneCell">
    <xdr:from>
      <xdr:col>8</xdr:col>
      <xdr:colOff>281212</xdr:colOff>
      <xdr:row>19</xdr:row>
      <xdr:rowOff>9072</xdr:rowOff>
    </xdr:from>
    <xdr:to>
      <xdr:col>9</xdr:col>
      <xdr:colOff>235855</xdr:colOff>
      <xdr:row>22</xdr:row>
      <xdr:rowOff>117929</xdr:rowOff>
    </xdr:to>
    <xdr:pic>
      <xdr:nvPicPr>
        <xdr:cNvPr id="36" name="Graphic 35" descr="Information with solid fill">
          <a:extLst>
            <a:ext uri="{FF2B5EF4-FFF2-40B4-BE49-F238E27FC236}">
              <a16:creationId xmlns:a16="http://schemas.microsoft.com/office/drawing/2014/main" id="{1D80B7A3-8AC3-4D3A-A73E-991AFE808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51498" y="3283858"/>
          <a:ext cx="625928" cy="625928"/>
        </a:xfrm>
        <a:prstGeom prst="rect">
          <a:avLst/>
        </a:prstGeom>
      </xdr:spPr>
    </xdr:pic>
    <xdr:clientData/>
  </xdr:twoCellAnchor>
  <xdr:twoCellAnchor editAs="oneCell">
    <xdr:from>
      <xdr:col>18</xdr:col>
      <xdr:colOff>517071</xdr:colOff>
      <xdr:row>19</xdr:row>
      <xdr:rowOff>0</xdr:rowOff>
    </xdr:from>
    <xdr:to>
      <xdr:col>19</xdr:col>
      <xdr:colOff>471713</xdr:colOff>
      <xdr:row>22</xdr:row>
      <xdr:rowOff>108857</xdr:rowOff>
    </xdr:to>
    <xdr:pic>
      <xdr:nvPicPr>
        <xdr:cNvPr id="37" name="Graphic 36" descr="Information with solid fill">
          <a:extLst>
            <a:ext uri="{FF2B5EF4-FFF2-40B4-BE49-F238E27FC236}">
              <a16:creationId xmlns:a16="http://schemas.microsoft.com/office/drawing/2014/main" id="{4DA192B6-4C10-4FB7-AE8A-DE7C59662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600214" y="3274786"/>
          <a:ext cx="625928" cy="625928"/>
        </a:xfrm>
        <a:prstGeom prst="rect">
          <a:avLst/>
        </a:prstGeom>
      </xdr:spPr>
    </xdr:pic>
    <xdr:clientData/>
  </xdr:twoCellAnchor>
  <xdr:twoCellAnchor editAs="oneCell">
    <xdr:from>
      <xdr:col>18</xdr:col>
      <xdr:colOff>508000</xdr:colOff>
      <xdr:row>12</xdr:row>
      <xdr:rowOff>108857</xdr:rowOff>
    </xdr:from>
    <xdr:to>
      <xdr:col>19</xdr:col>
      <xdr:colOff>462642</xdr:colOff>
      <xdr:row>16</xdr:row>
      <xdr:rowOff>45357</xdr:rowOff>
    </xdr:to>
    <xdr:pic>
      <xdr:nvPicPr>
        <xdr:cNvPr id="38" name="Graphic 37" descr="Information with solid fill">
          <a:extLst>
            <a:ext uri="{FF2B5EF4-FFF2-40B4-BE49-F238E27FC236}">
              <a16:creationId xmlns:a16="http://schemas.microsoft.com/office/drawing/2014/main" id="{5172542D-795C-49F4-96A8-618DB528A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591143" y="2177143"/>
          <a:ext cx="625928" cy="625928"/>
        </a:xfrm>
        <a:prstGeom prst="rect">
          <a:avLst/>
        </a:prstGeom>
      </xdr:spPr>
    </xdr:pic>
    <xdr:clientData/>
  </xdr:twoCellAnchor>
  <xdr:twoCellAnchor editAs="oneCell">
    <xdr:from>
      <xdr:col>18</xdr:col>
      <xdr:colOff>480785</xdr:colOff>
      <xdr:row>6</xdr:row>
      <xdr:rowOff>127000</xdr:rowOff>
    </xdr:from>
    <xdr:to>
      <xdr:col>19</xdr:col>
      <xdr:colOff>435427</xdr:colOff>
      <xdr:row>10</xdr:row>
      <xdr:rowOff>63500</xdr:rowOff>
    </xdr:to>
    <xdr:pic>
      <xdr:nvPicPr>
        <xdr:cNvPr id="39" name="Graphic 38" descr="Information with solid fill">
          <a:extLst>
            <a:ext uri="{FF2B5EF4-FFF2-40B4-BE49-F238E27FC236}">
              <a16:creationId xmlns:a16="http://schemas.microsoft.com/office/drawing/2014/main" id="{31963853-A968-4C31-893A-FE6603009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563928" y="1161143"/>
          <a:ext cx="625928" cy="625928"/>
        </a:xfrm>
        <a:prstGeom prst="rect">
          <a:avLst/>
        </a:prstGeom>
      </xdr:spPr>
    </xdr:pic>
    <xdr:clientData/>
  </xdr:twoCellAnchor>
  <xdr:twoCellAnchor editAs="oneCell">
    <xdr:from>
      <xdr:col>8</xdr:col>
      <xdr:colOff>308428</xdr:colOff>
      <xdr:row>7</xdr:row>
      <xdr:rowOff>90714</xdr:rowOff>
    </xdr:from>
    <xdr:to>
      <xdr:col>9</xdr:col>
      <xdr:colOff>263071</xdr:colOff>
      <xdr:row>11</xdr:row>
      <xdr:rowOff>27213</xdr:rowOff>
    </xdr:to>
    <xdr:pic>
      <xdr:nvPicPr>
        <xdr:cNvPr id="40" name="Graphic 39" descr="Information with solid fill">
          <a:extLst>
            <a:ext uri="{FF2B5EF4-FFF2-40B4-BE49-F238E27FC236}">
              <a16:creationId xmlns:a16="http://schemas.microsoft.com/office/drawing/2014/main" id="{A8DF9462-3F55-4CA4-9230-A2C1F22AC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78714" y="1297214"/>
          <a:ext cx="625928" cy="625928"/>
        </a:xfrm>
        <a:prstGeom prst="rect">
          <a:avLst/>
        </a:prstGeom>
      </xdr:spPr>
    </xdr:pic>
    <xdr:clientData/>
  </xdr:twoCellAnchor>
  <xdr:twoCellAnchor editAs="oneCell">
    <xdr:from>
      <xdr:col>8</xdr:col>
      <xdr:colOff>299356</xdr:colOff>
      <xdr:row>13</xdr:row>
      <xdr:rowOff>9071</xdr:rowOff>
    </xdr:from>
    <xdr:to>
      <xdr:col>9</xdr:col>
      <xdr:colOff>253999</xdr:colOff>
      <xdr:row>16</xdr:row>
      <xdr:rowOff>117928</xdr:rowOff>
    </xdr:to>
    <xdr:pic>
      <xdr:nvPicPr>
        <xdr:cNvPr id="41" name="Graphic 40" descr="Information with solid fill">
          <a:extLst>
            <a:ext uri="{FF2B5EF4-FFF2-40B4-BE49-F238E27FC236}">
              <a16:creationId xmlns:a16="http://schemas.microsoft.com/office/drawing/2014/main" id="{77FFC486-B779-4E73-90AA-58DE0F4C6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69642" y="2249714"/>
          <a:ext cx="625928" cy="6259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428625</xdr:colOff>
      <xdr:row>3</xdr:row>
      <xdr:rowOff>153762</xdr:rowOff>
    </xdr:from>
    <xdr:to>
      <xdr:col>7</xdr:col>
      <xdr:colOff>162512</xdr:colOff>
      <xdr:row>8</xdr:row>
      <xdr:rowOff>1362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630511" y="698048"/>
          <a:ext cx="1747744" cy="80282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14</xdr:col>
      <xdr:colOff>489121</xdr:colOff>
      <xdr:row>14</xdr:row>
      <xdr:rowOff>130776</xdr:rowOff>
    </xdr:from>
    <xdr:to>
      <xdr:col>23</xdr:col>
      <xdr:colOff>319216</xdr:colOff>
      <xdr:row>37</xdr:row>
      <xdr:rowOff>303623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345057</xdr:colOff>
      <xdr:row>0</xdr:row>
      <xdr:rowOff>0</xdr:rowOff>
    </xdr:from>
    <xdr:to>
      <xdr:col>1</xdr:col>
      <xdr:colOff>799040</xdr:colOff>
      <xdr:row>3</xdr:row>
      <xdr:rowOff>41355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057" y="0"/>
          <a:ext cx="1940943" cy="1134034"/>
        </a:xfrm>
        <a:prstGeom prst="rect">
          <a:avLst/>
        </a:prstGeom>
      </xdr:spPr>
    </xdr:pic>
    <xdr:clientData/>
  </xdr:twoCellAnchor>
  <xdr:twoCellAnchor>
    <xdr:from>
      <xdr:col>23</xdr:col>
      <xdr:colOff>503696</xdr:colOff>
      <xdr:row>13</xdr:row>
      <xdr:rowOff>154983</xdr:rowOff>
    </xdr:from>
    <xdr:to>
      <xdr:col>25</xdr:col>
      <xdr:colOff>439120</xdr:colOff>
      <xdr:row>27</xdr:row>
      <xdr:rowOff>142069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21736374" y="3151322"/>
          <a:ext cx="1924373" cy="2957594"/>
        </a:xfrm>
        <a:prstGeom prst="round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23</xdr:col>
      <xdr:colOff>787830</xdr:colOff>
      <xdr:row>15</xdr:row>
      <xdr:rowOff>38746</xdr:rowOff>
    </xdr:from>
    <xdr:to>
      <xdr:col>25</xdr:col>
      <xdr:colOff>167898</xdr:colOff>
      <xdr:row>19</xdr:row>
      <xdr:rowOff>90407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 txBox="1"/>
      </xdr:nvSpPr>
      <xdr:spPr>
        <a:xfrm>
          <a:off x="22020508" y="3396712"/>
          <a:ext cx="1369017" cy="865322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Want to see more</a:t>
          </a:r>
          <a:r>
            <a:rPr lang="en-ZA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graphs?</a:t>
          </a:r>
          <a:endParaRPr lang="en-ZA" sz="16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555355</xdr:colOff>
      <xdr:row>21</xdr:row>
      <xdr:rowOff>12917</xdr:rowOff>
    </xdr:from>
    <xdr:to>
      <xdr:col>25</xdr:col>
      <xdr:colOff>335796</xdr:colOff>
      <xdr:row>25</xdr:row>
      <xdr:rowOff>77492</xdr:rowOff>
    </xdr:to>
    <xdr:sp macro="" textlink="">
      <xdr:nvSpPr>
        <xdr:cNvPr id="12" name="Oval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21788033" y="4559086"/>
          <a:ext cx="1769390" cy="1033220"/>
        </a:xfrm>
        <a:prstGeom prst="ellipse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Click here</a:t>
          </a:r>
        </a:p>
      </xdr:txBody>
    </xdr:sp>
    <xdr:clientData/>
  </xdr:twoCellAnchor>
  <xdr:twoCellAnchor>
    <xdr:from>
      <xdr:col>8</xdr:col>
      <xdr:colOff>258535</xdr:colOff>
      <xdr:row>20</xdr:row>
      <xdr:rowOff>13607</xdr:rowOff>
    </xdr:from>
    <xdr:to>
      <xdr:col>9</xdr:col>
      <xdr:colOff>843642</xdr:colOff>
      <xdr:row>22</xdr:row>
      <xdr:rowOff>258535</xdr:rowOff>
    </xdr:to>
    <xdr:sp macro="[0]!RunForm" textlink="">
      <xdr:nvSpPr>
        <xdr:cNvPr id="3" name="ovlConvert">
          <a:extLst>
            <a:ext uri="{FF2B5EF4-FFF2-40B4-BE49-F238E27FC236}">
              <a16:creationId xmlns:a16="http://schemas.microsoft.com/office/drawing/2014/main" id="{BFC24874-2E77-4D49-3615-B568C3C732C4}"/>
            </a:ext>
          </a:extLst>
        </xdr:cNvPr>
        <xdr:cNvSpPr/>
      </xdr:nvSpPr>
      <xdr:spPr>
        <a:xfrm>
          <a:off x="9688285" y="4313464"/>
          <a:ext cx="1496786" cy="693964"/>
        </a:xfrm>
        <a:prstGeom prst="ellipse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8</xdr:col>
      <xdr:colOff>476250</xdr:colOff>
      <xdr:row>21</xdr:row>
      <xdr:rowOff>0</xdr:rowOff>
    </xdr:from>
    <xdr:to>
      <xdr:col>9</xdr:col>
      <xdr:colOff>639534</xdr:colOff>
      <xdr:row>22</xdr:row>
      <xdr:rowOff>122463</xdr:rowOff>
    </xdr:to>
    <xdr:sp macro="[0]!RunForm" textlink="">
      <xdr:nvSpPr>
        <xdr:cNvPr id="5" name="TextBox 4">
          <a:extLst>
            <a:ext uri="{FF2B5EF4-FFF2-40B4-BE49-F238E27FC236}">
              <a16:creationId xmlns:a16="http://schemas.microsoft.com/office/drawing/2014/main" id="{FA22A6B5-088A-F9F3-5B0D-D44589495ADB}"/>
            </a:ext>
          </a:extLst>
        </xdr:cNvPr>
        <xdr:cNvSpPr txBox="1"/>
      </xdr:nvSpPr>
      <xdr:spPr>
        <a:xfrm>
          <a:off x="9906000" y="4476750"/>
          <a:ext cx="1074963" cy="394606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800">
              <a:solidFill>
                <a:schemeClr val="bg1">
                  <a:lumMod val="85000"/>
                </a:schemeClr>
              </a:solidFill>
            </a:rPr>
            <a:t>Convert</a:t>
          </a:r>
          <a:endParaRPr lang="en-ZA" sz="16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571500</xdr:colOff>
      <xdr:row>10</xdr:row>
      <xdr:rowOff>27214</xdr:rowOff>
    </xdr:from>
    <xdr:to>
      <xdr:col>1</xdr:col>
      <xdr:colOff>2721</xdr:colOff>
      <xdr:row>15</xdr:row>
      <xdr:rowOff>57149</xdr:rowOff>
    </xdr:to>
    <xdr:pic>
      <xdr:nvPicPr>
        <xdr:cNvPr id="8" name="Graphic 7" descr="Home with solid fill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745740-2479-0E45-D538-9921DDE35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71500" y="244928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544286</xdr:colOff>
      <xdr:row>17</xdr:row>
      <xdr:rowOff>81643</xdr:rowOff>
    </xdr:from>
    <xdr:to>
      <xdr:col>0</xdr:col>
      <xdr:colOff>1458686</xdr:colOff>
      <xdr:row>21</xdr:row>
      <xdr:rowOff>179614</xdr:rowOff>
    </xdr:to>
    <xdr:pic>
      <xdr:nvPicPr>
        <xdr:cNvPr id="13" name="Graphic 12" descr="Bar graph with upward trend with solid fill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C618C58-8F8C-9B43-95FF-3BA065D42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44286" y="3741964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544286</xdr:colOff>
      <xdr:row>22</xdr:row>
      <xdr:rowOff>108857</xdr:rowOff>
    </xdr:from>
    <xdr:to>
      <xdr:col>0</xdr:col>
      <xdr:colOff>1458686</xdr:colOff>
      <xdr:row>26</xdr:row>
      <xdr:rowOff>57150</xdr:rowOff>
    </xdr:to>
    <xdr:pic>
      <xdr:nvPicPr>
        <xdr:cNvPr id="15" name="Graphic 14" descr="Transfer with solid fill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6760CFF-894C-3D61-DE09-D30994FB0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44286" y="4857750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485467</xdr:colOff>
      <xdr:row>7</xdr:row>
      <xdr:rowOff>11061</xdr:rowOff>
    </xdr:from>
    <xdr:to>
      <xdr:col>23</xdr:col>
      <xdr:colOff>368709</xdr:colOff>
      <xdr:row>21</xdr:row>
      <xdr:rowOff>86033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BDB4B64-2EE0-486E-1B5D-26C04272FB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436306</xdr:colOff>
      <xdr:row>22</xdr:row>
      <xdr:rowOff>35641</xdr:rowOff>
    </xdr:from>
    <xdr:to>
      <xdr:col>23</xdr:col>
      <xdr:colOff>356419</xdr:colOff>
      <xdr:row>37</xdr:row>
      <xdr:rowOff>136422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92306A8-4E4A-82B2-2F8B-7E36345A55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572471</xdr:colOff>
      <xdr:row>5</xdr:row>
      <xdr:rowOff>146951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6957960-8BD6-49C3-975F-4EC57AA3D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68" y="172065"/>
          <a:ext cx="1420503" cy="835209"/>
        </a:xfrm>
        <a:prstGeom prst="rect">
          <a:avLst/>
        </a:prstGeom>
      </xdr:spPr>
    </xdr:pic>
    <xdr:clientData/>
  </xdr:twoCellAnchor>
  <xdr:twoCellAnchor editAs="oneCell">
    <xdr:from>
      <xdr:col>26</xdr:col>
      <xdr:colOff>884904</xdr:colOff>
      <xdr:row>1</xdr:row>
      <xdr:rowOff>12290</xdr:rowOff>
    </xdr:from>
    <xdr:to>
      <xdr:col>27</xdr:col>
      <xdr:colOff>902110</xdr:colOff>
      <xdr:row>6</xdr:row>
      <xdr:rowOff>54078</xdr:rowOff>
    </xdr:to>
    <xdr:pic>
      <xdr:nvPicPr>
        <xdr:cNvPr id="6" name="Graphic 5" descr="Back with solid fill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DC67162-9875-3BA4-4EC5-35A5D2886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1274549" y="184355"/>
          <a:ext cx="914400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293078</xdr:colOff>
      <xdr:row>17</xdr:row>
      <xdr:rowOff>153815</xdr:rowOff>
    </xdr:from>
    <xdr:to>
      <xdr:col>11</xdr:col>
      <xdr:colOff>246185</xdr:colOff>
      <xdr:row>23</xdr:row>
      <xdr:rowOff>106922</xdr:rowOff>
    </xdr:to>
    <xdr:sp macro="" textlink="">
      <xdr:nvSpPr>
        <xdr:cNvPr id="28" name="Speech Bubble: Rectangle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 rot="10800000">
          <a:off x="8478009" y="3412022"/>
          <a:ext cx="1963210" cy="1148659"/>
        </a:xfrm>
        <a:prstGeom prst="wedgeRectCallout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406435</xdr:colOff>
      <xdr:row>5</xdr:row>
      <xdr:rowOff>166029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71450"/>
          <a:ext cx="1073185" cy="851829"/>
        </a:xfrm>
        <a:prstGeom prst="rect">
          <a:avLst/>
        </a:prstGeom>
      </xdr:spPr>
    </xdr:pic>
    <xdr:clientData/>
  </xdr:twoCellAnchor>
  <xdr:twoCellAnchor>
    <xdr:from>
      <xdr:col>24</xdr:col>
      <xdr:colOff>437097</xdr:colOff>
      <xdr:row>4</xdr:row>
      <xdr:rowOff>146504</xdr:rowOff>
    </xdr:from>
    <xdr:to>
      <xdr:col>26</xdr:col>
      <xdr:colOff>660812</xdr:colOff>
      <xdr:row>37</xdr:row>
      <xdr:rowOff>174347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9342580" y="842814"/>
          <a:ext cx="1563784" cy="6596809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24</xdr:col>
      <xdr:colOff>432443</xdr:colOff>
      <xdr:row>12</xdr:row>
      <xdr:rowOff>32606</xdr:rowOff>
    </xdr:from>
    <xdr:to>
      <xdr:col>25</xdr:col>
      <xdr:colOff>327670</xdr:colOff>
      <xdr:row>14</xdr:row>
      <xdr:rowOff>170596</xdr:rowOff>
    </xdr:to>
    <xdr:pic>
      <xdr:nvPicPr>
        <xdr:cNvPr id="5" name="Graphic 4" descr="Home with solid fill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9337926" y="2292330"/>
          <a:ext cx="565261" cy="571542"/>
        </a:xfrm>
        <a:prstGeom prst="rect">
          <a:avLst/>
        </a:prstGeom>
      </xdr:spPr>
    </xdr:pic>
    <xdr:clientData/>
  </xdr:twoCellAnchor>
  <xdr:twoCellAnchor>
    <xdr:from>
      <xdr:col>25</xdr:col>
      <xdr:colOff>299364</xdr:colOff>
      <xdr:row>12</xdr:row>
      <xdr:rowOff>38047</xdr:rowOff>
    </xdr:from>
    <xdr:to>
      <xdr:col>26</xdr:col>
      <xdr:colOff>523078</xdr:colOff>
      <xdr:row>15</xdr:row>
      <xdr:rowOff>40725</xdr:rowOff>
    </xdr:to>
    <xdr:sp macro="" textlink="">
      <xdr:nvSpPr>
        <xdr:cNvPr id="6" name="TextBox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19060330" y="2297771"/>
          <a:ext cx="893748" cy="633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ZA" sz="2000">
              <a:solidFill>
                <a:schemeClr val="bg1">
                  <a:lumMod val="85000"/>
                </a:schemeClr>
              </a:solidFill>
            </a:rPr>
            <a:t>Home</a:t>
          </a:r>
        </a:p>
      </xdr:txBody>
    </xdr:sp>
    <xdr:clientData/>
  </xdr:twoCellAnchor>
  <xdr:twoCellAnchor editAs="oneCell">
    <xdr:from>
      <xdr:col>24</xdr:col>
      <xdr:colOff>514401</xdr:colOff>
      <xdr:row>16</xdr:row>
      <xdr:rowOff>84384</xdr:rowOff>
    </xdr:from>
    <xdr:to>
      <xdr:col>25</xdr:col>
      <xdr:colOff>326526</xdr:colOff>
      <xdr:row>19</xdr:row>
      <xdr:rowOff>3377</xdr:rowOff>
    </xdr:to>
    <xdr:pic>
      <xdr:nvPicPr>
        <xdr:cNvPr id="13" name="Graphic 12" descr="Transfer with solid fill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6682053" y="2911514"/>
          <a:ext cx="485775" cy="492064"/>
        </a:xfrm>
        <a:prstGeom prst="rect">
          <a:avLst/>
        </a:prstGeom>
      </xdr:spPr>
    </xdr:pic>
    <xdr:clientData/>
  </xdr:twoCellAnchor>
  <xdr:twoCellAnchor editAs="oneCell">
    <xdr:from>
      <xdr:col>24</xdr:col>
      <xdr:colOff>454995</xdr:colOff>
      <xdr:row>20</xdr:row>
      <xdr:rowOff>197643</xdr:rowOff>
    </xdr:from>
    <xdr:to>
      <xdr:col>25</xdr:col>
      <xdr:colOff>362370</xdr:colOff>
      <xdr:row>23</xdr:row>
      <xdr:rowOff>115964</xdr:rowOff>
    </xdr:to>
    <xdr:pic>
      <xdr:nvPicPr>
        <xdr:cNvPr id="16" name="Graphic 15" descr="Hockey Stick Curve Graph with solid fill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8545926" y="3994505"/>
          <a:ext cx="577409" cy="575218"/>
        </a:xfrm>
        <a:prstGeom prst="rect">
          <a:avLst/>
        </a:prstGeom>
      </xdr:spPr>
    </xdr:pic>
    <xdr:clientData/>
  </xdr:twoCellAnchor>
  <xdr:twoCellAnchor>
    <xdr:from>
      <xdr:col>25</xdr:col>
      <xdr:colOff>341018</xdr:colOff>
      <xdr:row>16</xdr:row>
      <xdr:rowOff>73341</xdr:rowOff>
    </xdr:from>
    <xdr:to>
      <xdr:col>26</xdr:col>
      <xdr:colOff>567355</xdr:colOff>
      <xdr:row>19</xdr:row>
      <xdr:rowOff>153831</xdr:rowOff>
    </xdr:to>
    <xdr:sp macro="" textlink="">
      <xdr:nvSpPr>
        <xdr:cNvPr id="17" name="TextBox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 txBox="1"/>
      </xdr:nvSpPr>
      <xdr:spPr>
        <a:xfrm>
          <a:off x="17182322" y="2900471"/>
          <a:ext cx="899990" cy="6105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400">
              <a:solidFill>
                <a:schemeClr val="bg1">
                  <a:lumMod val="85000"/>
                </a:schemeClr>
              </a:solidFill>
            </a:rPr>
            <a:t>Chaning</a:t>
          </a:r>
          <a:r>
            <a:rPr lang="en-ZA" sz="1400" baseline="0">
              <a:solidFill>
                <a:schemeClr val="bg1">
                  <a:lumMod val="85000"/>
                </a:schemeClr>
              </a:solidFill>
            </a:rPr>
            <a:t> interest</a:t>
          </a:r>
          <a:endParaRPr lang="en-ZA" sz="14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25</xdr:col>
      <xdr:colOff>318356</xdr:colOff>
      <xdr:row>21</xdr:row>
      <xdr:rowOff>21923</xdr:rowOff>
    </xdr:from>
    <xdr:to>
      <xdr:col>26</xdr:col>
      <xdr:colOff>611367</xdr:colOff>
      <xdr:row>24</xdr:row>
      <xdr:rowOff>106323</xdr:rowOff>
    </xdr:to>
    <xdr:sp macro="" textlink="">
      <xdr:nvSpPr>
        <xdr:cNvPr id="18" name="TextBox 1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 txBox="1"/>
      </xdr:nvSpPr>
      <xdr:spPr>
        <a:xfrm>
          <a:off x="19079322" y="4042130"/>
          <a:ext cx="963045" cy="7412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400">
              <a:solidFill>
                <a:schemeClr val="bg1">
                  <a:lumMod val="85000"/>
                </a:schemeClr>
              </a:solidFill>
            </a:rPr>
            <a:t>Graphs &amp; timeline</a:t>
          </a:r>
        </a:p>
      </xdr:txBody>
    </xdr:sp>
    <xdr:clientData/>
  </xdr:twoCellAnchor>
  <xdr:twoCellAnchor editAs="oneCell">
    <xdr:from>
      <xdr:col>25</xdr:col>
      <xdr:colOff>161925</xdr:colOff>
      <xdr:row>1</xdr:row>
      <xdr:rowOff>95250</xdr:rowOff>
    </xdr:from>
    <xdr:to>
      <xdr:col>26</xdr:col>
      <xdr:colOff>283306</xdr:colOff>
      <xdr:row>6</xdr:row>
      <xdr:rowOff>40787</xdr:rowOff>
    </xdr:to>
    <xdr:pic>
      <xdr:nvPicPr>
        <xdr:cNvPr id="3" name="Graphic 2" descr="Hamburger Menu Icon with solid fill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6830675" y="266700"/>
          <a:ext cx="788132" cy="812556"/>
        </a:xfrm>
        <a:prstGeom prst="rect">
          <a:avLst/>
        </a:prstGeom>
      </xdr:spPr>
    </xdr:pic>
    <xdr:clientData/>
  </xdr:twoCellAnchor>
  <xdr:twoCellAnchor editAs="oneCell">
    <xdr:from>
      <xdr:col>6</xdr:col>
      <xdr:colOff>136767</xdr:colOff>
      <xdr:row>6</xdr:row>
      <xdr:rowOff>166078</xdr:rowOff>
    </xdr:from>
    <xdr:to>
      <xdr:col>6</xdr:col>
      <xdr:colOff>664305</xdr:colOff>
      <xdr:row>9</xdr:row>
      <xdr:rowOff>166077</xdr:rowOff>
    </xdr:to>
    <xdr:pic>
      <xdr:nvPicPr>
        <xdr:cNvPr id="20" name="Graphic 19" descr="Single gear with solid fill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888152" y="1240693"/>
          <a:ext cx="527538" cy="52753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527538</xdr:colOff>
      <xdr:row>9</xdr:row>
      <xdr:rowOff>175846</xdr:rowOff>
    </xdr:to>
    <xdr:pic>
      <xdr:nvPicPr>
        <xdr:cNvPr id="21" name="Graphic 20" descr="Single gear with solid fill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055077" y="1250462"/>
          <a:ext cx="527538" cy="527538"/>
        </a:xfrm>
        <a:prstGeom prst="rect">
          <a:avLst/>
        </a:prstGeom>
      </xdr:spPr>
    </xdr:pic>
    <xdr:clientData/>
  </xdr:twoCellAnchor>
  <xdr:twoCellAnchor>
    <xdr:from>
      <xdr:col>8</xdr:col>
      <xdr:colOff>308987</xdr:colOff>
      <xdr:row>15</xdr:row>
      <xdr:rowOff>82063</xdr:rowOff>
    </xdr:from>
    <xdr:to>
      <xdr:col>23</xdr:col>
      <xdr:colOff>445478</xdr:colOff>
      <xdr:row>16</xdr:row>
      <xdr:rowOff>82063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5854002" y="2977663"/>
          <a:ext cx="10159722" cy="175846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8</xdr:col>
      <xdr:colOff>231110</xdr:colOff>
      <xdr:row>12</xdr:row>
      <xdr:rowOff>122255</xdr:rowOff>
    </xdr:from>
    <xdr:to>
      <xdr:col>8</xdr:col>
      <xdr:colOff>459711</xdr:colOff>
      <xdr:row>16</xdr:row>
      <xdr:rowOff>71175</xdr:rowOff>
    </xdr:to>
    <xdr:sp macro="" textlink="">
      <xdr:nvSpPr>
        <xdr:cNvPr id="26" name="Arrow: Up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5776125" y="2384809"/>
          <a:ext cx="228601" cy="757812"/>
        </a:xfrm>
        <a:prstGeom prst="upArrow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23</xdr:col>
      <xdr:colOff>288891</xdr:colOff>
      <xdr:row>15</xdr:row>
      <xdr:rowOff>82900</xdr:rowOff>
    </xdr:from>
    <xdr:to>
      <xdr:col>23</xdr:col>
      <xdr:colOff>510794</xdr:colOff>
      <xdr:row>19</xdr:row>
      <xdr:rowOff>115555</xdr:rowOff>
    </xdr:to>
    <xdr:sp macro="" textlink="">
      <xdr:nvSpPr>
        <xdr:cNvPr id="27" name="Arrow: Down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15857137" y="2978500"/>
          <a:ext cx="221903" cy="759486"/>
        </a:xfrm>
        <a:prstGeom prst="downArrow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15</xdr:col>
      <xdr:colOff>550984</xdr:colOff>
      <xdr:row>17</xdr:row>
      <xdr:rowOff>117232</xdr:rowOff>
    </xdr:from>
    <xdr:to>
      <xdr:col>18</xdr:col>
      <xdr:colOff>504092</xdr:colOff>
      <xdr:row>23</xdr:row>
      <xdr:rowOff>70339</xdr:rowOff>
    </xdr:to>
    <xdr:sp macro="" textlink="">
      <xdr:nvSpPr>
        <xdr:cNvPr id="29" name="Speech Bubble: Rectangle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 rot="10800000">
          <a:off x="10773507" y="3411417"/>
          <a:ext cx="1957754" cy="1101968"/>
        </a:xfrm>
        <a:prstGeom prst="wedgeRectCallout">
          <a:avLst/>
        </a:prstGeom>
        <a:solidFill>
          <a:srgbClr val="92D050"/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12</xdr:col>
      <xdr:colOff>93785</xdr:colOff>
      <xdr:row>9</xdr:row>
      <xdr:rowOff>82062</xdr:rowOff>
    </xdr:from>
    <xdr:to>
      <xdr:col>15</xdr:col>
      <xdr:colOff>46893</xdr:colOff>
      <xdr:row>14</xdr:row>
      <xdr:rowOff>58616</xdr:rowOff>
    </xdr:to>
    <xdr:sp macro="" textlink="">
      <xdr:nvSpPr>
        <xdr:cNvPr id="30" name="Speech Bubble: Rectangle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8311662" y="1688124"/>
          <a:ext cx="1957754" cy="1101969"/>
        </a:xfrm>
        <a:prstGeom prst="wedgeRectCallou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19</xdr:col>
      <xdr:colOff>656491</xdr:colOff>
      <xdr:row>9</xdr:row>
      <xdr:rowOff>82061</xdr:rowOff>
    </xdr:from>
    <xdr:to>
      <xdr:col>22</xdr:col>
      <xdr:colOff>609599</xdr:colOff>
      <xdr:row>14</xdr:row>
      <xdr:rowOff>58615</xdr:rowOff>
    </xdr:to>
    <xdr:sp macro="" textlink="">
      <xdr:nvSpPr>
        <xdr:cNvPr id="31" name="Speech Bubble: Rectangle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13551876" y="1688123"/>
          <a:ext cx="1957754" cy="1101969"/>
        </a:xfrm>
        <a:prstGeom prst="wedgeRectCallout">
          <a:avLst/>
        </a:prstGeom>
        <a:solidFill>
          <a:schemeClr val="accent3">
            <a:lumMod val="7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8</xdr:col>
      <xdr:colOff>381000</xdr:colOff>
      <xdr:row>18</xdr:row>
      <xdr:rowOff>105104</xdr:rowOff>
    </xdr:from>
    <xdr:to>
      <xdr:col>9</xdr:col>
      <xdr:colOff>643758</xdr:colOff>
      <xdr:row>20</xdr:row>
      <xdr:rowOff>13138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8565931" y="3560380"/>
          <a:ext cx="932793" cy="249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400">
              <a:solidFill>
                <a:sysClr val="windowText" lastClr="000000"/>
              </a:solidFill>
            </a:rPr>
            <a:t>Interest</a:t>
          </a:r>
          <a:endParaRPr lang="en-ZA" sz="14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8</xdr:col>
      <xdr:colOff>446688</xdr:colOff>
      <xdr:row>20</xdr:row>
      <xdr:rowOff>118240</xdr:rowOff>
    </xdr:from>
    <xdr:to>
      <xdr:col>9</xdr:col>
      <xdr:colOff>670032</xdr:colOff>
      <xdr:row>21</xdr:row>
      <xdr:rowOff>118240</xdr:rowOff>
    </xdr:to>
    <xdr:sp macro="" textlink="">
      <xdr:nvSpPr>
        <xdr:cNvPr id="22548" name="Text Box 20">
          <a:extLst>
            <a:ext uri="{FF2B5EF4-FFF2-40B4-BE49-F238E27FC236}">
              <a16:creationId xmlns:a16="http://schemas.microsoft.com/office/drawing/2014/main" id="{00000000-0008-0000-0B00-000014580000}"/>
            </a:ext>
          </a:extLst>
        </xdr:cNvPr>
        <xdr:cNvSpPr txBox="1">
          <a:spLocks noChangeArrowheads="1"/>
        </xdr:cNvSpPr>
      </xdr:nvSpPr>
      <xdr:spPr bwMode="auto">
        <a:xfrm>
          <a:off x="8631619" y="3915102"/>
          <a:ext cx="893379" cy="2233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ZA" sz="1400" b="0" i="0" u="none" strike="noStrike" baseline="0">
              <a:solidFill>
                <a:srgbClr val="000000"/>
              </a:solidFill>
              <a:latin typeface="Rockwell"/>
            </a:rPr>
            <a:t>Months</a:t>
          </a:r>
        </a:p>
      </xdr:txBody>
    </xdr:sp>
    <xdr:clientData/>
  </xdr:twoCellAnchor>
  <xdr:twoCellAnchor>
    <xdr:from>
      <xdr:col>8</xdr:col>
      <xdr:colOff>407275</xdr:colOff>
      <xdr:row>22</xdr:row>
      <xdr:rowOff>0</xdr:rowOff>
    </xdr:from>
    <xdr:to>
      <xdr:col>11</xdr:col>
      <xdr:colOff>52551</xdr:colOff>
      <xdr:row>22</xdr:row>
      <xdr:rowOff>249621</xdr:rowOff>
    </xdr:to>
    <xdr:sp macro="" textlink="">
      <xdr:nvSpPr>
        <xdr:cNvPr id="22549" name="Text Box 21">
          <a:extLst>
            <a:ext uri="{FF2B5EF4-FFF2-40B4-BE49-F238E27FC236}">
              <a16:creationId xmlns:a16="http://schemas.microsoft.com/office/drawing/2014/main" id="{00000000-0008-0000-0B00-000015580000}"/>
            </a:ext>
          </a:extLst>
        </xdr:cNvPr>
        <xdr:cNvSpPr txBox="1">
          <a:spLocks noChangeArrowheads="1"/>
        </xdr:cNvSpPr>
      </xdr:nvSpPr>
      <xdr:spPr bwMode="auto">
        <a:xfrm>
          <a:off x="8592206" y="4191000"/>
          <a:ext cx="1655379" cy="24962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ctr" rtl="0">
            <a:defRPr sz="1000"/>
          </a:pPr>
          <a:r>
            <a:rPr lang="en-ZA" sz="1400" b="0" i="0" u="none" strike="noStrike" baseline="0">
              <a:solidFill>
                <a:srgbClr val="000000"/>
              </a:solidFill>
              <a:latin typeface="Rockwell"/>
            </a:rPr>
            <a:t>Effective monthly</a:t>
          </a:r>
        </a:p>
      </xdr:txBody>
    </xdr:sp>
    <xdr:clientData/>
  </xdr:twoCellAnchor>
  <xdr:twoCellAnchor>
    <xdr:from>
      <xdr:col>12</xdr:col>
      <xdr:colOff>153007</xdr:colOff>
      <xdr:row>9</xdr:row>
      <xdr:rowOff>164123</xdr:rowOff>
    </xdr:from>
    <xdr:to>
      <xdr:col>13</xdr:col>
      <xdr:colOff>415766</xdr:colOff>
      <xdr:row>10</xdr:row>
      <xdr:rowOff>150985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 txBox="1"/>
      </xdr:nvSpPr>
      <xdr:spPr>
        <a:xfrm>
          <a:off x="11018076" y="1727537"/>
          <a:ext cx="932793" cy="249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400">
              <a:solidFill>
                <a:sysClr val="windowText" lastClr="000000"/>
              </a:solidFill>
            </a:rPr>
            <a:t>Interest</a:t>
          </a:r>
          <a:endParaRPr lang="en-ZA" sz="14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12</xdr:col>
      <xdr:colOff>218695</xdr:colOff>
      <xdr:row>11</xdr:row>
      <xdr:rowOff>98432</xdr:rowOff>
    </xdr:from>
    <xdr:to>
      <xdr:col>13</xdr:col>
      <xdr:colOff>442040</xdr:colOff>
      <xdr:row>12</xdr:row>
      <xdr:rowOff>59019</xdr:rowOff>
    </xdr:to>
    <xdr:sp macro="" textlink="">
      <xdr:nvSpPr>
        <xdr:cNvPr id="9" name="Text Box 20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>
          <a:spLocks noChangeArrowheads="1"/>
        </xdr:cNvSpPr>
      </xdr:nvSpPr>
      <xdr:spPr bwMode="auto">
        <a:xfrm>
          <a:off x="11083764" y="2095398"/>
          <a:ext cx="893379" cy="2233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ZA" sz="1400" b="0" i="0" u="none" strike="noStrike" baseline="0">
              <a:solidFill>
                <a:srgbClr val="000000"/>
              </a:solidFill>
              <a:latin typeface="Rockwell"/>
            </a:rPr>
            <a:t>Months</a:t>
          </a:r>
        </a:p>
      </xdr:txBody>
    </xdr:sp>
    <xdr:clientData/>
  </xdr:twoCellAnchor>
  <xdr:twoCellAnchor>
    <xdr:from>
      <xdr:col>12</xdr:col>
      <xdr:colOff>179282</xdr:colOff>
      <xdr:row>12</xdr:row>
      <xdr:rowOff>98433</xdr:rowOff>
    </xdr:from>
    <xdr:to>
      <xdr:col>14</xdr:col>
      <xdr:colOff>494592</xdr:colOff>
      <xdr:row>13</xdr:row>
      <xdr:rowOff>85295</xdr:rowOff>
    </xdr:to>
    <xdr:sp macro="" textlink="">
      <xdr:nvSpPr>
        <xdr:cNvPr id="10" name="Text Box 21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 txBox="1">
          <a:spLocks noChangeArrowheads="1"/>
        </xdr:cNvSpPr>
      </xdr:nvSpPr>
      <xdr:spPr bwMode="auto">
        <a:xfrm>
          <a:off x="11044351" y="2358157"/>
          <a:ext cx="1655379" cy="24962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ctr" rtl="0">
            <a:defRPr sz="1000"/>
          </a:pPr>
          <a:r>
            <a:rPr lang="en-ZA" sz="1400" b="0" i="0" u="none" strike="noStrike" baseline="0">
              <a:solidFill>
                <a:srgbClr val="000000"/>
              </a:solidFill>
              <a:latin typeface="Rockwell"/>
            </a:rPr>
            <a:t>Effective monthly</a:t>
          </a:r>
        </a:p>
      </xdr:txBody>
    </xdr:sp>
    <xdr:clientData/>
  </xdr:twoCellAnchor>
  <xdr:twoCellAnchor>
    <xdr:from>
      <xdr:col>16</xdr:col>
      <xdr:colOff>66093</xdr:colOff>
      <xdr:row>18</xdr:row>
      <xdr:rowOff>61245</xdr:rowOff>
    </xdr:from>
    <xdr:to>
      <xdr:col>17</xdr:col>
      <xdr:colOff>328852</xdr:colOff>
      <xdr:row>19</xdr:row>
      <xdr:rowOff>140072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/>
      </xdr:nvSpPr>
      <xdr:spPr>
        <a:xfrm>
          <a:off x="13611300" y="3516521"/>
          <a:ext cx="932793" cy="249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400">
              <a:solidFill>
                <a:sysClr val="windowText" lastClr="000000"/>
              </a:solidFill>
            </a:rPr>
            <a:t>Interest</a:t>
          </a:r>
          <a:endParaRPr lang="en-ZA" sz="14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16</xdr:col>
      <xdr:colOff>131781</xdr:colOff>
      <xdr:row>20</xdr:row>
      <xdr:rowOff>48106</xdr:rowOff>
    </xdr:from>
    <xdr:to>
      <xdr:col>17</xdr:col>
      <xdr:colOff>355126</xdr:colOff>
      <xdr:row>21</xdr:row>
      <xdr:rowOff>48106</xdr:rowOff>
    </xdr:to>
    <xdr:sp macro="" textlink="">
      <xdr:nvSpPr>
        <xdr:cNvPr id="12" name="Text Box 20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>
          <a:spLocks noChangeArrowheads="1"/>
        </xdr:cNvSpPr>
      </xdr:nvSpPr>
      <xdr:spPr bwMode="auto">
        <a:xfrm>
          <a:off x="13676988" y="3844968"/>
          <a:ext cx="893379" cy="2233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ZA" sz="1400" b="0" i="0" u="none" strike="noStrike" baseline="0">
              <a:solidFill>
                <a:srgbClr val="000000"/>
              </a:solidFill>
              <a:latin typeface="Rockwell"/>
            </a:rPr>
            <a:t>Months</a:t>
          </a:r>
        </a:p>
      </xdr:txBody>
    </xdr:sp>
    <xdr:clientData/>
  </xdr:twoCellAnchor>
  <xdr:twoCellAnchor>
    <xdr:from>
      <xdr:col>16</xdr:col>
      <xdr:colOff>92368</xdr:colOff>
      <xdr:row>21</xdr:row>
      <xdr:rowOff>126934</xdr:rowOff>
    </xdr:from>
    <xdr:to>
      <xdr:col>18</xdr:col>
      <xdr:colOff>407678</xdr:colOff>
      <xdr:row>22</xdr:row>
      <xdr:rowOff>205762</xdr:rowOff>
    </xdr:to>
    <xdr:sp macro="" textlink="">
      <xdr:nvSpPr>
        <xdr:cNvPr id="14" name="Text Box 21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>
          <a:spLocks noChangeArrowheads="1"/>
        </xdr:cNvSpPr>
      </xdr:nvSpPr>
      <xdr:spPr bwMode="auto">
        <a:xfrm>
          <a:off x="13637575" y="4147141"/>
          <a:ext cx="1655379" cy="24962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ctr" rtl="0">
            <a:defRPr sz="1000"/>
          </a:pPr>
          <a:r>
            <a:rPr lang="en-ZA" sz="1400" b="0" i="0" u="none" strike="noStrike" baseline="0">
              <a:solidFill>
                <a:srgbClr val="000000"/>
              </a:solidFill>
              <a:latin typeface="Rockwell"/>
            </a:rPr>
            <a:t>Effective monthly</a:t>
          </a:r>
        </a:p>
      </xdr:txBody>
    </xdr:sp>
    <xdr:clientData/>
  </xdr:twoCellAnchor>
  <xdr:twoCellAnchor>
    <xdr:from>
      <xdr:col>20</xdr:col>
      <xdr:colOff>144517</xdr:colOff>
      <xdr:row>9</xdr:row>
      <xdr:rowOff>170792</xdr:rowOff>
    </xdr:from>
    <xdr:to>
      <xdr:col>21</xdr:col>
      <xdr:colOff>407276</xdr:colOff>
      <xdr:row>10</xdr:row>
      <xdr:rowOff>157654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 txBox="1"/>
      </xdr:nvSpPr>
      <xdr:spPr>
        <a:xfrm>
          <a:off x="16369862" y="1734206"/>
          <a:ext cx="932793" cy="249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400">
              <a:solidFill>
                <a:sysClr val="windowText" lastClr="000000"/>
              </a:solidFill>
            </a:rPr>
            <a:t>Interest</a:t>
          </a:r>
          <a:endParaRPr lang="en-ZA" sz="14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20</xdr:col>
      <xdr:colOff>210205</xdr:colOff>
      <xdr:row>11</xdr:row>
      <xdr:rowOff>78825</xdr:rowOff>
    </xdr:from>
    <xdr:to>
      <xdr:col>21</xdr:col>
      <xdr:colOff>433550</xdr:colOff>
      <xdr:row>12</xdr:row>
      <xdr:rowOff>39412</xdr:rowOff>
    </xdr:to>
    <xdr:sp macro="" textlink="">
      <xdr:nvSpPr>
        <xdr:cNvPr id="19" name="Text Box 20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 txBox="1">
          <a:spLocks noChangeArrowheads="1"/>
        </xdr:cNvSpPr>
      </xdr:nvSpPr>
      <xdr:spPr bwMode="auto">
        <a:xfrm>
          <a:off x="16435550" y="2075791"/>
          <a:ext cx="893379" cy="2233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ZA" sz="1400" b="0" i="0" u="none" strike="noStrike" baseline="0">
              <a:solidFill>
                <a:srgbClr val="000000"/>
              </a:solidFill>
              <a:latin typeface="Rockwell"/>
            </a:rPr>
            <a:t>Months</a:t>
          </a:r>
        </a:p>
      </xdr:txBody>
    </xdr:sp>
    <xdr:clientData/>
  </xdr:twoCellAnchor>
  <xdr:twoCellAnchor>
    <xdr:from>
      <xdr:col>20</xdr:col>
      <xdr:colOff>170792</xdr:colOff>
      <xdr:row>12</xdr:row>
      <xdr:rowOff>105102</xdr:rowOff>
    </xdr:from>
    <xdr:to>
      <xdr:col>22</xdr:col>
      <xdr:colOff>486102</xdr:colOff>
      <xdr:row>13</xdr:row>
      <xdr:rowOff>91964</xdr:rowOff>
    </xdr:to>
    <xdr:sp macro="" textlink="">
      <xdr:nvSpPr>
        <xdr:cNvPr id="22" name="Text Box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 txBox="1">
          <a:spLocks noChangeArrowheads="1"/>
        </xdr:cNvSpPr>
      </xdr:nvSpPr>
      <xdr:spPr bwMode="auto">
        <a:xfrm>
          <a:off x="16396137" y="2364826"/>
          <a:ext cx="1655379" cy="24962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ctr" rtl="0">
            <a:defRPr sz="1000"/>
          </a:pPr>
          <a:r>
            <a:rPr lang="en-ZA" sz="1400" b="0" i="0" u="none" strike="noStrike" baseline="0">
              <a:solidFill>
                <a:srgbClr val="000000"/>
              </a:solidFill>
              <a:latin typeface="Rockwell"/>
            </a:rPr>
            <a:t>Effective monthly</a:t>
          </a:r>
        </a:p>
      </xdr:txBody>
    </xdr:sp>
    <xdr:clientData/>
  </xdr:twoCellAnchor>
  <xdr:twoCellAnchor>
    <xdr:from>
      <xdr:col>9</xdr:col>
      <xdr:colOff>591206</xdr:colOff>
      <xdr:row>18</xdr:row>
      <xdr:rowOff>105104</xdr:rowOff>
    </xdr:from>
    <xdr:to>
      <xdr:col>11</xdr:col>
      <xdr:colOff>0</xdr:colOff>
      <xdr:row>20</xdr:row>
      <xdr:rowOff>13138</xdr:rowOff>
    </xdr:to>
    <xdr:sp macro="" textlink="'Convert-BE'!J14">
      <xdr:nvSpPr>
        <xdr:cNvPr id="24" name="TextBox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 txBox="1"/>
      </xdr:nvSpPr>
      <xdr:spPr>
        <a:xfrm>
          <a:off x="9446172" y="3560380"/>
          <a:ext cx="748862" cy="24962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143E08B-2890-4DB3-9F33-75AC5E8F73AA}" type="TxLink">
            <a:rPr lang="en-US" sz="1400" b="1" i="0" u="none" strike="noStrike">
              <a:solidFill>
                <a:srgbClr val="000000"/>
              </a:solidFill>
              <a:latin typeface="Rockwell"/>
            </a:rPr>
            <a:pPr algn="ctr"/>
            <a:t>1,00%</a:t>
          </a:fld>
          <a:endParaRPr lang="en-US" sz="1400" b="1"/>
        </a:p>
      </xdr:txBody>
    </xdr:sp>
    <xdr:clientData/>
  </xdr:twoCellAnchor>
  <xdr:twoCellAnchor>
    <xdr:from>
      <xdr:col>9</xdr:col>
      <xdr:colOff>595250</xdr:colOff>
      <xdr:row>20</xdr:row>
      <xdr:rowOff>91966</xdr:rowOff>
    </xdr:from>
    <xdr:to>
      <xdr:col>11</xdr:col>
      <xdr:colOff>4044</xdr:colOff>
      <xdr:row>21</xdr:row>
      <xdr:rowOff>118241</xdr:rowOff>
    </xdr:to>
    <xdr:sp macro="" textlink="$D$26">
      <xdr:nvSpPr>
        <xdr:cNvPr id="25" name="TextBox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 txBox="1"/>
      </xdr:nvSpPr>
      <xdr:spPr>
        <a:xfrm>
          <a:off x="9450216" y="3888828"/>
          <a:ext cx="748862" cy="2496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975820-B14B-49CB-8DAC-4D4503E3AFFD}" type="TxLink">
            <a:rPr lang="en-US" sz="1400" b="1" i="0" u="none" strike="noStrike">
              <a:solidFill>
                <a:sysClr val="windowText" lastClr="000000"/>
              </a:solidFill>
              <a:latin typeface="Rockwell"/>
            </a:rPr>
            <a:pPr algn="ctr"/>
            <a:t>12</a:t>
          </a:fld>
          <a:endParaRPr lang="en-ZA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415766</xdr:colOff>
      <xdr:row>9</xdr:row>
      <xdr:rowOff>190399</xdr:rowOff>
    </xdr:from>
    <xdr:to>
      <xdr:col>14</xdr:col>
      <xdr:colOff>494593</xdr:colOff>
      <xdr:row>11</xdr:row>
      <xdr:rowOff>6467</xdr:rowOff>
    </xdr:to>
    <xdr:sp macro="" textlink="'Convert-BE'!Q14">
      <xdr:nvSpPr>
        <xdr:cNvPr id="32" name="TextBox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 txBox="1"/>
      </xdr:nvSpPr>
      <xdr:spPr>
        <a:xfrm>
          <a:off x="11950869" y="1753813"/>
          <a:ext cx="748862" cy="2496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0E2ECAE-C6D8-4BC9-9CC7-9991A8E8E274}" type="TxLink">
            <a:rPr lang="en-US" sz="1400" b="1" i="0" u="none" strike="noStrike">
              <a:solidFill>
                <a:srgbClr val="000000"/>
              </a:solidFill>
              <a:latin typeface="Rockwell"/>
            </a:rPr>
            <a:pPr algn="ctr"/>
            <a:t>0,17%</a:t>
          </a:fld>
          <a:endParaRPr lang="en-ZA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419810</xdr:colOff>
      <xdr:row>11</xdr:row>
      <xdr:rowOff>85295</xdr:rowOff>
    </xdr:from>
    <xdr:to>
      <xdr:col>14</xdr:col>
      <xdr:colOff>498637</xdr:colOff>
      <xdr:row>12</xdr:row>
      <xdr:rowOff>72157</xdr:rowOff>
    </xdr:to>
    <xdr:sp macro="" textlink="$G$26">
      <xdr:nvSpPr>
        <xdr:cNvPr id="33" name="TextBox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 txBox="1"/>
      </xdr:nvSpPr>
      <xdr:spPr>
        <a:xfrm>
          <a:off x="11954913" y="2082261"/>
          <a:ext cx="748862" cy="2496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1AB663C-B567-4475-AB55-CDE6B9FBEF30}" type="TxLink">
            <a:rPr lang="en-US" sz="1400" b="1" i="0" u="none" strike="noStrike">
              <a:solidFill>
                <a:sysClr val="windowText" lastClr="000000"/>
              </a:solidFill>
              <a:latin typeface="Rockwell"/>
            </a:rPr>
            <a:pPr algn="ctr"/>
            <a:t>4</a:t>
          </a:fld>
          <a:endParaRPr lang="en-ZA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21</xdr:col>
      <xdr:colOff>367862</xdr:colOff>
      <xdr:row>9</xdr:row>
      <xdr:rowOff>170793</xdr:rowOff>
    </xdr:from>
    <xdr:to>
      <xdr:col>22</xdr:col>
      <xdr:colOff>446689</xdr:colOff>
      <xdr:row>10</xdr:row>
      <xdr:rowOff>157655</xdr:rowOff>
    </xdr:to>
    <xdr:sp macro="" textlink="'Convert-BE'!AE14">
      <xdr:nvSpPr>
        <xdr:cNvPr id="34" name="TextBox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 txBox="1"/>
      </xdr:nvSpPr>
      <xdr:spPr>
        <a:xfrm>
          <a:off x="17263241" y="1734207"/>
          <a:ext cx="748862" cy="2496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9ED1F6-7150-452D-A4A4-10C3E43EBD86}" type="TxLink">
            <a:rPr lang="en-US" sz="1200" b="1" i="0" u="none" strike="noStrike">
              <a:solidFill>
                <a:srgbClr val="000000"/>
              </a:solidFill>
              <a:latin typeface="Rockwell"/>
            </a:rPr>
            <a:pPr algn="ctr"/>
            <a:t>6,93%</a:t>
          </a:fld>
          <a:endParaRPr lang="en-ZA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21</xdr:col>
      <xdr:colOff>371906</xdr:colOff>
      <xdr:row>11</xdr:row>
      <xdr:rowOff>65689</xdr:rowOff>
    </xdr:from>
    <xdr:to>
      <xdr:col>22</xdr:col>
      <xdr:colOff>450733</xdr:colOff>
      <xdr:row>12</xdr:row>
      <xdr:rowOff>52551</xdr:rowOff>
    </xdr:to>
    <xdr:sp macro="" textlink="$G$33">
      <xdr:nvSpPr>
        <xdr:cNvPr id="35" name="TextBox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 txBox="1"/>
      </xdr:nvSpPr>
      <xdr:spPr>
        <a:xfrm>
          <a:off x="17267285" y="2062655"/>
          <a:ext cx="748862" cy="2496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8D6094-9361-4DE4-BFD9-F534EDBDB51E}" type="TxLink">
            <a:rPr lang="en-US" sz="1400" b="1" i="0" u="none" strike="noStrike">
              <a:solidFill>
                <a:sysClr val="windowText" lastClr="000000"/>
              </a:solidFill>
              <a:latin typeface="Rockwell"/>
            </a:rPr>
            <a:pPr algn="ctr"/>
            <a:t>5</a:t>
          </a:fld>
          <a:endParaRPr lang="en-ZA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249621</xdr:colOff>
      <xdr:row>18</xdr:row>
      <xdr:rowOff>52552</xdr:rowOff>
    </xdr:from>
    <xdr:to>
      <xdr:col>18</xdr:col>
      <xdr:colOff>328448</xdr:colOff>
      <xdr:row>19</xdr:row>
      <xdr:rowOff>131379</xdr:rowOff>
    </xdr:to>
    <xdr:sp macro="" textlink="'Convert-BE'!X14">
      <xdr:nvSpPr>
        <xdr:cNvPr id="36" name="TextBox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 txBox="1"/>
      </xdr:nvSpPr>
      <xdr:spPr>
        <a:xfrm>
          <a:off x="14464862" y="3507828"/>
          <a:ext cx="748862" cy="2496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30D5EAA-CB29-4018-A172-02DA8D7450EC}" type="TxLink">
            <a:rPr lang="en-US" sz="1400" b="1" i="0" u="none" strike="noStrike">
              <a:solidFill>
                <a:sysClr val="windowText" lastClr="000000"/>
              </a:solidFill>
              <a:latin typeface="Rockwell"/>
            </a:rPr>
            <a:pPr algn="ctr"/>
            <a:t>0,66%</a:t>
          </a:fld>
          <a:endParaRPr lang="en-ZA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253665</xdr:colOff>
      <xdr:row>20</xdr:row>
      <xdr:rowOff>39414</xdr:rowOff>
    </xdr:from>
    <xdr:to>
      <xdr:col>18</xdr:col>
      <xdr:colOff>332492</xdr:colOff>
      <xdr:row>21</xdr:row>
      <xdr:rowOff>65689</xdr:rowOff>
    </xdr:to>
    <xdr:sp macro="" textlink="$D$33">
      <xdr:nvSpPr>
        <xdr:cNvPr id="37" name="TextBox 36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SpPr txBox="1"/>
      </xdr:nvSpPr>
      <xdr:spPr>
        <a:xfrm>
          <a:off x="14468906" y="3836276"/>
          <a:ext cx="748862" cy="2496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1132D4-C8CD-4A6C-8B4B-FD6D45C30333}" type="TxLink">
            <a:rPr lang="en-US" sz="1400" b="1" i="0" u="none" strike="noStrike">
              <a:solidFill>
                <a:sysClr val="windowText" lastClr="000000"/>
              </a:solidFill>
              <a:latin typeface="Rockwell"/>
            </a:rPr>
            <a:pPr algn="ctr"/>
            <a:t>3</a:t>
          </a:fld>
          <a:endParaRPr lang="en-ZA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304800</xdr:colOff>
      <xdr:row>61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0"/>
          <a:ext cx="1630680" cy="10515600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</xdr:col>
      <xdr:colOff>281940</xdr:colOff>
      <xdr:row>0</xdr:row>
      <xdr:rowOff>0</xdr:rowOff>
    </xdr:from>
    <xdr:to>
      <xdr:col>29</xdr:col>
      <xdr:colOff>320040</xdr:colOff>
      <xdr:row>3</xdr:row>
      <xdr:rowOff>38099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607820" y="0"/>
          <a:ext cx="17274540" cy="563879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400"/>
        </a:p>
      </xdr:txBody>
    </xdr:sp>
    <xdr:clientData/>
  </xdr:twoCellAnchor>
  <xdr:twoCellAnchor editAs="oneCell">
    <xdr:from>
      <xdr:col>0</xdr:col>
      <xdr:colOff>0</xdr:colOff>
      <xdr:row>0</xdr:row>
      <xdr:rowOff>45720</xdr:rowOff>
    </xdr:from>
    <xdr:to>
      <xdr:col>1</xdr:col>
      <xdr:colOff>74886</xdr:colOff>
      <xdr:row>3</xdr:row>
      <xdr:rowOff>30480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720"/>
          <a:ext cx="737826" cy="510540"/>
        </a:xfrm>
        <a:prstGeom prst="rect">
          <a:avLst/>
        </a:prstGeom>
      </xdr:spPr>
    </xdr:pic>
    <xdr:clientData/>
  </xdr:twoCellAnchor>
  <xdr:twoCellAnchor>
    <xdr:from>
      <xdr:col>1</xdr:col>
      <xdr:colOff>30480</xdr:colOff>
      <xdr:row>0</xdr:row>
      <xdr:rowOff>30480</xdr:rowOff>
    </xdr:from>
    <xdr:to>
      <xdr:col>5</xdr:col>
      <xdr:colOff>167640</xdr:colOff>
      <xdr:row>3</xdr:row>
      <xdr:rowOff>30480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693420" y="30480"/>
          <a:ext cx="2788920" cy="52578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ZA" sz="2400">
              <a:solidFill>
                <a:schemeClr val="bg1">
                  <a:lumMod val="85000"/>
                </a:schemeClr>
              </a:solidFill>
              <a:latin typeface="Aptos Serif" panose="020B0502040204020203" pitchFamily="18" charset="0"/>
              <a:cs typeface="Aptos Serif" panose="020B0502040204020203" pitchFamily="18" charset="0"/>
            </a:rPr>
            <a:t>Financial</a:t>
          </a:r>
          <a:r>
            <a:rPr lang="en-ZA" sz="2400" baseline="0">
              <a:solidFill>
                <a:schemeClr val="bg1">
                  <a:lumMod val="85000"/>
                </a:schemeClr>
              </a:solidFill>
              <a:latin typeface="San Serif"/>
            </a:rPr>
            <a:t> Calculator</a:t>
          </a:r>
          <a:endParaRPr lang="en-ZA" sz="2400">
            <a:solidFill>
              <a:schemeClr val="bg1">
                <a:lumMod val="85000"/>
              </a:schemeClr>
            </a:solidFill>
            <a:latin typeface="San Serif"/>
          </a:endParaRPr>
        </a:p>
      </xdr:txBody>
    </xdr:sp>
    <xdr:clientData/>
  </xdr:twoCellAnchor>
  <xdr:twoCellAnchor>
    <xdr:from>
      <xdr:col>0</xdr:col>
      <xdr:colOff>228600</xdr:colOff>
      <xdr:row>10</xdr:row>
      <xdr:rowOff>114300</xdr:rowOff>
    </xdr:from>
    <xdr:to>
      <xdr:col>2</xdr:col>
      <xdr:colOff>83820</xdr:colOff>
      <xdr:row>23</xdr:row>
      <xdr:rowOff>152400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 txBox="1"/>
      </xdr:nvSpPr>
      <xdr:spPr>
        <a:xfrm>
          <a:off x="228600" y="1866900"/>
          <a:ext cx="1181100" cy="214122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Payments made at the beginning of every timeperiod. These payments</a:t>
          </a:r>
          <a:r>
            <a:rPr lang="en-ZA" sz="1100" baseline="0">
              <a:solidFill>
                <a:schemeClr val="bg1">
                  <a:lumMod val="85000"/>
                </a:schemeClr>
              </a:solidFill>
            </a:rPr>
            <a:t> add up, with interest, to an amount which is called the future value.</a:t>
          </a:r>
          <a:endParaRPr lang="en-ZA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0</xdr:col>
      <xdr:colOff>434340</xdr:colOff>
      <xdr:row>7</xdr:row>
      <xdr:rowOff>152400</xdr:rowOff>
    </xdr:from>
    <xdr:to>
      <xdr:col>2</xdr:col>
      <xdr:colOff>45720</xdr:colOff>
      <xdr:row>10</xdr:row>
      <xdr:rowOff>121920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 txBox="1"/>
      </xdr:nvSpPr>
      <xdr:spPr>
        <a:xfrm>
          <a:off x="434340" y="1379220"/>
          <a:ext cx="937260" cy="49530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200">
              <a:solidFill>
                <a:schemeClr val="bg2">
                  <a:lumMod val="75000"/>
                </a:schemeClr>
              </a:solidFill>
            </a:rPr>
            <a:t>Annuity in advance:</a:t>
          </a:r>
        </a:p>
      </xdr:txBody>
    </xdr:sp>
    <xdr:clientData/>
  </xdr:twoCellAnchor>
  <xdr:twoCellAnchor>
    <xdr:from>
      <xdr:col>0</xdr:col>
      <xdr:colOff>167640</xdr:colOff>
      <xdr:row>10</xdr:row>
      <xdr:rowOff>83820</xdr:rowOff>
    </xdr:from>
    <xdr:to>
      <xdr:col>2</xdr:col>
      <xdr:colOff>93300</xdr:colOff>
      <xdr:row>10</xdr:row>
      <xdr:rowOff>83820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CxnSpPr>
          <a:cxnSpLocks/>
        </xdr:cNvCxnSpPr>
      </xdr:nvCxnSpPr>
      <xdr:spPr>
        <a:xfrm>
          <a:off x="167640" y="1788294"/>
          <a:ext cx="1249134" cy="0"/>
        </a:xfrm>
        <a:prstGeom prst="line">
          <a:avLst/>
        </a:prstGeom>
        <a:ln w="41275" cap="rnd">
          <a:solidFill>
            <a:schemeClr val="bg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160020</xdr:colOff>
      <xdr:row>23</xdr:row>
      <xdr:rowOff>91440</xdr:rowOff>
    </xdr:from>
    <xdr:to>
      <xdr:col>2</xdr:col>
      <xdr:colOff>85680</xdr:colOff>
      <xdr:row>23</xdr:row>
      <xdr:rowOff>91440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CxnSpPr>
          <a:cxnSpLocks/>
        </xdr:cNvCxnSpPr>
      </xdr:nvCxnSpPr>
      <xdr:spPr>
        <a:xfrm>
          <a:off x="160020" y="3947160"/>
          <a:ext cx="1251540" cy="0"/>
        </a:xfrm>
        <a:prstGeom prst="line">
          <a:avLst/>
        </a:prstGeom>
        <a:ln w="41275" cap="rnd">
          <a:solidFill>
            <a:schemeClr val="bg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182880</xdr:colOff>
      <xdr:row>8</xdr:row>
      <xdr:rowOff>68580</xdr:rowOff>
    </xdr:from>
    <xdr:to>
      <xdr:col>0</xdr:col>
      <xdr:colOff>426720</xdr:colOff>
      <xdr:row>9</xdr:row>
      <xdr:rowOff>137160</xdr:rowOff>
    </xdr:to>
    <xdr:pic>
      <xdr:nvPicPr>
        <xdr:cNvPr id="24" name="Graphic 23" descr="Information with solid fill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2880" y="1470660"/>
          <a:ext cx="243840" cy="2438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53340</xdr:colOff>
          <xdr:row>18</xdr:row>
          <xdr:rowOff>129540</xdr:rowOff>
        </xdr:from>
        <xdr:to>
          <xdr:col>20</xdr:col>
          <xdr:colOff>502920</xdr:colOff>
          <xdr:row>20</xdr:row>
          <xdr:rowOff>38100</xdr:rowOff>
        </xdr:to>
        <xdr:sp macro="" textlink="">
          <xdr:nvSpPr>
            <xdr:cNvPr id="3077" name="SpinButton1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9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449580</xdr:colOff>
          <xdr:row>22</xdr:row>
          <xdr:rowOff>15240</xdr:rowOff>
        </xdr:from>
        <xdr:to>
          <xdr:col>23</xdr:col>
          <xdr:colOff>655320</xdr:colOff>
          <xdr:row>24</xdr:row>
          <xdr:rowOff>106680</xdr:rowOff>
        </xdr:to>
        <xdr:sp macro="" textlink="">
          <xdr:nvSpPr>
            <xdr:cNvPr id="3078" name="btnAr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9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213895</xdr:colOff>
      <xdr:row>31</xdr:row>
      <xdr:rowOff>66843</xdr:rowOff>
    </xdr:from>
    <xdr:to>
      <xdr:col>6</xdr:col>
      <xdr:colOff>721895</xdr:colOff>
      <xdr:row>34</xdr:row>
      <xdr:rowOff>66842</xdr:rowOff>
    </xdr:to>
    <xdr:sp macro="[0]!RunForm" textlink="">
      <xdr:nvSpPr>
        <xdr:cNvPr id="4" name="Oval 3">
          <a:extLst>
            <a:ext uri="{FF2B5EF4-FFF2-40B4-BE49-F238E27FC236}">
              <a16:creationId xmlns:a16="http://schemas.microsoft.com/office/drawing/2014/main" id="{295931A7-DA93-ED79-D071-30E941B16936}"/>
            </a:ext>
          </a:extLst>
        </xdr:cNvPr>
        <xdr:cNvSpPr/>
      </xdr:nvSpPr>
      <xdr:spPr>
        <a:xfrm>
          <a:off x="3622842" y="5828632"/>
          <a:ext cx="1176421" cy="548105"/>
        </a:xfrm>
        <a:prstGeom prst="ellipse">
          <a:avLst/>
        </a:prstGeom>
        <a:solidFill>
          <a:schemeClr val="bg2">
            <a:lumMod val="25000"/>
          </a:schemeClr>
        </a:solidFill>
        <a:ln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5</xdr:col>
      <xdr:colOff>347579</xdr:colOff>
      <xdr:row>32</xdr:row>
      <xdr:rowOff>26736</xdr:rowOff>
    </xdr:from>
    <xdr:to>
      <xdr:col>6</xdr:col>
      <xdr:colOff>561473</xdr:colOff>
      <xdr:row>33</xdr:row>
      <xdr:rowOff>66842</xdr:rowOff>
    </xdr:to>
    <xdr:sp macro="[0]!RunForm" textlink="">
      <xdr:nvSpPr>
        <xdr:cNvPr id="6" name="TextBox 5">
          <a:extLst>
            <a:ext uri="{FF2B5EF4-FFF2-40B4-BE49-F238E27FC236}">
              <a16:creationId xmlns:a16="http://schemas.microsoft.com/office/drawing/2014/main" id="{00B8A53D-6F54-B6EE-60DE-C363FFDE4C6D}"/>
            </a:ext>
          </a:extLst>
        </xdr:cNvPr>
        <xdr:cNvSpPr txBox="1"/>
      </xdr:nvSpPr>
      <xdr:spPr>
        <a:xfrm>
          <a:off x="3756526" y="5989052"/>
          <a:ext cx="882315" cy="213895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ZA" sz="1400">
              <a:solidFill>
                <a:schemeClr val="bg1">
                  <a:lumMod val="85000"/>
                </a:schemeClr>
              </a:solidFill>
            </a:rPr>
            <a:t>Convert</a:t>
          </a:r>
        </a:p>
      </xdr:txBody>
    </xdr:sp>
    <xdr:clientData/>
  </xdr:twoCellAnchor>
  <xdr:twoCellAnchor>
    <xdr:from>
      <xdr:col>23</xdr:col>
      <xdr:colOff>337821</xdr:colOff>
      <xdr:row>0</xdr:row>
      <xdr:rowOff>106947</xdr:rowOff>
    </xdr:from>
    <xdr:to>
      <xdr:col>24</xdr:col>
      <xdr:colOff>586123</xdr:colOff>
      <xdr:row>2</xdr:row>
      <xdr:rowOff>46680</xdr:rowOff>
    </xdr:to>
    <xdr:sp macro="" textlink="">
      <xdr:nvSpPr>
        <xdr:cNvPr id="12" name="TextBox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030C9CF-C8E3-4AC3-A085-707B2983424F}"/>
            </a:ext>
          </a:extLst>
        </xdr:cNvPr>
        <xdr:cNvSpPr txBox="1"/>
      </xdr:nvSpPr>
      <xdr:spPr>
        <a:xfrm>
          <a:off x="17369189" y="106947"/>
          <a:ext cx="1224197" cy="287312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Annuity arrears</a:t>
          </a:r>
        </a:p>
      </xdr:txBody>
    </xdr:sp>
    <xdr:clientData/>
  </xdr:twoCellAnchor>
  <xdr:twoCellAnchor>
    <xdr:from>
      <xdr:col>24</xdr:col>
      <xdr:colOff>620381</xdr:colOff>
      <xdr:row>0</xdr:row>
      <xdr:rowOff>106948</xdr:rowOff>
    </xdr:from>
    <xdr:to>
      <xdr:col>25</xdr:col>
      <xdr:colOff>895130</xdr:colOff>
      <xdr:row>2</xdr:row>
      <xdr:rowOff>59171</xdr:rowOff>
    </xdr:to>
    <xdr:sp macro="" textlink="">
      <xdr:nvSpPr>
        <xdr:cNvPr id="14" name="TextBox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E49CBF7-5301-49B9-B8C5-EFA00D54E053}"/>
            </a:ext>
          </a:extLst>
        </xdr:cNvPr>
        <xdr:cNvSpPr txBox="1"/>
      </xdr:nvSpPr>
      <xdr:spPr>
        <a:xfrm>
          <a:off x="18627644" y="106948"/>
          <a:ext cx="1277381" cy="299802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Annuity advance</a:t>
          </a:r>
        </a:p>
      </xdr:txBody>
    </xdr:sp>
    <xdr:clientData/>
  </xdr:twoCellAnchor>
  <xdr:twoCellAnchor>
    <xdr:from>
      <xdr:col>25</xdr:col>
      <xdr:colOff>945098</xdr:colOff>
      <xdr:row>0</xdr:row>
      <xdr:rowOff>119439</xdr:rowOff>
    </xdr:from>
    <xdr:to>
      <xdr:col>27</xdr:col>
      <xdr:colOff>466464</xdr:colOff>
      <xdr:row>2</xdr:row>
      <xdr:rowOff>46680</xdr:rowOff>
    </xdr:to>
    <xdr:sp macro="" textlink="">
      <xdr:nvSpPr>
        <xdr:cNvPr id="15" name="TextBox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DE82E28-36F8-49E0-A098-F658800D316C}"/>
            </a:ext>
          </a:extLst>
        </xdr:cNvPr>
        <xdr:cNvSpPr txBox="1"/>
      </xdr:nvSpPr>
      <xdr:spPr>
        <a:xfrm>
          <a:off x="19954993" y="119439"/>
          <a:ext cx="1486524" cy="27482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Increasing annuity</a:t>
          </a:r>
        </a:p>
      </xdr:txBody>
    </xdr:sp>
    <xdr:clientData/>
  </xdr:twoCellAnchor>
  <xdr:twoCellAnchor>
    <xdr:from>
      <xdr:col>27</xdr:col>
      <xdr:colOff>550689</xdr:colOff>
      <xdr:row>0</xdr:row>
      <xdr:rowOff>106948</xdr:rowOff>
    </xdr:from>
    <xdr:to>
      <xdr:col>28</xdr:col>
      <xdr:colOff>598465</xdr:colOff>
      <xdr:row>2</xdr:row>
      <xdr:rowOff>46681</xdr:rowOff>
    </xdr:to>
    <xdr:sp macro="" textlink="">
      <xdr:nvSpPr>
        <xdr:cNvPr id="16" name="TextBox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F431BED-7E37-4AEF-8A77-04D804C68179}"/>
            </a:ext>
          </a:extLst>
        </xdr:cNvPr>
        <xdr:cNvSpPr txBox="1"/>
      </xdr:nvSpPr>
      <xdr:spPr>
        <a:xfrm>
          <a:off x="21525742" y="106948"/>
          <a:ext cx="1224197" cy="287312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Retirment</a:t>
          </a:r>
        </a:p>
      </xdr:txBody>
    </xdr:sp>
    <xdr:clientData/>
  </xdr:twoCellAnchor>
  <xdr:twoCellAnchor>
    <xdr:from>
      <xdr:col>23</xdr:col>
      <xdr:colOff>537032</xdr:colOff>
      <xdr:row>2</xdr:row>
      <xdr:rowOff>48433</xdr:rowOff>
    </xdr:from>
    <xdr:to>
      <xdr:col>24</xdr:col>
      <xdr:colOff>281137</xdr:colOff>
      <xdr:row>2</xdr:row>
      <xdr:rowOff>48433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2A2B75FE-6FC1-46B0-8563-337FC7C5567B}"/>
            </a:ext>
          </a:extLst>
        </xdr:cNvPr>
        <xdr:cNvCxnSpPr/>
      </xdr:nvCxnSpPr>
      <xdr:spPr>
        <a:xfrm flipV="1">
          <a:off x="17568400" y="396012"/>
          <a:ext cx="720000" cy="0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288471</xdr:colOff>
      <xdr:row>59</xdr:row>
      <xdr:rowOff>10886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0" y="0"/>
          <a:ext cx="1638300" cy="10287000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</xdr:col>
      <xdr:colOff>265611</xdr:colOff>
      <xdr:row>0</xdr:row>
      <xdr:rowOff>0</xdr:rowOff>
    </xdr:from>
    <xdr:to>
      <xdr:col>28</xdr:col>
      <xdr:colOff>281940</xdr:colOff>
      <xdr:row>3</xdr:row>
      <xdr:rowOff>29935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601721" y="0"/>
          <a:ext cx="17333561" cy="562291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0</xdr:col>
      <xdr:colOff>0</xdr:colOff>
      <xdr:row>0</xdr:row>
      <xdr:rowOff>45720</xdr:rowOff>
    </xdr:from>
    <xdr:to>
      <xdr:col>1</xdr:col>
      <xdr:colOff>66722</xdr:colOff>
      <xdr:row>3</xdr:row>
      <xdr:rowOff>22316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720"/>
          <a:ext cx="741636" cy="499110"/>
        </a:xfrm>
        <a:prstGeom prst="rect">
          <a:avLst/>
        </a:prstGeom>
      </xdr:spPr>
    </xdr:pic>
    <xdr:clientData/>
  </xdr:twoCellAnchor>
  <xdr:twoCellAnchor>
    <xdr:from>
      <xdr:col>1</xdr:col>
      <xdr:colOff>22316</xdr:colOff>
      <xdr:row>0</xdr:row>
      <xdr:rowOff>30480</xdr:rowOff>
    </xdr:from>
    <xdr:to>
      <xdr:col>5</xdr:col>
      <xdr:colOff>126819</xdr:colOff>
      <xdr:row>3</xdr:row>
      <xdr:rowOff>22316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 txBox="1"/>
      </xdr:nvSpPr>
      <xdr:spPr>
        <a:xfrm>
          <a:off x="697230" y="30480"/>
          <a:ext cx="2804160" cy="51435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ZA" sz="2400">
              <a:solidFill>
                <a:schemeClr val="bg1">
                  <a:lumMod val="85000"/>
                </a:schemeClr>
              </a:solidFill>
              <a:latin typeface="Aptos Serif" panose="020B0502040204020203" pitchFamily="18" charset="0"/>
              <a:cs typeface="Aptos Serif" panose="020B0502040204020203" pitchFamily="18" charset="0"/>
            </a:rPr>
            <a:t>Financial</a:t>
          </a:r>
          <a:r>
            <a:rPr lang="en-ZA" sz="2400" baseline="0">
              <a:solidFill>
                <a:schemeClr val="bg1">
                  <a:lumMod val="85000"/>
                </a:schemeClr>
              </a:solidFill>
              <a:latin typeface="San Serif"/>
            </a:rPr>
            <a:t> Calculator</a:t>
          </a:r>
          <a:endParaRPr lang="en-ZA" sz="2400">
            <a:solidFill>
              <a:schemeClr val="bg1">
                <a:lumMod val="85000"/>
              </a:schemeClr>
            </a:solidFill>
            <a:latin typeface="San Serif"/>
          </a:endParaRPr>
        </a:p>
      </xdr:txBody>
    </xdr:sp>
    <xdr:clientData/>
  </xdr:twoCellAnchor>
  <xdr:twoCellAnchor>
    <xdr:from>
      <xdr:col>0</xdr:col>
      <xdr:colOff>228600</xdr:colOff>
      <xdr:row>10</xdr:row>
      <xdr:rowOff>87086</xdr:rowOff>
    </xdr:from>
    <xdr:to>
      <xdr:col>2</xdr:col>
      <xdr:colOff>67491</xdr:colOff>
      <xdr:row>22</xdr:row>
      <xdr:rowOff>92529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 txBox="1"/>
      </xdr:nvSpPr>
      <xdr:spPr>
        <a:xfrm>
          <a:off x="228600" y="1828800"/>
          <a:ext cx="1188720" cy="209550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Payments made at the beginning of every timeperiod. These payments</a:t>
          </a:r>
          <a:r>
            <a:rPr lang="en-ZA" sz="1100" baseline="0">
              <a:solidFill>
                <a:schemeClr val="bg1">
                  <a:lumMod val="85000"/>
                </a:schemeClr>
              </a:solidFill>
            </a:rPr>
            <a:t> add up, with interest, to an amount which is called the future value.</a:t>
          </a:r>
          <a:endParaRPr lang="en-ZA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0</xdr:col>
      <xdr:colOff>434340</xdr:colOff>
      <xdr:row>7</xdr:row>
      <xdr:rowOff>133350</xdr:rowOff>
    </xdr:from>
    <xdr:to>
      <xdr:col>2</xdr:col>
      <xdr:colOff>29391</xdr:colOff>
      <xdr:row>10</xdr:row>
      <xdr:rowOff>94706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 txBox="1"/>
      </xdr:nvSpPr>
      <xdr:spPr>
        <a:xfrm>
          <a:off x="434340" y="1352550"/>
          <a:ext cx="944880" cy="48387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200">
              <a:solidFill>
                <a:schemeClr val="bg2">
                  <a:lumMod val="75000"/>
                </a:schemeClr>
              </a:solidFill>
            </a:rPr>
            <a:t>Annuity in advance:</a:t>
          </a:r>
        </a:p>
      </xdr:txBody>
    </xdr:sp>
    <xdr:clientData/>
  </xdr:twoCellAnchor>
  <xdr:twoCellAnchor>
    <xdr:from>
      <xdr:col>0</xdr:col>
      <xdr:colOff>112395</xdr:colOff>
      <xdr:row>22</xdr:row>
      <xdr:rowOff>95250</xdr:rowOff>
    </xdr:from>
    <xdr:to>
      <xdr:col>2</xdr:col>
      <xdr:colOff>133350</xdr:colOff>
      <xdr:row>22</xdr:row>
      <xdr:rowOff>98244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CxnSpPr>
          <a:cxnSpLocks/>
        </xdr:cNvCxnSpPr>
      </xdr:nvCxnSpPr>
      <xdr:spPr>
        <a:xfrm flipV="1">
          <a:off x="112395" y="3867150"/>
          <a:ext cx="1354455" cy="2994"/>
        </a:xfrm>
        <a:prstGeom prst="line">
          <a:avLst/>
        </a:prstGeom>
        <a:ln w="41275" cap="rnd">
          <a:solidFill>
            <a:schemeClr val="bg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182880</xdr:colOff>
      <xdr:row>8</xdr:row>
      <xdr:rowOff>46809</xdr:rowOff>
    </xdr:from>
    <xdr:to>
      <xdr:col>0</xdr:col>
      <xdr:colOff>426720</xdr:colOff>
      <xdr:row>9</xdr:row>
      <xdr:rowOff>112667</xdr:rowOff>
    </xdr:to>
    <xdr:pic>
      <xdr:nvPicPr>
        <xdr:cNvPr id="20" name="Graphic 19" descr="Information with solid fill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2880" y="1440180"/>
          <a:ext cx="243840" cy="240030"/>
        </a:xfrm>
        <a:prstGeom prst="rect">
          <a:avLst/>
        </a:prstGeom>
      </xdr:spPr>
    </xdr:pic>
    <xdr:clientData/>
  </xdr:twoCellAnchor>
  <xdr:twoCellAnchor>
    <xdr:from>
      <xdr:col>0</xdr:col>
      <xdr:colOff>140154</xdr:colOff>
      <xdr:row>10</xdr:row>
      <xdr:rowOff>89807</xdr:rowOff>
    </xdr:from>
    <xdr:to>
      <xdr:col>2</xdr:col>
      <xdr:colOff>114300</xdr:colOff>
      <xdr:row>10</xdr:row>
      <xdr:rowOff>95250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CxnSpPr>
          <a:cxnSpLocks/>
        </xdr:cNvCxnSpPr>
      </xdr:nvCxnSpPr>
      <xdr:spPr>
        <a:xfrm>
          <a:off x="140154" y="1804307"/>
          <a:ext cx="1307646" cy="5443"/>
        </a:xfrm>
        <a:prstGeom prst="line">
          <a:avLst/>
        </a:prstGeom>
        <a:ln w="41275" cap="rnd">
          <a:solidFill>
            <a:schemeClr val="bg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18</xdr:row>
          <xdr:rowOff>15240</xdr:rowOff>
        </xdr:from>
        <xdr:to>
          <xdr:col>20</xdr:col>
          <xdr:colOff>579120</xdr:colOff>
          <xdr:row>20</xdr:row>
          <xdr:rowOff>76200</xdr:rowOff>
        </xdr:to>
        <xdr:sp macro="" textlink="">
          <xdr:nvSpPr>
            <xdr:cNvPr id="4325" name="Spinner 229" hidden="1">
              <a:extLst>
                <a:ext uri="{63B3BB69-23CF-44E3-9099-C40C66FF867C}">
                  <a14:compatExt spid="_x0000_s4325"/>
                </a:ext>
                <a:ext uri="{FF2B5EF4-FFF2-40B4-BE49-F238E27FC236}">
                  <a16:creationId xmlns:a16="http://schemas.microsoft.com/office/drawing/2014/main" id="{00000000-0008-0000-0A00-0000E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518160</xdr:colOff>
          <xdr:row>20</xdr:row>
          <xdr:rowOff>76200</xdr:rowOff>
        </xdr:from>
        <xdr:to>
          <xdr:col>23</xdr:col>
          <xdr:colOff>632460</xdr:colOff>
          <xdr:row>22</xdr:row>
          <xdr:rowOff>99060</xdr:rowOff>
        </xdr:to>
        <xdr:sp macro="" textlink="">
          <xdr:nvSpPr>
            <xdr:cNvPr id="4543" name="btnAdv" hidden="1">
              <a:extLst>
                <a:ext uri="{63B3BB69-23CF-44E3-9099-C40C66FF867C}">
                  <a14:compatExt spid="_x0000_s4543"/>
                </a:ext>
                <a:ext uri="{FF2B5EF4-FFF2-40B4-BE49-F238E27FC236}">
                  <a16:creationId xmlns:a16="http://schemas.microsoft.com/office/drawing/2014/main" id="{00000000-0008-0000-0A00-0000B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5</xdr:col>
      <xdr:colOff>63500</xdr:colOff>
      <xdr:row>30</xdr:row>
      <xdr:rowOff>88900</xdr:rowOff>
    </xdr:from>
    <xdr:to>
      <xdr:col>6</xdr:col>
      <xdr:colOff>469900</xdr:colOff>
      <xdr:row>33</xdr:row>
      <xdr:rowOff>139700</xdr:rowOff>
    </xdr:to>
    <xdr:sp macro="[0]!RunForm" textlink="">
      <xdr:nvSpPr>
        <xdr:cNvPr id="2" name="Oval 1">
          <a:extLst>
            <a:ext uri="{FF2B5EF4-FFF2-40B4-BE49-F238E27FC236}">
              <a16:creationId xmlns:a16="http://schemas.microsoft.com/office/drawing/2014/main" id="{C261C202-773F-D983-D850-C3EE9E384C7D}"/>
            </a:ext>
          </a:extLst>
        </xdr:cNvPr>
        <xdr:cNvSpPr/>
      </xdr:nvSpPr>
      <xdr:spPr>
        <a:xfrm>
          <a:off x="3441700" y="5791200"/>
          <a:ext cx="1562100" cy="609600"/>
        </a:xfrm>
        <a:prstGeom prst="ellipse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5</xdr:col>
      <xdr:colOff>292100</xdr:colOff>
      <xdr:row>31</xdr:row>
      <xdr:rowOff>76200</xdr:rowOff>
    </xdr:from>
    <xdr:to>
      <xdr:col>6</xdr:col>
      <xdr:colOff>254000</xdr:colOff>
      <xdr:row>32</xdr:row>
      <xdr:rowOff>114300</xdr:rowOff>
    </xdr:to>
    <xdr:sp macro="[0]!RunForm" textlink="">
      <xdr:nvSpPr>
        <xdr:cNvPr id="3" name="TextBox 2">
          <a:extLst>
            <a:ext uri="{FF2B5EF4-FFF2-40B4-BE49-F238E27FC236}">
              <a16:creationId xmlns:a16="http://schemas.microsoft.com/office/drawing/2014/main" id="{E3233022-1BEC-943F-8855-29BA215DF1BE}"/>
            </a:ext>
          </a:extLst>
        </xdr:cNvPr>
        <xdr:cNvSpPr txBox="1"/>
      </xdr:nvSpPr>
      <xdr:spPr>
        <a:xfrm>
          <a:off x="3670300" y="5981700"/>
          <a:ext cx="1117600" cy="21590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ZA" sz="1400">
              <a:solidFill>
                <a:schemeClr val="bg1">
                  <a:lumMod val="85000"/>
                </a:schemeClr>
              </a:solidFill>
            </a:rPr>
            <a:t>Converter</a:t>
          </a:r>
        </a:p>
      </xdr:txBody>
    </xdr:sp>
    <xdr:clientData/>
  </xdr:twoCellAnchor>
  <xdr:twoCellAnchor>
    <xdr:from>
      <xdr:col>22</xdr:col>
      <xdr:colOff>635000</xdr:colOff>
      <xdr:row>0</xdr:row>
      <xdr:rowOff>139700</xdr:rowOff>
    </xdr:from>
    <xdr:to>
      <xdr:col>24</xdr:col>
      <xdr:colOff>30397</xdr:colOff>
      <xdr:row>2</xdr:row>
      <xdr:rowOff>71412</xdr:rowOff>
    </xdr:to>
    <xdr:sp macro="" textlink="">
      <xdr:nvSpPr>
        <xdr:cNvPr id="24" name="TextBox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6C9579-C098-4004-9462-A41B302CB8D5}"/>
            </a:ext>
          </a:extLst>
        </xdr:cNvPr>
        <xdr:cNvSpPr txBox="1"/>
      </xdr:nvSpPr>
      <xdr:spPr>
        <a:xfrm>
          <a:off x="16535400" y="139700"/>
          <a:ext cx="1224197" cy="287312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Annuity arrears</a:t>
          </a:r>
        </a:p>
      </xdr:txBody>
    </xdr:sp>
    <xdr:clientData/>
  </xdr:twoCellAnchor>
  <xdr:twoCellAnchor>
    <xdr:from>
      <xdr:col>24</xdr:col>
      <xdr:colOff>64655</xdr:colOff>
      <xdr:row>0</xdr:row>
      <xdr:rowOff>139701</xdr:rowOff>
    </xdr:from>
    <xdr:to>
      <xdr:col>25</xdr:col>
      <xdr:colOff>287936</xdr:colOff>
      <xdr:row>2</xdr:row>
      <xdr:rowOff>83903</xdr:rowOff>
    </xdr:to>
    <xdr:sp macro="" textlink="">
      <xdr:nvSpPr>
        <xdr:cNvPr id="25" name="TextBox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716F22A-83ED-4E0C-86E7-92AFC9A2DC87}"/>
            </a:ext>
          </a:extLst>
        </xdr:cNvPr>
        <xdr:cNvSpPr txBox="1"/>
      </xdr:nvSpPr>
      <xdr:spPr>
        <a:xfrm>
          <a:off x="17793855" y="139701"/>
          <a:ext cx="1277381" cy="299802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Annuity advance</a:t>
          </a:r>
        </a:p>
      </xdr:txBody>
    </xdr:sp>
    <xdr:clientData/>
  </xdr:twoCellAnchor>
  <xdr:twoCellAnchor>
    <xdr:from>
      <xdr:col>25</xdr:col>
      <xdr:colOff>337904</xdr:colOff>
      <xdr:row>0</xdr:row>
      <xdr:rowOff>152192</xdr:rowOff>
    </xdr:from>
    <xdr:to>
      <xdr:col>26</xdr:col>
      <xdr:colOff>325828</xdr:colOff>
      <xdr:row>2</xdr:row>
      <xdr:rowOff>71412</xdr:rowOff>
    </xdr:to>
    <xdr:sp macro="" textlink="">
      <xdr:nvSpPr>
        <xdr:cNvPr id="26" name="TextBox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A584777-44A0-49A6-8F95-89F2C1B1CDF4}"/>
            </a:ext>
          </a:extLst>
        </xdr:cNvPr>
        <xdr:cNvSpPr txBox="1"/>
      </xdr:nvSpPr>
      <xdr:spPr>
        <a:xfrm>
          <a:off x="19121204" y="152192"/>
          <a:ext cx="1486524" cy="27482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Increasing annuity</a:t>
          </a:r>
        </a:p>
      </xdr:txBody>
    </xdr:sp>
    <xdr:clientData/>
  </xdr:twoCellAnchor>
  <xdr:twoCellAnchor>
    <xdr:from>
      <xdr:col>26</xdr:col>
      <xdr:colOff>410053</xdr:colOff>
      <xdr:row>0</xdr:row>
      <xdr:rowOff>139701</xdr:rowOff>
    </xdr:from>
    <xdr:to>
      <xdr:col>27</xdr:col>
      <xdr:colOff>440450</xdr:colOff>
      <xdr:row>2</xdr:row>
      <xdr:rowOff>71413</xdr:rowOff>
    </xdr:to>
    <xdr:sp macro="" textlink="">
      <xdr:nvSpPr>
        <xdr:cNvPr id="27" name="TextBox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467C44E-C1C9-48E9-A3F7-FDFD22A0E6D5}"/>
            </a:ext>
          </a:extLst>
        </xdr:cNvPr>
        <xdr:cNvSpPr txBox="1"/>
      </xdr:nvSpPr>
      <xdr:spPr>
        <a:xfrm>
          <a:off x="20691953" y="139701"/>
          <a:ext cx="1224197" cy="287312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Retirment</a:t>
          </a:r>
        </a:p>
      </xdr:txBody>
    </xdr:sp>
    <xdr:clientData/>
  </xdr:twoCellAnchor>
  <xdr:twoCellAnchor>
    <xdr:from>
      <xdr:col>24</xdr:col>
      <xdr:colOff>399738</xdr:colOff>
      <xdr:row>2</xdr:row>
      <xdr:rowOff>71828</xdr:rowOff>
    </xdr:from>
    <xdr:to>
      <xdr:col>25</xdr:col>
      <xdr:colOff>65638</xdr:colOff>
      <xdr:row>2</xdr:row>
      <xdr:rowOff>71828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B9992825-5BBC-4DBE-BE98-54DF206D95D8}"/>
            </a:ext>
          </a:extLst>
        </xdr:cNvPr>
        <xdr:cNvCxnSpPr/>
      </xdr:nvCxnSpPr>
      <xdr:spPr>
        <a:xfrm flipV="1">
          <a:off x="18128938" y="427428"/>
          <a:ext cx="720000" cy="0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490220</xdr:colOff>
      <xdr:row>25</xdr:row>
      <xdr:rowOff>149860</xdr:rowOff>
    </xdr:from>
    <xdr:to>
      <xdr:col>27</xdr:col>
      <xdr:colOff>571500</xdr:colOff>
      <xdr:row>47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97B38FC-7E7E-B37D-9989-40211F32D7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277473</xdr:colOff>
      <xdr:row>61</xdr:row>
      <xdr:rowOff>121657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5674E41-70B4-491E-B86D-1850DD38922B}"/>
            </a:ext>
          </a:extLst>
        </xdr:cNvPr>
        <xdr:cNvSpPr/>
      </xdr:nvSpPr>
      <xdr:spPr>
        <a:xfrm>
          <a:off x="0" y="0"/>
          <a:ext cx="1618593" cy="10812517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</xdr:col>
      <xdr:colOff>254613</xdr:colOff>
      <xdr:row>0</xdr:row>
      <xdr:rowOff>0</xdr:rowOff>
    </xdr:from>
    <xdr:to>
      <xdr:col>34</xdr:col>
      <xdr:colOff>236483</xdr:colOff>
      <xdr:row>3</xdr:row>
      <xdr:rowOff>24698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CCBD3DC-6EC6-4505-AB02-4EA468ECBA11}"/>
            </a:ext>
          </a:extLst>
        </xdr:cNvPr>
        <xdr:cNvSpPr/>
      </xdr:nvSpPr>
      <xdr:spPr>
        <a:xfrm>
          <a:off x="1595733" y="0"/>
          <a:ext cx="21439790" cy="550478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400"/>
        </a:p>
      </xdr:txBody>
    </xdr:sp>
    <xdr:clientData/>
  </xdr:twoCellAnchor>
  <xdr:twoCellAnchor editAs="oneCell">
    <xdr:from>
      <xdr:col>0</xdr:col>
      <xdr:colOff>0</xdr:colOff>
      <xdr:row>0</xdr:row>
      <xdr:rowOff>45720</xdr:rowOff>
    </xdr:from>
    <xdr:to>
      <xdr:col>1</xdr:col>
      <xdr:colOff>61223</xdr:colOff>
      <xdr:row>3</xdr:row>
      <xdr:rowOff>17079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A2E33ED-1AA0-41AA-9245-10D5A96FB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720"/>
          <a:ext cx="731783" cy="497139"/>
        </a:xfrm>
        <a:prstGeom prst="rect">
          <a:avLst/>
        </a:prstGeom>
      </xdr:spPr>
    </xdr:pic>
    <xdr:clientData/>
  </xdr:twoCellAnchor>
  <xdr:twoCellAnchor>
    <xdr:from>
      <xdr:col>1</xdr:col>
      <xdr:colOff>16817</xdr:colOff>
      <xdr:row>0</xdr:row>
      <xdr:rowOff>30480</xdr:rowOff>
    </xdr:from>
    <xdr:to>
      <xdr:col>5</xdr:col>
      <xdr:colOff>178150</xdr:colOff>
      <xdr:row>3</xdr:row>
      <xdr:rowOff>17079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D87DD95-133D-4462-B783-C668BB9A3D07}"/>
            </a:ext>
          </a:extLst>
        </xdr:cNvPr>
        <xdr:cNvSpPr txBox="1"/>
      </xdr:nvSpPr>
      <xdr:spPr>
        <a:xfrm>
          <a:off x="687377" y="30480"/>
          <a:ext cx="2843573" cy="512379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ZA" sz="2400">
              <a:solidFill>
                <a:schemeClr val="bg1">
                  <a:lumMod val="85000"/>
                </a:schemeClr>
              </a:solidFill>
              <a:latin typeface="Aptos Serif" panose="020B0502040204020203" pitchFamily="18" charset="0"/>
              <a:cs typeface="Aptos Serif" panose="020B0502040204020203" pitchFamily="18" charset="0"/>
            </a:rPr>
            <a:t>Financial</a:t>
          </a:r>
          <a:r>
            <a:rPr lang="en-ZA" sz="2400" baseline="0">
              <a:solidFill>
                <a:schemeClr val="bg1">
                  <a:lumMod val="85000"/>
                </a:schemeClr>
              </a:solidFill>
              <a:latin typeface="San Serif"/>
            </a:rPr>
            <a:t> Calculator</a:t>
          </a:r>
          <a:endParaRPr lang="en-ZA" sz="2400">
            <a:solidFill>
              <a:schemeClr val="bg1">
                <a:lumMod val="85000"/>
              </a:schemeClr>
            </a:solidFill>
            <a:latin typeface="San Serif"/>
          </a:endParaRPr>
        </a:p>
      </xdr:txBody>
    </xdr:sp>
    <xdr:clientData/>
  </xdr:twoCellAnchor>
  <xdr:twoCellAnchor>
    <xdr:from>
      <xdr:col>0</xdr:col>
      <xdr:colOff>228600</xdr:colOff>
      <xdr:row>10</xdr:row>
      <xdr:rowOff>69631</xdr:rowOff>
    </xdr:from>
    <xdr:to>
      <xdr:col>2</xdr:col>
      <xdr:colOff>56493</xdr:colOff>
      <xdr:row>24</xdr:row>
      <xdr:rowOff>163436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72205E5-BFE3-496E-9B35-445076C92652}"/>
            </a:ext>
          </a:extLst>
        </xdr:cNvPr>
        <xdr:cNvSpPr txBox="1"/>
      </xdr:nvSpPr>
      <xdr:spPr>
        <a:xfrm>
          <a:off x="228600" y="1822231"/>
          <a:ext cx="1169013" cy="2547445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Payments increase every period or every</a:t>
          </a:r>
          <a:r>
            <a:rPr lang="en-ZA" sz="1100" baseline="0">
              <a:solidFill>
                <a:schemeClr val="bg1">
                  <a:lumMod val="85000"/>
                </a:schemeClr>
              </a:solidFill>
            </a:rPr>
            <a:t> specified peried. This is called an increasing annuity</a:t>
          </a:r>
          <a:endParaRPr lang="en-ZA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0</xdr:col>
      <xdr:colOff>434340</xdr:colOff>
      <xdr:row>7</xdr:row>
      <xdr:rowOff>68036</xdr:rowOff>
    </xdr:from>
    <xdr:to>
      <xdr:col>2</xdr:col>
      <xdr:colOff>176893</xdr:colOff>
      <xdr:row>10</xdr:row>
      <xdr:rowOff>77251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78A82CB-B8AA-40E7-AAE3-0B699808B09E}"/>
            </a:ext>
          </a:extLst>
        </xdr:cNvPr>
        <xdr:cNvSpPr txBox="1"/>
      </xdr:nvSpPr>
      <xdr:spPr>
        <a:xfrm>
          <a:off x="434340" y="1306286"/>
          <a:ext cx="1076053" cy="539894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200">
              <a:solidFill>
                <a:schemeClr val="bg2">
                  <a:lumMod val="75000"/>
                </a:schemeClr>
              </a:solidFill>
            </a:rPr>
            <a:t>Annuity increasing:</a:t>
          </a:r>
        </a:p>
      </xdr:txBody>
    </xdr:sp>
    <xdr:clientData/>
  </xdr:twoCellAnchor>
  <xdr:twoCellAnchor>
    <xdr:from>
      <xdr:col>0</xdr:col>
      <xdr:colOff>167640</xdr:colOff>
      <xdr:row>10</xdr:row>
      <xdr:rowOff>39151</xdr:rowOff>
    </xdr:from>
    <xdr:to>
      <xdr:col>2</xdr:col>
      <xdr:colOff>65973</xdr:colOff>
      <xdr:row>10</xdr:row>
      <xdr:rowOff>39151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7F4FF39E-6C69-41B4-A432-C11FBA98DCA0}"/>
            </a:ext>
          </a:extLst>
        </xdr:cNvPr>
        <xdr:cNvCxnSpPr>
          <a:cxnSpLocks/>
        </xdr:cNvCxnSpPr>
      </xdr:nvCxnSpPr>
      <xdr:spPr>
        <a:xfrm>
          <a:off x="167640" y="1791751"/>
          <a:ext cx="1239453" cy="0"/>
        </a:xfrm>
        <a:prstGeom prst="line">
          <a:avLst/>
        </a:prstGeom>
        <a:ln w="41275" cap="rnd">
          <a:solidFill>
            <a:schemeClr val="bg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146413</xdr:colOff>
      <xdr:row>19</xdr:row>
      <xdr:rowOff>61654</xdr:rowOff>
    </xdr:from>
    <xdr:to>
      <xdr:col>2</xdr:col>
      <xdr:colOff>44746</xdr:colOff>
      <xdr:row>19</xdr:row>
      <xdr:rowOff>61654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1CC40214-AD61-4887-B12E-BADBC7BF3F22}"/>
            </a:ext>
          </a:extLst>
        </xdr:cNvPr>
        <xdr:cNvCxnSpPr>
          <a:cxnSpLocks/>
        </xdr:cNvCxnSpPr>
      </xdr:nvCxnSpPr>
      <xdr:spPr>
        <a:xfrm>
          <a:off x="146413" y="3585904"/>
          <a:ext cx="1231833" cy="0"/>
        </a:xfrm>
        <a:prstGeom prst="line">
          <a:avLst/>
        </a:prstGeom>
        <a:ln w="41275" cap="rnd">
          <a:solidFill>
            <a:schemeClr val="bg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182880</xdr:colOff>
      <xdr:row>8</xdr:row>
      <xdr:rowOff>32845</xdr:rowOff>
    </xdr:from>
    <xdr:to>
      <xdr:col>0</xdr:col>
      <xdr:colOff>426720</xdr:colOff>
      <xdr:row>9</xdr:row>
      <xdr:rowOff>96958</xdr:rowOff>
    </xdr:to>
    <xdr:pic>
      <xdr:nvPicPr>
        <xdr:cNvPr id="10" name="Graphic 9" descr="Information with solid fill">
          <a:extLst>
            <a:ext uri="{FF2B5EF4-FFF2-40B4-BE49-F238E27FC236}">
              <a16:creationId xmlns:a16="http://schemas.microsoft.com/office/drawing/2014/main" id="{BBE25B8B-FB57-4CBE-ACD6-56D073AE1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2880" y="1434925"/>
          <a:ext cx="243840" cy="2393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335280</xdr:colOff>
          <xdr:row>17</xdr:row>
          <xdr:rowOff>137160</xdr:rowOff>
        </xdr:from>
        <xdr:to>
          <xdr:col>21</xdr:col>
          <xdr:colOff>487680</xdr:colOff>
          <xdr:row>19</xdr:row>
          <xdr:rowOff>76200</xdr:rowOff>
        </xdr:to>
        <xdr:sp macro="" textlink="">
          <xdr:nvSpPr>
            <xdr:cNvPr id="55298" name="CommandButton1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335280</xdr:colOff>
          <xdr:row>34</xdr:row>
          <xdr:rowOff>137160</xdr:rowOff>
        </xdr:from>
        <xdr:to>
          <xdr:col>21</xdr:col>
          <xdr:colOff>487680</xdr:colOff>
          <xdr:row>36</xdr:row>
          <xdr:rowOff>76200</xdr:rowOff>
        </xdr:to>
        <xdr:sp macro="" textlink="">
          <xdr:nvSpPr>
            <xdr:cNvPr id="55299" name="CommandButton2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B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25</xdr:col>
      <xdr:colOff>547983</xdr:colOff>
      <xdr:row>0</xdr:row>
      <xdr:rowOff>108857</xdr:rowOff>
    </xdr:from>
    <xdr:to>
      <xdr:col>27</xdr:col>
      <xdr:colOff>438680</xdr:colOff>
      <xdr:row>2</xdr:row>
      <xdr:rowOff>42383</xdr:rowOff>
    </xdr:to>
    <xdr:sp macro="" textlink="">
      <xdr:nvSpPr>
        <xdr:cNvPr id="11" name="TextBox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432F9EB-7A9A-4EC3-85D3-0B7175A2C4F0}"/>
            </a:ext>
          </a:extLst>
        </xdr:cNvPr>
        <xdr:cNvSpPr txBox="1"/>
      </xdr:nvSpPr>
      <xdr:spPr>
        <a:xfrm>
          <a:off x="19339447" y="108857"/>
          <a:ext cx="1224197" cy="287312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Annuity arrears</a:t>
          </a:r>
        </a:p>
      </xdr:txBody>
    </xdr:sp>
    <xdr:clientData/>
  </xdr:twoCellAnchor>
  <xdr:twoCellAnchor>
    <xdr:from>
      <xdr:col>27</xdr:col>
      <xdr:colOff>472938</xdr:colOff>
      <xdr:row>0</xdr:row>
      <xdr:rowOff>108858</xdr:rowOff>
    </xdr:from>
    <xdr:to>
      <xdr:col>29</xdr:col>
      <xdr:colOff>416819</xdr:colOff>
      <xdr:row>2</xdr:row>
      <xdr:rowOff>54874</xdr:rowOff>
    </xdr:to>
    <xdr:sp macro="" textlink="">
      <xdr:nvSpPr>
        <xdr:cNvPr id="12" name="TextBox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A95ED5B-18E8-4844-8BA6-DAE9A45549A4}"/>
            </a:ext>
          </a:extLst>
        </xdr:cNvPr>
        <xdr:cNvSpPr txBox="1"/>
      </xdr:nvSpPr>
      <xdr:spPr>
        <a:xfrm>
          <a:off x="20597902" y="108858"/>
          <a:ext cx="1277381" cy="299802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Annuity advance</a:t>
          </a:r>
        </a:p>
      </xdr:txBody>
    </xdr:sp>
    <xdr:clientData/>
  </xdr:twoCellAnchor>
  <xdr:twoCellAnchor>
    <xdr:from>
      <xdr:col>29</xdr:col>
      <xdr:colOff>466787</xdr:colOff>
      <xdr:row>0</xdr:row>
      <xdr:rowOff>121349</xdr:rowOff>
    </xdr:from>
    <xdr:to>
      <xdr:col>31</xdr:col>
      <xdr:colOff>619811</xdr:colOff>
      <xdr:row>2</xdr:row>
      <xdr:rowOff>42383</xdr:rowOff>
    </xdr:to>
    <xdr:sp macro="" textlink="">
      <xdr:nvSpPr>
        <xdr:cNvPr id="13" name="TextBox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BDAA41D-46A5-44C2-90D1-BBAE25FC46FE}"/>
            </a:ext>
          </a:extLst>
        </xdr:cNvPr>
        <xdr:cNvSpPr txBox="1"/>
      </xdr:nvSpPr>
      <xdr:spPr>
        <a:xfrm>
          <a:off x="21925251" y="121349"/>
          <a:ext cx="1486524" cy="27482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Increasing annuity</a:t>
          </a:r>
        </a:p>
      </xdr:txBody>
    </xdr:sp>
    <xdr:clientData/>
  </xdr:twoCellAnchor>
  <xdr:twoCellAnchor>
    <xdr:from>
      <xdr:col>32</xdr:col>
      <xdr:colOff>37286</xdr:colOff>
      <xdr:row>0</xdr:row>
      <xdr:rowOff>108858</xdr:rowOff>
    </xdr:from>
    <xdr:to>
      <xdr:col>33</xdr:col>
      <xdr:colOff>594733</xdr:colOff>
      <xdr:row>2</xdr:row>
      <xdr:rowOff>42384</xdr:rowOff>
    </xdr:to>
    <xdr:sp macro="" textlink="">
      <xdr:nvSpPr>
        <xdr:cNvPr id="14" name="TextBox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02289D3-7B44-4E22-BC18-123280E1962F}"/>
            </a:ext>
          </a:extLst>
        </xdr:cNvPr>
        <xdr:cNvSpPr txBox="1"/>
      </xdr:nvSpPr>
      <xdr:spPr>
        <a:xfrm>
          <a:off x="23496000" y="108858"/>
          <a:ext cx="1224197" cy="287312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Retirment</a:t>
          </a:r>
        </a:p>
      </xdr:txBody>
    </xdr:sp>
    <xdr:clientData/>
  </xdr:twoCellAnchor>
  <xdr:twoCellAnchor>
    <xdr:from>
      <xdr:col>30</xdr:col>
      <xdr:colOff>362614</xdr:colOff>
      <xdr:row>2</xdr:row>
      <xdr:rowOff>44613</xdr:rowOff>
    </xdr:from>
    <xdr:to>
      <xdr:col>31</xdr:col>
      <xdr:colOff>415864</xdr:colOff>
      <xdr:row>2</xdr:row>
      <xdr:rowOff>44613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58B6CD05-F025-4A57-8749-5B3DC916B053}"/>
            </a:ext>
          </a:extLst>
        </xdr:cNvPr>
        <xdr:cNvCxnSpPr/>
      </xdr:nvCxnSpPr>
      <xdr:spPr>
        <a:xfrm flipV="1">
          <a:off x="22487828" y="398399"/>
          <a:ext cx="720000" cy="0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277473</xdr:colOff>
      <xdr:row>61</xdr:row>
      <xdr:rowOff>121657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6FA02CA-71E9-460F-90F9-5176F112511D}"/>
            </a:ext>
          </a:extLst>
        </xdr:cNvPr>
        <xdr:cNvSpPr/>
      </xdr:nvSpPr>
      <xdr:spPr>
        <a:xfrm>
          <a:off x="0" y="0"/>
          <a:ext cx="1618593" cy="10812517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</xdr:col>
      <xdr:colOff>254613</xdr:colOff>
      <xdr:row>0</xdr:row>
      <xdr:rowOff>0</xdr:rowOff>
    </xdr:from>
    <xdr:to>
      <xdr:col>37</xdr:col>
      <xdr:colOff>236483</xdr:colOff>
      <xdr:row>3</xdr:row>
      <xdr:rowOff>24698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5E3424E-D3EA-42DA-80A1-B14C70290395}"/>
            </a:ext>
          </a:extLst>
        </xdr:cNvPr>
        <xdr:cNvSpPr/>
      </xdr:nvSpPr>
      <xdr:spPr>
        <a:xfrm>
          <a:off x="1595733" y="0"/>
          <a:ext cx="21439790" cy="550478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400"/>
        </a:p>
      </xdr:txBody>
    </xdr:sp>
    <xdr:clientData/>
  </xdr:twoCellAnchor>
  <xdr:twoCellAnchor editAs="oneCell">
    <xdr:from>
      <xdr:col>0</xdr:col>
      <xdr:colOff>0</xdr:colOff>
      <xdr:row>0</xdr:row>
      <xdr:rowOff>45720</xdr:rowOff>
    </xdr:from>
    <xdr:to>
      <xdr:col>1</xdr:col>
      <xdr:colOff>61223</xdr:colOff>
      <xdr:row>3</xdr:row>
      <xdr:rowOff>17079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5438DA9-E67E-4E9F-A27D-009642B80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720"/>
          <a:ext cx="731783" cy="497139"/>
        </a:xfrm>
        <a:prstGeom prst="rect">
          <a:avLst/>
        </a:prstGeom>
      </xdr:spPr>
    </xdr:pic>
    <xdr:clientData/>
  </xdr:twoCellAnchor>
  <xdr:twoCellAnchor>
    <xdr:from>
      <xdr:col>1</xdr:col>
      <xdr:colOff>16817</xdr:colOff>
      <xdr:row>0</xdr:row>
      <xdr:rowOff>30480</xdr:rowOff>
    </xdr:from>
    <xdr:to>
      <xdr:col>5</xdr:col>
      <xdr:colOff>178150</xdr:colOff>
      <xdr:row>3</xdr:row>
      <xdr:rowOff>17079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B62B390-72D9-4A80-88AE-2E58BB9A23C8}"/>
            </a:ext>
          </a:extLst>
        </xdr:cNvPr>
        <xdr:cNvSpPr txBox="1"/>
      </xdr:nvSpPr>
      <xdr:spPr>
        <a:xfrm>
          <a:off x="687377" y="30480"/>
          <a:ext cx="2843573" cy="512379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ZA" sz="2400">
              <a:solidFill>
                <a:schemeClr val="bg1">
                  <a:lumMod val="85000"/>
                </a:schemeClr>
              </a:solidFill>
              <a:latin typeface="Aptos Serif" panose="020B0502040204020203" pitchFamily="18" charset="0"/>
              <a:cs typeface="Aptos Serif" panose="020B0502040204020203" pitchFamily="18" charset="0"/>
            </a:rPr>
            <a:t>Financial</a:t>
          </a:r>
          <a:r>
            <a:rPr lang="en-ZA" sz="2400" baseline="0">
              <a:solidFill>
                <a:schemeClr val="bg1">
                  <a:lumMod val="85000"/>
                </a:schemeClr>
              </a:solidFill>
              <a:latin typeface="San Serif"/>
            </a:rPr>
            <a:t> Calculator</a:t>
          </a:r>
          <a:endParaRPr lang="en-ZA" sz="2400">
            <a:solidFill>
              <a:schemeClr val="bg1">
                <a:lumMod val="85000"/>
              </a:schemeClr>
            </a:solidFill>
            <a:latin typeface="San Serif"/>
          </a:endParaRPr>
        </a:p>
      </xdr:txBody>
    </xdr:sp>
    <xdr:clientData/>
  </xdr:twoCellAnchor>
  <xdr:twoCellAnchor>
    <xdr:from>
      <xdr:col>0</xdr:col>
      <xdr:colOff>228600</xdr:colOff>
      <xdr:row>10</xdr:row>
      <xdr:rowOff>69631</xdr:rowOff>
    </xdr:from>
    <xdr:to>
      <xdr:col>2</xdr:col>
      <xdr:colOff>56493</xdr:colOff>
      <xdr:row>24</xdr:row>
      <xdr:rowOff>163436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636D639-2970-4C34-9212-4560D1EC8BD4}"/>
            </a:ext>
          </a:extLst>
        </xdr:cNvPr>
        <xdr:cNvSpPr txBox="1"/>
      </xdr:nvSpPr>
      <xdr:spPr>
        <a:xfrm>
          <a:off x="228600" y="1822231"/>
          <a:ext cx="1169013" cy="2547445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Work out a retirement plan with what you have or what you want to have with this page</a:t>
          </a:r>
        </a:p>
        <a:p>
          <a:endParaRPr lang="en-ZA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0</xdr:col>
      <xdr:colOff>434339</xdr:colOff>
      <xdr:row>7</xdr:row>
      <xdr:rowOff>121132</xdr:rowOff>
    </xdr:from>
    <xdr:to>
      <xdr:col>2</xdr:col>
      <xdr:colOff>112425</xdr:colOff>
      <xdr:row>10</xdr:row>
      <xdr:rowOff>77251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58E2F27-7517-49B6-93A9-DA492112FAD4}"/>
            </a:ext>
          </a:extLst>
        </xdr:cNvPr>
        <xdr:cNvSpPr txBox="1"/>
      </xdr:nvSpPr>
      <xdr:spPr>
        <a:xfrm>
          <a:off x="434339" y="1345329"/>
          <a:ext cx="1027201" cy="480774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ZA" sz="1200">
              <a:solidFill>
                <a:schemeClr val="bg2">
                  <a:lumMod val="75000"/>
                </a:schemeClr>
              </a:solidFill>
            </a:rPr>
            <a:t>Retirement:</a:t>
          </a:r>
        </a:p>
      </xdr:txBody>
    </xdr:sp>
    <xdr:clientData/>
  </xdr:twoCellAnchor>
  <xdr:twoCellAnchor>
    <xdr:from>
      <xdr:col>0</xdr:col>
      <xdr:colOff>167640</xdr:colOff>
      <xdr:row>10</xdr:row>
      <xdr:rowOff>39151</xdr:rowOff>
    </xdr:from>
    <xdr:to>
      <xdr:col>2</xdr:col>
      <xdr:colOff>65973</xdr:colOff>
      <xdr:row>10</xdr:row>
      <xdr:rowOff>39151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4D9E5DC-CB28-44AB-964A-75B8C6B09E97}"/>
            </a:ext>
          </a:extLst>
        </xdr:cNvPr>
        <xdr:cNvCxnSpPr>
          <a:cxnSpLocks/>
        </xdr:cNvCxnSpPr>
      </xdr:nvCxnSpPr>
      <xdr:spPr>
        <a:xfrm>
          <a:off x="167640" y="1791751"/>
          <a:ext cx="1239453" cy="0"/>
        </a:xfrm>
        <a:prstGeom prst="line">
          <a:avLst/>
        </a:prstGeom>
        <a:ln w="41275" cap="rnd">
          <a:solidFill>
            <a:schemeClr val="bg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147529</xdr:colOff>
      <xdr:row>18</xdr:row>
      <xdr:rowOff>114968</xdr:rowOff>
    </xdr:from>
    <xdr:to>
      <xdr:col>2</xdr:col>
      <xdr:colOff>45862</xdr:colOff>
      <xdr:row>18</xdr:row>
      <xdr:rowOff>114968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1D828476-CEA6-4AEA-874D-3AD0BE2A2079}"/>
            </a:ext>
          </a:extLst>
        </xdr:cNvPr>
        <xdr:cNvCxnSpPr>
          <a:cxnSpLocks/>
        </xdr:cNvCxnSpPr>
      </xdr:nvCxnSpPr>
      <xdr:spPr>
        <a:xfrm>
          <a:off x="147529" y="3300378"/>
          <a:ext cx="1247448" cy="0"/>
        </a:xfrm>
        <a:prstGeom prst="line">
          <a:avLst/>
        </a:prstGeom>
        <a:ln w="41275" cap="rnd">
          <a:solidFill>
            <a:schemeClr val="bg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182880</xdr:colOff>
      <xdr:row>8</xdr:row>
      <xdr:rowOff>32845</xdr:rowOff>
    </xdr:from>
    <xdr:to>
      <xdr:col>0</xdr:col>
      <xdr:colOff>426720</xdr:colOff>
      <xdr:row>9</xdr:row>
      <xdr:rowOff>96958</xdr:rowOff>
    </xdr:to>
    <xdr:pic>
      <xdr:nvPicPr>
        <xdr:cNvPr id="10" name="Graphic 9" descr="Information with solid fill">
          <a:extLst>
            <a:ext uri="{FF2B5EF4-FFF2-40B4-BE49-F238E27FC236}">
              <a16:creationId xmlns:a16="http://schemas.microsoft.com/office/drawing/2014/main" id="{F798A91B-F8C5-427C-B6F9-9C1737596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2880" y="1434925"/>
          <a:ext cx="243840" cy="2393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220980</xdr:colOff>
          <xdr:row>16</xdr:row>
          <xdr:rowOff>167640</xdr:rowOff>
        </xdr:from>
        <xdr:to>
          <xdr:col>14</xdr:col>
          <xdr:colOff>190500</xdr:colOff>
          <xdr:row>18</xdr:row>
          <xdr:rowOff>152400</xdr:rowOff>
        </xdr:to>
        <xdr:sp macro="" textlink="">
          <xdr:nvSpPr>
            <xdr:cNvPr id="54274" name="CommandButton1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C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287310</xdr:colOff>
      <xdr:row>15</xdr:row>
      <xdr:rowOff>62460</xdr:rowOff>
    </xdr:from>
    <xdr:to>
      <xdr:col>5</xdr:col>
      <xdr:colOff>612097</xdr:colOff>
      <xdr:row>17</xdr:row>
      <xdr:rowOff>112426</xdr:rowOff>
    </xdr:to>
    <xdr:sp macro="" textlink="">
      <xdr:nvSpPr>
        <xdr:cNvPr id="11" name="Arrow: Down 10">
          <a:extLst>
            <a:ext uri="{FF2B5EF4-FFF2-40B4-BE49-F238E27FC236}">
              <a16:creationId xmlns:a16="http://schemas.microsoft.com/office/drawing/2014/main" id="{C0DFA9CF-5CBA-2168-A52B-3E0992530FA5}"/>
            </a:ext>
          </a:extLst>
        </xdr:cNvPr>
        <xdr:cNvSpPr/>
      </xdr:nvSpPr>
      <xdr:spPr>
        <a:xfrm>
          <a:off x="5009212" y="2698230"/>
          <a:ext cx="324787" cy="424721"/>
        </a:xfrm>
        <a:prstGeom prst="downArrow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19</xdr:col>
      <xdr:colOff>174885</xdr:colOff>
      <xdr:row>0</xdr:row>
      <xdr:rowOff>124918</xdr:rowOff>
    </xdr:from>
    <xdr:to>
      <xdr:col>21</xdr:col>
      <xdr:colOff>249836</xdr:colOff>
      <xdr:row>2</xdr:row>
      <xdr:rowOff>62460</xdr:rowOff>
    </xdr:to>
    <xdr:sp macro="" textlink="">
      <xdr:nvSpPr>
        <xdr:cNvPr id="12" name="TextBox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EC0E56-26B6-7BF5-49B4-A1A6834CCC80}"/>
            </a:ext>
          </a:extLst>
        </xdr:cNvPr>
        <xdr:cNvSpPr txBox="1"/>
      </xdr:nvSpPr>
      <xdr:spPr>
        <a:xfrm>
          <a:off x="17188721" y="124918"/>
          <a:ext cx="1224197" cy="287312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Annuity arrears</a:t>
          </a:r>
        </a:p>
      </xdr:txBody>
    </xdr:sp>
    <xdr:clientData/>
  </xdr:twoCellAnchor>
  <xdr:twoCellAnchor>
    <xdr:from>
      <xdr:col>21</xdr:col>
      <xdr:colOff>284094</xdr:colOff>
      <xdr:row>0</xdr:row>
      <xdr:rowOff>124919</xdr:rowOff>
    </xdr:from>
    <xdr:to>
      <xdr:col>22</xdr:col>
      <xdr:colOff>961868</xdr:colOff>
      <xdr:row>2</xdr:row>
      <xdr:rowOff>74951</xdr:rowOff>
    </xdr:to>
    <xdr:sp macro="" textlink="">
      <xdr:nvSpPr>
        <xdr:cNvPr id="13" name="TextBox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6D077E7-928A-4DF8-8E29-9F42A83B51A5}"/>
            </a:ext>
          </a:extLst>
        </xdr:cNvPr>
        <xdr:cNvSpPr txBox="1"/>
      </xdr:nvSpPr>
      <xdr:spPr>
        <a:xfrm>
          <a:off x="18447176" y="124919"/>
          <a:ext cx="1277381" cy="299802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Annuity advance</a:t>
          </a:r>
        </a:p>
      </xdr:txBody>
    </xdr:sp>
    <xdr:clientData/>
  </xdr:twoCellAnchor>
  <xdr:twoCellAnchor>
    <xdr:from>
      <xdr:col>22</xdr:col>
      <xdr:colOff>1011836</xdr:colOff>
      <xdr:row>0</xdr:row>
      <xdr:rowOff>137410</xdr:rowOff>
    </xdr:from>
    <xdr:to>
      <xdr:col>25</xdr:col>
      <xdr:colOff>12492</xdr:colOff>
      <xdr:row>2</xdr:row>
      <xdr:rowOff>62460</xdr:rowOff>
    </xdr:to>
    <xdr:sp macro="" textlink="">
      <xdr:nvSpPr>
        <xdr:cNvPr id="14" name="TextBox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69460C2-3E2E-476C-A981-A0AECD7287D3}"/>
            </a:ext>
          </a:extLst>
        </xdr:cNvPr>
        <xdr:cNvSpPr txBox="1"/>
      </xdr:nvSpPr>
      <xdr:spPr>
        <a:xfrm>
          <a:off x="19774525" y="137410"/>
          <a:ext cx="1486524" cy="274820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Increasing annuity</a:t>
          </a:r>
        </a:p>
      </xdr:txBody>
    </xdr:sp>
    <xdr:clientData/>
  </xdr:twoCellAnchor>
  <xdr:twoCellAnchor>
    <xdr:from>
      <xdr:col>25</xdr:col>
      <xdr:colOff>96717</xdr:colOff>
      <xdr:row>0</xdr:row>
      <xdr:rowOff>124919</xdr:rowOff>
    </xdr:from>
    <xdr:to>
      <xdr:col>26</xdr:col>
      <xdr:colOff>646356</xdr:colOff>
      <xdr:row>2</xdr:row>
      <xdr:rowOff>62461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45748198-954E-46A9-886A-84FF8DDCD92C}"/>
            </a:ext>
          </a:extLst>
        </xdr:cNvPr>
        <xdr:cNvSpPr txBox="1"/>
      </xdr:nvSpPr>
      <xdr:spPr>
        <a:xfrm>
          <a:off x="21345274" y="124919"/>
          <a:ext cx="1224197" cy="287312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Retirment</a:t>
          </a:r>
        </a:p>
      </xdr:txBody>
    </xdr:sp>
    <xdr:clientData/>
  </xdr:twoCellAnchor>
  <xdr:twoCellAnchor>
    <xdr:from>
      <xdr:col>25</xdr:col>
      <xdr:colOff>149902</xdr:colOff>
      <xdr:row>2</xdr:row>
      <xdr:rowOff>37476</xdr:rowOff>
    </xdr:from>
    <xdr:to>
      <xdr:col>26</xdr:col>
      <xdr:colOff>195344</xdr:colOff>
      <xdr:row>2</xdr:row>
      <xdr:rowOff>37476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2145CE6-B762-5DCA-DB4C-B1E13CBB0F6B}"/>
            </a:ext>
          </a:extLst>
        </xdr:cNvPr>
        <xdr:cNvCxnSpPr/>
      </xdr:nvCxnSpPr>
      <xdr:spPr>
        <a:xfrm flipV="1">
          <a:off x="21398459" y="387246"/>
          <a:ext cx="720000" cy="0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65050</xdr:colOff>
      <xdr:row>0</xdr:row>
      <xdr:rowOff>176559</xdr:rowOff>
    </xdr:from>
    <xdr:to>
      <xdr:col>2</xdr:col>
      <xdr:colOff>473928</xdr:colOff>
      <xdr:row>5</xdr:row>
      <xdr:rowOff>139388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123" y="176559"/>
          <a:ext cx="1077951" cy="854927"/>
        </a:xfrm>
        <a:prstGeom prst="rect">
          <a:avLst/>
        </a:prstGeom>
      </xdr:spPr>
    </xdr:pic>
    <xdr:clientData/>
  </xdr:twoCellAnchor>
  <xdr:twoCellAnchor>
    <xdr:from>
      <xdr:col>25</xdr:col>
      <xdr:colOff>9525</xdr:colOff>
      <xdr:row>1</xdr:row>
      <xdr:rowOff>0</xdr:rowOff>
    </xdr:from>
    <xdr:to>
      <xdr:col>27</xdr:col>
      <xdr:colOff>238125</xdr:colOff>
      <xdr:row>30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4887575" y="180975"/>
          <a:ext cx="1562100" cy="5591175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25</xdr:col>
      <xdr:colOff>428625</xdr:colOff>
      <xdr:row>1</xdr:row>
      <xdr:rowOff>76200</xdr:rowOff>
    </xdr:from>
    <xdr:to>
      <xdr:col>26</xdr:col>
      <xdr:colOff>552449</xdr:colOff>
      <xdr:row>6</xdr:row>
      <xdr:rowOff>9525</xdr:rowOff>
    </xdr:to>
    <xdr:pic>
      <xdr:nvPicPr>
        <xdr:cNvPr id="4" name="Graphic 3" descr="Hamburger Menu Icon with solid fill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5306675" y="257175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25</xdr:col>
      <xdr:colOff>19049</xdr:colOff>
      <xdr:row>7</xdr:row>
      <xdr:rowOff>142875</xdr:rowOff>
    </xdr:from>
    <xdr:to>
      <xdr:col>25</xdr:col>
      <xdr:colOff>581024</xdr:colOff>
      <xdr:row>10</xdr:row>
      <xdr:rowOff>0</xdr:rowOff>
    </xdr:to>
    <xdr:pic>
      <xdr:nvPicPr>
        <xdr:cNvPr id="7" name="Graphic 6" descr="Home with solid fill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4897099" y="1352550"/>
          <a:ext cx="561975" cy="561975"/>
        </a:xfrm>
        <a:prstGeom prst="rect">
          <a:avLst/>
        </a:prstGeom>
      </xdr:spPr>
    </xdr:pic>
    <xdr:clientData/>
  </xdr:twoCellAnchor>
  <xdr:twoCellAnchor>
    <xdr:from>
      <xdr:col>25</xdr:col>
      <xdr:colOff>514350</xdr:colOff>
      <xdr:row>8</xdr:row>
      <xdr:rowOff>142875</xdr:rowOff>
    </xdr:from>
    <xdr:to>
      <xdr:col>27</xdr:col>
      <xdr:colOff>76199</xdr:colOff>
      <xdr:row>10</xdr:row>
      <xdr:rowOff>66676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/>
      </xdr:nvSpPr>
      <xdr:spPr>
        <a:xfrm>
          <a:off x="15392400" y="1524000"/>
          <a:ext cx="895349" cy="4572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ZA" sz="2000">
              <a:solidFill>
                <a:schemeClr val="bg1">
                  <a:lumMod val="85000"/>
                </a:schemeClr>
              </a:solidFill>
            </a:rPr>
            <a:t>Home</a:t>
          </a:r>
        </a:p>
      </xdr:txBody>
    </xdr:sp>
    <xdr:clientData/>
  </xdr:twoCellAnchor>
  <xdr:twoCellAnchor editAs="oneCell">
    <xdr:from>
      <xdr:col>25</xdr:col>
      <xdr:colOff>9525</xdr:colOff>
      <xdr:row>16</xdr:row>
      <xdr:rowOff>76200</xdr:rowOff>
    </xdr:from>
    <xdr:to>
      <xdr:col>25</xdr:col>
      <xdr:colOff>590550</xdr:colOff>
      <xdr:row>19</xdr:row>
      <xdr:rowOff>38101</xdr:rowOff>
    </xdr:to>
    <xdr:pic>
      <xdr:nvPicPr>
        <xdr:cNvPr id="10" name="Graphic 9" descr="Hockey Stick Curve Graph with solid fill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887575" y="3190875"/>
          <a:ext cx="581025" cy="581025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11</xdr:row>
      <xdr:rowOff>238125</xdr:rowOff>
    </xdr:from>
    <xdr:to>
      <xdr:col>25</xdr:col>
      <xdr:colOff>552450</xdr:colOff>
      <xdr:row>14</xdr:row>
      <xdr:rowOff>144543</xdr:rowOff>
    </xdr:to>
    <xdr:pic>
      <xdr:nvPicPr>
        <xdr:cNvPr id="12" name="Graphic 11" descr="Transfer with solid fill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4944725" y="2324100"/>
          <a:ext cx="485775" cy="476433"/>
        </a:xfrm>
        <a:prstGeom prst="rect">
          <a:avLst/>
        </a:prstGeom>
      </xdr:spPr>
    </xdr:pic>
    <xdr:clientData/>
  </xdr:twoCellAnchor>
  <xdr:twoCellAnchor>
    <xdr:from>
      <xdr:col>25</xdr:col>
      <xdr:colOff>542924</xdr:colOff>
      <xdr:row>11</xdr:row>
      <xdr:rowOff>228600</xdr:rowOff>
    </xdr:from>
    <xdr:to>
      <xdr:col>27</xdr:col>
      <xdr:colOff>114299</xdr:colOff>
      <xdr:row>15</xdr:row>
      <xdr:rowOff>38100</xdr:rowOff>
    </xdr:to>
    <xdr:sp macro="" textlink="">
      <xdr:nvSpPr>
        <xdr:cNvPr id="13" name="TextBox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/>
      </xdr:nvSpPr>
      <xdr:spPr>
        <a:xfrm>
          <a:off x="15420974" y="2314575"/>
          <a:ext cx="904875" cy="590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400">
              <a:solidFill>
                <a:schemeClr val="bg1">
                  <a:lumMod val="85000"/>
                </a:schemeClr>
              </a:solidFill>
            </a:rPr>
            <a:t>Chaning</a:t>
          </a:r>
          <a:r>
            <a:rPr lang="en-ZA" sz="1400" baseline="0">
              <a:solidFill>
                <a:schemeClr val="bg1">
                  <a:lumMod val="85000"/>
                </a:schemeClr>
              </a:solidFill>
            </a:rPr>
            <a:t> interest</a:t>
          </a:r>
          <a:endParaRPr lang="en-ZA" sz="14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25</xdr:col>
      <xdr:colOff>533400</xdr:colOff>
      <xdr:row>16</xdr:row>
      <xdr:rowOff>123825</xdr:rowOff>
    </xdr:from>
    <xdr:to>
      <xdr:col>27</xdr:col>
      <xdr:colOff>171449</xdr:colOff>
      <xdr:row>19</xdr:row>
      <xdr:rowOff>76200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15411450" y="3238500"/>
          <a:ext cx="971549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400">
              <a:solidFill>
                <a:schemeClr val="bg1">
                  <a:lumMod val="85000"/>
                </a:schemeClr>
              </a:solidFill>
            </a:rPr>
            <a:t>Graphs &amp; timeline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294497</xdr:colOff>
      <xdr:row>60</xdr:row>
      <xdr:rowOff>109470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AA02580-880E-4483-B3AD-6B02BE9908DE}"/>
            </a:ext>
          </a:extLst>
        </xdr:cNvPr>
        <xdr:cNvSpPr/>
      </xdr:nvSpPr>
      <xdr:spPr>
        <a:xfrm>
          <a:off x="0" y="0"/>
          <a:ext cx="1635617" cy="10625070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</xdr:col>
      <xdr:colOff>271637</xdr:colOff>
      <xdr:row>0</xdr:row>
      <xdr:rowOff>0</xdr:rowOff>
    </xdr:from>
    <xdr:to>
      <xdr:col>29</xdr:col>
      <xdr:colOff>170645</xdr:colOff>
      <xdr:row>3</xdr:row>
      <xdr:rowOff>27474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AD0D8DD-8A35-40CA-A275-96788E8E27D1}"/>
            </a:ext>
          </a:extLst>
        </xdr:cNvPr>
        <xdr:cNvSpPr/>
      </xdr:nvSpPr>
      <xdr:spPr>
        <a:xfrm>
          <a:off x="1612757" y="0"/>
          <a:ext cx="18004128" cy="553254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0</xdr:col>
      <xdr:colOff>0</xdr:colOff>
      <xdr:row>0</xdr:row>
      <xdr:rowOff>45720</xdr:rowOff>
    </xdr:from>
    <xdr:to>
      <xdr:col>1</xdr:col>
      <xdr:colOff>69734</xdr:colOff>
      <xdr:row>3</xdr:row>
      <xdr:rowOff>19855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6DF1D5E-4E73-4F72-8765-466D5D4D1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720"/>
          <a:ext cx="740294" cy="499915"/>
        </a:xfrm>
        <a:prstGeom prst="rect">
          <a:avLst/>
        </a:prstGeom>
      </xdr:spPr>
    </xdr:pic>
    <xdr:clientData/>
  </xdr:twoCellAnchor>
  <xdr:twoCellAnchor>
    <xdr:from>
      <xdr:col>1</xdr:col>
      <xdr:colOff>25328</xdr:colOff>
      <xdr:row>0</xdr:row>
      <xdr:rowOff>30480</xdr:rowOff>
    </xdr:from>
    <xdr:to>
      <xdr:col>5</xdr:col>
      <xdr:colOff>217009</xdr:colOff>
      <xdr:row>3</xdr:row>
      <xdr:rowOff>19855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E3CC7EA-5776-4B7F-8B72-175DA19F0AC4}"/>
            </a:ext>
          </a:extLst>
        </xdr:cNvPr>
        <xdr:cNvSpPr txBox="1"/>
      </xdr:nvSpPr>
      <xdr:spPr>
        <a:xfrm>
          <a:off x="695888" y="30480"/>
          <a:ext cx="2873921" cy="515155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ZA" sz="2400">
              <a:solidFill>
                <a:schemeClr val="bg1">
                  <a:lumMod val="85000"/>
                </a:schemeClr>
              </a:solidFill>
              <a:latin typeface="Aptos Serif" panose="020B0502040204020203" pitchFamily="18" charset="0"/>
              <a:cs typeface="Aptos Serif" panose="020B0502040204020203" pitchFamily="18" charset="0"/>
            </a:rPr>
            <a:t>Financial</a:t>
          </a:r>
          <a:r>
            <a:rPr lang="en-ZA" sz="2400" baseline="0">
              <a:solidFill>
                <a:schemeClr val="bg1">
                  <a:lumMod val="85000"/>
                </a:schemeClr>
              </a:solidFill>
              <a:latin typeface="San Serif"/>
            </a:rPr>
            <a:t> Calculator</a:t>
          </a:r>
          <a:endParaRPr lang="en-ZA" sz="2400">
            <a:solidFill>
              <a:schemeClr val="bg1">
                <a:lumMod val="85000"/>
              </a:schemeClr>
            </a:solidFill>
            <a:latin typeface="San Serif"/>
          </a:endParaRPr>
        </a:p>
      </xdr:txBody>
    </xdr:sp>
    <xdr:clientData/>
  </xdr:twoCellAnchor>
  <xdr:twoCellAnchor>
    <xdr:from>
      <xdr:col>0</xdr:col>
      <xdr:colOff>228600</xdr:colOff>
      <xdr:row>10</xdr:row>
      <xdr:rowOff>78883</xdr:rowOff>
    </xdr:from>
    <xdr:to>
      <xdr:col>2</xdr:col>
      <xdr:colOff>73517</xdr:colOff>
      <xdr:row>23</xdr:row>
      <xdr:rowOff>60209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D615834-B7A2-4636-859C-A04DE33FAAF3}"/>
            </a:ext>
          </a:extLst>
        </xdr:cNvPr>
        <xdr:cNvSpPr txBox="1"/>
      </xdr:nvSpPr>
      <xdr:spPr>
        <a:xfrm>
          <a:off x="228600" y="1831483"/>
          <a:ext cx="1186037" cy="2259706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Payments made at the end of every timeperiod. These payments</a:t>
          </a:r>
          <a:r>
            <a:rPr lang="en-ZA" sz="1100" baseline="0">
              <a:solidFill>
                <a:schemeClr val="bg1">
                  <a:lumMod val="85000"/>
                </a:schemeClr>
              </a:solidFill>
            </a:rPr>
            <a:t> add up, with interest, to an amount which is called the future value.</a:t>
          </a:r>
          <a:endParaRPr lang="en-ZA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0</xdr:col>
      <xdr:colOff>434340</xdr:colOff>
      <xdr:row>7</xdr:row>
      <xdr:rowOff>127608</xdr:rowOff>
    </xdr:from>
    <xdr:to>
      <xdr:col>2</xdr:col>
      <xdr:colOff>35417</xdr:colOff>
      <xdr:row>10</xdr:row>
      <xdr:rowOff>86503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896E89E-6A9D-4B40-BB1F-2773D2CF1AFD}"/>
            </a:ext>
          </a:extLst>
        </xdr:cNvPr>
        <xdr:cNvSpPr txBox="1"/>
      </xdr:nvSpPr>
      <xdr:spPr>
        <a:xfrm>
          <a:off x="434340" y="1354428"/>
          <a:ext cx="942197" cy="484675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200">
              <a:solidFill>
                <a:schemeClr val="bg2">
                  <a:lumMod val="75000"/>
                </a:schemeClr>
              </a:solidFill>
            </a:rPr>
            <a:t>Loans in arrears:</a:t>
          </a:r>
        </a:p>
      </xdr:txBody>
    </xdr:sp>
    <xdr:clientData/>
  </xdr:twoCellAnchor>
  <xdr:twoCellAnchor editAs="oneCell">
    <xdr:from>
      <xdr:col>0</xdr:col>
      <xdr:colOff>182880</xdr:colOff>
      <xdr:row>8</xdr:row>
      <xdr:rowOff>40246</xdr:rowOff>
    </xdr:from>
    <xdr:to>
      <xdr:col>0</xdr:col>
      <xdr:colOff>426720</xdr:colOff>
      <xdr:row>9</xdr:row>
      <xdr:rowOff>63531</xdr:rowOff>
    </xdr:to>
    <xdr:pic>
      <xdr:nvPicPr>
        <xdr:cNvPr id="12" name="Graphic 11" descr="Information with solid fill">
          <a:extLst>
            <a:ext uri="{FF2B5EF4-FFF2-40B4-BE49-F238E27FC236}">
              <a16:creationId xmlns:a16="http://schemas.microsoft.com/office/drawing/2014/main" id="{DF0D5258-3324-42C0-96C1-8D834CC93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2880" y="1442326"/>
          <a:ext cx="243840" cy="2402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236220</xdr:colOff>
          <xdr:row>10</xdr:row>
          <xdr:rowOff>160020</xdr:rowOff>
        </xdr:from>
        <xdr:to>
          <xdr:col>18</xdr:col>
          <xdr:colOff>1181100</xdr:colOff>
          <xdr:row>12</xdr:row>
          <xdr:rowOff>137160</xdr:rowOff>
        </xdr:to>
        <xdr:sp macro="" textlink="">
          <xdr:nvSpPr>
            <xdr:cNvPr id="36865" name="ConvertLoanA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0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</xdr:colOff>
          <xdr:row>19</xdr:row>
          <xdr:rowOff>83820</xdr:rowOff>
        </xdr:from>
        <xdr:to>
          <xdr:col>6</xdr:col>
          <xdr:colOff>502920</xdr:colOff>
          <xdr:row>21</xdr:row>
          <xdr:rowOff>38100</xdr:rowOff>
        </xdr:to>
        <xdr:sp macro="" textlink="">
          <xdr:nvSpPr>
            <xdr:cNvPr id="36867" name="SpinButton1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0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23</xdr:row>
          <xdr:rowOff>0</xdr:rowOff>
        </xdr:from>
        <xdr:to>
          <xdr:col>6</xdr:col>
          <xdr:colOff>510540</xdr:colOff>
          <xdr:row>24</xdr:row>
          <xdr:rowOff>121920</xdr:rowOff>
        </xdr:to>
        <xdr:sp macro="" textlink="">
          <xdr:nvSpPr>
            <xdr:cNvPr id="36869" name="SpinButton2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0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45720</xdr:colOff>
          <xdr:row>17</xdr:row>
          <xdr:rowOff>137160</xdr:rowOff>
        </xdr:from>
        <xdr:to>
          <xdr:col>23</xdr:col>
          <xdr:colOff>365760</xdr:colOff>
          <xdr:row>29</xdr:row>
          <xdr:rowOff>15240</xdr:rowOff>
        </xdr:to>
        <xdr:sp macro="" textlink="">
          <xdr:nvSpPr>
            <xdr:cNvPr id="36872" name="Scroll Bar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10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>
    <xdr:from>
      <xdr:col>20</xdr:col>
      <xdr:colOff>572566</xdr:colOff>
      <xdr:row>0</xdr:row>
      <xdr:rowOff>72572</xdr:rowOff>
    </xdr:from>
    <xdr:to>
      <xdr:col>22</xdr:col>
      <xdr:colOff>173841</xdr:colOff>
      <xdr:row>1</xdr:row>
      <xdr:rowOff>152860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BD5D5DED-1592-410C-AA80-EACA2C36B342}"/>
            </a:ext>
          </a:extLst>
        </xdr:cNvPr>
        <xdr:cNvSpPr txBox="1"/>
      </xdr:nvSpPr>
      <xdr:spPr>
        <a:xfrm>
          <a:off x="19223423" y="72572"/>
          <a:ext cx="1681656" cy="249621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200">
              <a:solidFill>
                <a:schemeClr val="bg1">
                  <a:lumMod val="85000"/>
                </a:schemeClr>
              </a:solidFill>
            </a:rPr>
            <a:t>Loan arrears</a:t>
          </a:r>
        </a:p>
      </xdr:txBody>
    </xdr:sp>
    <xdr:clientData/>
  </xdr:twoCellAnchor>
  <xdr:twoCellAnchor>
    <xdr:from>
      <xdr:col>21</xdr:col>
      <xdr:colOff>829259</xdr:colOff>
      <xdr:row>0</xdr:row>
      <xdr:rowOff>85710</xdr:rowOff>
    </xdr:from>
    <xdr:to>
      <xdr:col>23</xdr:col>
      <xdr:colOff>345867</xdr:colOff>
      <xdr:row>1</xdr:row>
      <xdr:rowOff>165998</xdr:rowOff>
    </xdr:to>
    <xdr:sp macro="" textlink="">
      <xdr:nvSpPr>
        <xdr:cNvPr id="14" name="TextBox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73C5CC3-C555-44E0-8948-CBE23AADBF0E}"/>
            </a:ext>
          </a:extLst>
        </xdr:cNvPr>
        <xdr:cNvSpPr txBox="1"/>
      </xdr:nvSpPr>
      <xdr:spPr>
        <a:xfrm>
          <a:off x="20544497" y="85710"/>
          <a:ext cx="1681656" cy="249621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200">
              <a:solidFill>
                <a:schemeClr val="bg1">
                  <a:lumMod val="85000"/>
                </a:schemeClr>
              </a:solidFill>
            </a:rPr>
            <a:t>Loan advance</a:t>
          </a:r>
        </a:p>
      </xdr:txBody>
    </xdr:sp>
    <xdr:clientData/>
  </xdr:twoCellAnchor>
  <xdr:twoCellAnchor>
    <xdr:from>
      <xdr:col>20</xdr:col>
      <xdr:colOff>713538</xdr:colOff>
      <xdr:row>2</xdr:row>
      <xdr:rowOff>60269</xdr:rowOff>
    </xdr:from>
    <xdr:to>
      <xdr:col>21</xdr:col>
      <xdr:colOff>369157</xdr:colOff>
      <xdr:row>2</xdr:row>
      <xdr:rowOff>60269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20EAE89-EC14-46D2-94CB-229A8A011E3F}"/>
            </a:ext>
          </a:extLst>
        </xdr:cNvPr>
        <xdr:cNvCxnSpPr/>
      </xdr:nvCxnSpPr>
      <xdr:spPr>
        <a:xfrm>
          <a:off x="19364395" y="398936"/>
          <a:ext cx="720000" cy="0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459619</xdr:colOff>
      <xdr:row>63</xdr:row>
      <xdr:rowOff>111042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F05601D-9F54-45AB-A597-6ADB46C0AC4A}"/>
            </a:ext>
          </a:extLst>
        </xdr:cNvPr>
        <xdr:cNvSpPr/>
      </xdr:nvSpPr>
      <xdr:spPr>
        <a:xfrm>
          <a:off x="0" y="0"/>
          <a:ext cx="1790095" cy="11819232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</xdr:col>
      <xdr:colOff>260993</xdr:colOff>
      <xdr:row>0</xdr:row>
      <xdr:rowOff>0</xdr:rowOff>
    </xdr:from>
    <xdr:to>
      <xdr:col>31</xdr:col>
      <xdr:colOff>624590</xdr:colOff>
      <xdr:row>3</xdr:row>
      <xdr:rowOff>9694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3A9BCF2-980D-47C3-B3F8-8186D78543B1}"/>
            </a:ext>
          </a:extLst>
        </xdr:cNvPr>
        <xdr:cNvSpPr/>
      </xdr:nvSpPr>
      <xdr:spPr>
        <a:xfrm>
          <a:off x="1610108" y="0"/>
          <a:ext cx="23760744" cy="534350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0</xdr:col>
      <xdr:colOff>0</xdr:colOff>
      <xdr:row>0</xdr:row>
      <xdr:rowOff>45720</xdr:rowOff>
    </xdr:from>
    <xdr:to>
      <xdr:col>1</xdr:col>
      <xdr:colOff>64412</xdr:colOff>
      <xdr:row>3</xdr:row>
      <xdr:rowOff>2075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F7ED47D-070E-4196-9143-57C480D3E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720"/>
          <a:ext cx="734972" cy="482135"/>
        </a:xfrm>
        <a:prstGeom prst="rect">
          <a:avLst/>
        </a:prstGeom>
      </xdr:spPr>
    </xdr:pic>
    <xdr:clientData/>
  </xdr:twoCellAnchor>
  <xdr:twoCellAnchor>
    <xdr:from>
      <xdr:col>1</xdr:col>
      <xdr:colOff>20006</xdr:colOff>
      <xdr:row>0</xdr:row>
      <xdr:rowOff>30480</xdr:rowOff>
    </xdr:from>
    <xdr:to>
      <xdr:col>5</xdr:col>
      <xdr:colOff>565352</xdr:colOff>
      <xdr:row>3</xdr:row>
      <xdr:rowOff>2075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1415B11D-A783-48FE-B499-7201F537D505}"/>
            </a:ext>
          </a:extLst>
        </xdr:cNvPr>
        <xdr:cNvSpPr txBox="1"/>
      </xdr:nvSpPr>
      <xdr:spPr>
        <a:xfrm>
          <a:off x="690566" y="30480"/>
          <a:ext cx="3227586" cy="497375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ZA" sz="2400">
              <a:solidFill>
                <a:schemeClr val="bg1">
                  <a:lumMod val="85000"/>
                </a:schemeClr>
              </a:solidFill>
              <a:latin typeface="Aptos Serif" panose="020B0502040204020203" pitchFamily="18" charset="0"/>
              <a:cs typeface="Aptos Serif" panose="020B0502040204020203" pitchFamily="18" charset="0"/>
            </a:rPr>
            <a:t>Financial</a:t>
          </a:r>
          <a:r>
            <a:rPr lang="en-ZA" sz="2400" baseline="0">
              <a:solidFill>
                <a:schemeClr val="bg1">
                  <a:lumMod val="85000"/>
                </a:schemeClr>
              </a:solidFill>
              <a:latin typeface="San Serif"/>
            </a:rPr>
            <a:t> Calculator</a:t>
          </a:r>
          <a:endParaRPr lang="en-ZA" sz="2400">
            <a:solidFill>
              <a:schemeClr val="bg1">
                <a:lumMod val="85000"/>
              </a:schemeClr>
            </a:solidFill>
            <a:latin typeface="San Serif"/>
          </a:endParaRPr>
        </a:p>
      </xdr:txBody>
    </xdr:sp>
    <xdr:clientData/>
  </xdr:twoCellAnchor>
  <xdr:twoCellAnchor>
    <xdr:from>
      <xdr:col>0</xdr:col>
      <xdr:colOff>228600</xdr:colOff>
      <xdr:row>10</xdr:row>
      <xdr:rowOff>67997</xdr:rowOff>
    </xdr:from>
    <xdr:to>
      <xdr:col>2</xdr:col>
      <xdr:colOff>157238</xdr:colOff>
      <xdr:row>25</xdr:row>
      <xdr:rowOff>93471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FA1F32E7-00EC-4FA7-85DB-34894BF1B64C}"/>
            </a:ext>
          </a:extLst>
        </xdr:cNvPr>
        <xdr:cNvSpPr txBox="1"/>
      </xdr:nvSpPr>
      <xdr:spPr>
        <a:xfrm>
          <a:off x="228600" y="1845997"/>
          <a:ext cx="1259114" cy="3351664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>
              <a:solidFill>
                <a:schemeClr val="bg1">
                  <a:lumMod val="85000"/>
                </a:schemeClr>
              </a:solidFill>
            </a:rPr>
            <a:t>Payments made at the beginning of every timeperiod. These payments</a:t>
          </a:r>
          <a:r>
            <a:rPr lang="en-ZA" sz="1100" baseline="0">
              <a:solidFill>
                <a:schemeClr val="bg1">
                  <a:lumMod val="85000"/>
                </a:schemeClr>
              </a:solidFill>
            </a:rPr>
            <a:t> add up, with interest, to an amount which is called the future value.</a:t>
          </a:r>
          <a:endParaRPr lang="en-ZA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0</xdr:col>
      <xdr:colOff>434340</xdr:colOff>
      <xdr:row>7</xdr:row>
      <xdr:rowOff>86121</xdr:rowOff>
    </xdr:from>
    <xdr:to>
      <xdr:col>2</xdr:col>
      <xdr:colOff>169334</xdr:colOff>
      <xdr:row>10</xdr:row>
      <xdr:rowOff>75617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DFBBF3F-DCE7-4B8B-9ECE-DC0B59D6E5EA}"/>
            </a:ext>
          </a:extLst>
        </xdr:cNvPr>
        <xdr:cNvSpPr txBox="1"/>
      </xdr:nvSpPr>
      <xdr:spPr>
        <a:xfrm>
          <a:off x="434340" y="1271454"/>
          <a:ext cx="1065470" cy="582163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200">
              <a:solidFill>
                <a:schemeClr val="bg2">
                  <a:lumMod val="75000"/>
                </a:schemeClr>
              </a:solidFill>
            </a:rPr>
            <a:t>Loans in advance:</a:t>
          </a:r>
        </a:p>
      </xdr:txBody>
    </xdr:sp>
    <xdr:clientData/>
  </xdr:twoCellAnchor>
  <xdr:twoCellAnchor editAs="oneCell">
    <xdr:from>
      <xdr:col>0</xdr:col>
      <xdr:colOff>182880</xdr:colOff>
      <xdr:row>7</xdr:row>
      <xdr:rowOff>168093</xdr:rowOff>
    </xdr:from>
    <xdr:to>
      <xdr:col>0</xdr:col>
      <xdr:colOff>426720</xdr:colOff>
      <xdr:row>9</xdr:row>
      <xdr:rowOff>58572</xdr:rowOff>
    </xdr:to>
    <xdr:pic>
      <xdr:nvPicPr>
        <xdr:cNvPr id="12" name="Graphic 11" descr="Information with solid fill">
          <a:extLst>
            <a:ext uri="{FF2B5EF4-FFF2-40B4-BE49-F238E27FC236}">
              <a16:creationId xmlns:a16="http://schemas.microsoft.com/office/drawing/2014/main" id="{C11A0E66-89D3-417F-AB77-AF54652C7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2880" y="1394913"/>
          <a:ext cx="243840" cy="2409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12</xdr:row>
          <xdr:rowOff>45720</xdr:rowOff>
        </xdr:from>
        <xdr:to>
          <xdr:col>18</xdr:col>
          <xdr:colOff>1158240</xdr:colOff>
          <xdr:row>13</xdr:row>
          <xdr:rowOff>198120</xdr:rowOff>
        </xdr:to>
        <xdr:sp macro="" textlink="">
          <xdr:nvSpPr>
            <xdr:cNvPr id="37889" name="btnConvertAD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1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</xdr:colOff>
          <xdr:row>19</xdr:row>
          <xdr:rowOff>129540</xdr:rowOff>
        </xdr:from>
        <xdr:to>
          <xdr:col>6</xdr:col>
          <xdr:colOff>541020</xdr:colOff>
          <xdr:row>21</xdr:row>
          <xdr:rowOff>76200</xdr:rowOff>
        </xdr:to>
        <xdr:sp macro="" textlink="">
          <xdr:nvSpPr>
            <xdr:cNvPr id="37890" name="SpinButton1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1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22</xdr:row>
          <xdr:rowOff>167640</xdr:rowOff>
        </xdr:from>
        <xdr:to>
          <xdr:col>6</xdr:col>
          <xdr:colOff>518160</xdr:colOff>
          <xdr:row>24</xdr:row>
          <xdr:rowOff>114300</xdr:rowOff>
        </xdr:to>
        <xdr:sp macro="" textlink="">
          <xdr:nvSpPr>
            <xdr:cNvPr id="37891" name="SpinButton2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1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17</xdr:row>
          <xdr:rowOff>160020</xdr:rowOff>
        </xdr:from>
        <xdr:to>
          <xdr:col>23</xdr:col>
          <xdr:colOff>312420</xdr:colOff>
          <xdr:row>28</xdr:row>
          <xdr:rowOff>160020</xdr:rowOff>
        </xdr:to>
        <xdr:sp macro="" textlink="">
          <xdr:nvSpPr>
            <xdr:cNvPr id="37892" name="Scroll Bar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1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21</xdr:col>
      <xdr:colOff>525516</xdr:colOff>
      <xdr:row>0</xdr:row>
      <xdr:rowOff>78827</xdr:rowOff>
    </xdr:from>
    <xdr:to>
      <xdr:col>23</xdr:col>
      <xdr:colOff>315310</xdr:colOff>
      <xdr:row>1</xdr:row>
      <xdr:rowOff>157655</xdr:rowOff>
    </xdr:to>
    <xdr:sp macro="" textlink="">
      <xdr:nvSpPr>
        <xdr:cNvPr id="13" name="TextBox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F128560-D074-6CB7-C2AD-0DCCBE2C335C}"/>
            </a:ext>
          </a:extLst>
        </xdr:cNvPr>
        <xdr:cNvSpPr txBox="1"/>
      </xdr:nvSpPr>
      <xdr:spPr>
        <a:xfrm>
          <a:off x="21191482" y="78827"/>
          <a:ext cx="1681656" cy="249621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200">
              <a:solidFill>
                <a:schemeClr val="bg1">
                  <a:lumMod val="85000"/>
                </a:schemeClr>
              </a:solidFill>
            </a:rPr>
            <a:t>Loan arrears</a:t>
          </a:r>
        </a:p>
      </xdr:txBody>
    </xdr:sp>
    <xdr:clientData/>
  </xdr:twoCellAnchor>
  <xdr:twoCellAnchor>
    <xdr:from>
      <xdr:col>22</xdr:col>
      <xdr:colOff>1045177</xdr:colOff>
      <xdr:row>0</xdr:row>
      <xdr:rowOff>91965</xdr:rowOff>
    </xdr:from>
    <xdr:to>
      <xdr:col>25</xdr:col>
      <xdr:colOff>296315</xdr:colOff>
      <xdr:row>2</xdr:row>
      <xdr:rowOff>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688ACE0D-DC35-434A-8349-0D8A0EB60B16}"/>
            </a:ext>
          </a:extLst>
        </xdr:cNvPr>
        <xdr:cNvSpPr txBox="1"/>
      </xdr:nvSpPr>
      <xdr:spPr>
        <a:xfrm>
          <a:off x="22512556" y="91965"/>
          <a:ext cx="1681656" cy="249621"/>
        </a:xfrm>
        <a:prstGeom prst="rect">
          <a:avLst/>
        </a:prstGeom>
        <a:solidFill>
          <a:schemeClr val="bg2">
            <a:lumMod val="25000"/>
          </a:schemeClr>
        </a:solidFill>
        <a:ln w="9525" cmpd="sng">
          <a:solidFill>
            <a:schemeClr val="bg2">
              <a:lumMod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200">
              <a:solidFill>
                <a:schemeClr val="bg1">
                  <a:lumMod val="85000"/>
                </a:schemeClr>
              </a:solidFill>
            </a:rPr>
            <a:t>Loan advance</a:t>
          </a:r>
        </a:p>
      </xdr:txBody>
    </xdr:sp>
    <xdr:clientData/>
  </xdr:twoCellAnchor>
  <xdr:twoCellAnchor>
    <xdr:from>
      <xdr:col>23</xdr:col>
      <xdr:colOff>105103</xdr:colOff>
      <xdr:row>2</xdr:row>
      <xdr:rowOff>39414</xdr:rowOff>
    </xdr:from>
    <xdr:to>
      <xdr:col>24</xdr:col>
      <xdr:colOff>155069</xdr:colOff>
      <xdr:row>2</xdr:row>
      <xdr:rowOff>39414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FEA7418F-14C2-13B4-EC4E-90C2ABE179C8}"/>
            </a:ext>
          </a:extLst>
        </xdr:cNvPr>
        <xdr:cNvCxnSpPr/>
      </xdr:nvCxnSpPr>
      <xdr:spPr>
        <a:xfrm>
          <a:off x="22662931" y="381000"/>
          <a:ext cx="720000" cy="0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un Minnaar" id="{19ACD2EB-6881-4C09-AAB7-2F892E7574A0}" userId="S::50915088@mynwu.ac.za::a5781597-f4f0-4cde-bfec-7ff3a6c4ddd5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56BB3E-81E0-482D-9904-8927B99E392F}" name="Table1" displayName="Table1" ref="C4:H5" totalsRowShown="0">
  <autoFilter ref="C4:H5" xr:uid="{1756BB3E-81E0-482D-9904-8927B99E392F}"/>
  <tableColumns count="6">
    <tableColumn id="1" xr3:uid="{BE366965-D534-40A6-BA62-CCE59168EE1A}" name="Future value">
      <calculatedColumnFormula>'Annuity-In arrears'!G18</calculatedColumnFormula>
    </tableColumn>
    <tableColumn id="2" xr3:uid="{79CD0F29-3CEE-49B1-A11E-9B4396E41942}" name="Payments(x)">
      <calculatedColumnFormula>'Annuity-In arrears'!G21</calculatedColumnFormula>
    </tableColumn>
    <tableColumn id="3" xr3:uid="{D5CEDC3F-B445-4492-91ED-84F560F1DFBE}" name="Interest(r)" dataDxfId="72" dataCellStyle="Percent">
      <calculatedColumnFormula>'Annuity-In arrears'!G27</calculatedColumnFormula>
    </tableColumn>
    <tableColumn id="4" xr3:uid="{BAEEC394-6F43-4EC3-89F5-EFF75850D70F}" name="Years">
      <calculatedColumnFormula>'Annuity-In arrears'!K30</calculatedColumnFormula>
    </tableColumn>
    <tableColumn id="5" xr3:uid="{5C9E3CE1-6368-4211-9A86-C6B98616B3FF}" name="Periods">
      <calculatedColumnFormula>'Annuity-In arrears'!G24</calculatedColumnFormula>
    </tableColumn>
    <tableColumn id="6" xr3:uid="{10064880-0EB7-430C-8527-0A1DB9C37236}" name="Present value">
      <calculatedColumnFormula>'Annuity-In arrears'!K18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5AEEAB-783B-4372-B89D-F741ACDE26FF}" name="Table3" displayName="Table3" ref="M4:R5" totalsRowShown="0">
  <autoFilter ref="M4:R5" xr:uid="{6F5AEEAB-783B-4372-B89D-F741ACDE26FF}"/>
  <tableColumns count="6">
    <tableColumn id="1" xr3:uid="{BCD3352D-5FB4-47D9-8028-A829FC7C8EBE}" name="Future value">
      <calculatedColumnFormula>'Annuity-In advance'!F17</calculatedColumnFormula>
    </tableColumn>
    <tableColumn id="2" xr3:uid="{AD41B5D3-F11E-4928-A809-545FF3DC624B}" name="payments(x)">
      <calculatedColumnFormula>'Annuity-In advance'!F23</calculatedColumnFormula>
    </tableColumn>
    <tableColumn id="3" xr3:uid="{9F5ECF13-88B1-45F0-A500-BF950CE51386}" name="Interest(r)" dataCellStyle="Percent">
      <calculatedColumnFormula>'Annuity-In advance'!F26</calculatedColumnFormula>
    </tableColumn>
    <tableColumn id="4" xr3:uid="{3D2E4E45-104E-4C8E-9F50-E048846030E1}" name="Years">
      <calculatedColumnFormula>'Annuity-In advance'!K29</calculatedColumnFormula>
    </tableColumn>
    <tableColumn id="5" xr3:uid="{600F5DD1-9153-4CDF-AA20-BC7B01D2A927}" name="Periods">
      <calculatedColumnFormula>'Annuity-In advance'!F20</calculatedColumnFormula>
    </tableColumn>
    <tableColumn id="6" xr3:uid="{B4EA8648-A338-4286-89F7-0186D48A1B5C}" name="Present value">
      <calculatedColumnFormula>'Annuity-In advance'!J17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EC09C2-513D-4B69-8935-B58BA97C2145}" name="Table4" displayName="Table4" ref="V3:Z18" totalsRowShown="0">
  <autoFilter ref="V3:Z18" xr:uid="{F5EC09C2-513D-4B69-8935-B58BA97C2145}"/>
  <tableColumns count="5">
    <tableColumn id="1" xr3:uid="{B754CDC7-91E2-4AA9-BC0D-AD05DCD2C368}" name="Year">
      <calculatedColumnFormula>V3+1</calculatedColumnFormula>
    </tableColumn>
    <tableColumn id="2" xr3:uid="{5E1D9ADA-2D5B-4C03-80BB-1688E359F521}" name="FV" dataDxfId="71">
      <calculatedColumnFormula>$D$5*(((1+$E$5)^(V4*$G$5)-1)/$E$5)</calculatedColumnFormula>
    </tableColumn>
    <tableColumn id="3" xr3:uid="{4CCA60C1-BA40-4012-AF63-01B7D758D1C5}" name="PV" dataDxfId="70">
      <calculatedColumnFormula>$D$5*((1-(1+$E$5)^(-1*V4*$G$5))/$E$5)</calculatedColumnFormula>
    </tableColumn>
    <tableColumn id="6" xr3:uid="{CDA8FCC1-05C1-4AA7-95A4-70CD3BFC76F5}" name="X" dataDxfId="69">
      <calculatedColumnFormula>$D$5</calculatedColumnFormula>
    </tableColumn>
    <tableColumn id="5" xr3:uid="{6BB286CE-F953-4487-8422-15ECC648F47F}" name="Interest" dataDxfId="68">
      <calculatedColumnFormula>Table4[[#This Row],[FV]]-(Table4[[#This Row],[X]]*Table4[[#This Row],[Year]])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BC3C79-89DD-4901-9992-6B4191952C0D}" name="Table5" displayName="Table5" ref="AA3:AE18" totalsRowShown="0">
  <autoFilter ref="AA3:AE18" xr:uid="{60BC3C79-89DD-4901-9992-6B4191952C0D}"/>
  <tableColumns count="5">
    <tableColumn id="1" xr3:uid="{9E3D6C16-B904-43B6-A0D7-CA4091DB79EA}" name="Year">
      <calculatedColumnFormula>AA3+1</calculatedColumnFormula>
    </tableColumn>
    <tableColumn id="2" xr3:uid="{7AF1AD20-902D-4544-AE50-4EC7AF97B8BD}" name="FV" dataDxfId="67">
      <calculatedColumnFormula>$N$5*(1+$O$5)*(((1+$O$5)^(AA4*$Q$5)-1)/$O$5)</calculatedColumnFormula>
    </tableColumn>
    <tableColumn id="3" xr3:uid="{296B4801-8958-4C45-97E4-6B8206535600}" name="PV" dataDxfId="66">
      <calculatedColumnFormula>$N$5*(1+$O$5)*((1-(1+$O$5)^(-1*AA4*$Q$5))/$O$5)</calculatedColumnFormula>
    </tableColumn>
    <tableColumn id="5" xr3:uid="{4CFE79A7-A477-426A-9CF7-04A6319873B0}" name="X" dataDxfId="65">
      <calculatedColumnFormula>$N$5</calculatedColumnFormula>
    </tableColumn>
    <tableColumn id="6" xr3:uid="{7C360E34-237D-4A3C-B118-5037B49DC641}" name="Interest" dataDxfId="64">
      <calculatedColumnFormula>Table5[[#This Row],[FV]]-(Table5[[#This Row],[Year]]*Table5[[#This Row],[X]])</calculatedColumnFormula>
    </tableColumn>
  </tableColumns>
  <tableStyleInfo name="TableStyleMedium6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Damask">
  <a:themeElements>
    <a:clrScheme name="Damask">
      <a:dk1>
        <a:sysClr val="windowText" lastClr="000000"/>
      </a:dk1>
      <a:lt1>
        <a:sysClr val="window" lastClr="FFFFFF"/>
      </a:lt1>
      <a:dk2>
        <a:srgbClr val="2A5B7F"/>
      </a:dk2>
      <a:lt2>
        <a:srgbClr val="ABDAFC"/>
      </a:lt2>
      <a:accent1>
        <a:srgbClr val="9EC544"/>
      </a:accent1>
      <a:accent2>
        <a:srgbClr val="50BEA3"/>
      </a:accent2>
      <a:accent3>
        <a:srgbClr val="4A9CCC"/>
      </a:accent3>
      <a:accent4>
        <a:srgbClr val="9A66CA"/>
      </a:accent4>
      <a:accent5>
        <a:srgbClr val="C54F71"/>
      </a:accent5>
      <a:accent6>
        <a:srgbClr val="DE9C3C"/>
      </a:accent6>
      <a:hlink>
        <a:srgbClr val="6BA9DA"/>
      </a:hlink>
      <a:folHlink>
        <a:srgbClr val="A0BCD3"/>
      </a:folHlink>
    </a:clrScheme>
    <a:fontScheme name="Damask">
      <a:majorFont>
        <a:latin typeface="Bookman Old Style" panose="02050604050505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Rockwell" panose="020606030202050204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Damask">
      <a:fillStyleLst>
        <a:solidFill>
          <a:schemeClr val="phClr"/>
        </a:solidFill>
        <a:gradFill rotWithShape="1">
          <a:gsLst>
            <a:gs pos="0">
              <a:schemeClr val="phClr">
                <a:tint val="48000"/>
                <a:satMod val="105000"/>
                <a:lumMod val="110000"/>
              </a:schemeClr>
            </a:gs>
            <a:gs pos="100000">
              <a:schemeClr val="phClr">
                <a:tint val="78000"/>
                <a:satMod val="109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0000"/>
                <a:lumMod val="104000"/>
              </a:schemeClr>
            </a:gs>
            <a:gs pos="69000">
              <a:schemeClr val="phClr">
                <a:shade val="86000"/>
                <a:satMod val="130000"/>
                <a:lumMod val="102000"/>
              </a:schemeClr>
            </a:gs>
            <a:gs pos="100000">
              <a:schemeClr val="phClr">
                <a:shade val="72000"/>
                <a:satMod val="130000"/>
                <a:lumMod val="100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5400000" sy="96000" rotWithShape="0">
              <a:srgbClr val="000000">
                <a:alpha val="54000"/>
              </a:srgbClr>
            </a:outerShdw>
          </a:effectLst>
        </a:effectStyle>
        <a:effectStyle>
          <a:effectLst>
            <a:outerShdw blurRad="76200" dist="38100" dir="5400000" algn="ctr" rotWithShape="0">
              <a:srgbClr val="000000">
                <a:alpha val="76000"/>
              </a:srgbClr>
            </a:outerShdw>
          </a:effectLst>
          <a:scene3d>
            <a:camera prst="orthographicFront">
              <a:rot lat="0" lon="0" rev="0"/>
            </a:camera>
            <a:lightRig rig="balanced" dir="t"/>
          </a:scene3d>
          <a:sp3d prstMaterial="matte">
            <a:bevelT w="25400" h="25400" prst="relaxedIns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shade val="18000"/>
                <a:satMod val="160000"/>
                <a:lumMod val="28000"/>
              </a:schemeClr>
              <a:schemeClr val="phClr">
                <a:tint val="95000"/>
                <a:satMod val="160000"/>
                <a:lumMod val="116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amask" id="{F9A299A0-33D0-4E0F-9F3F-7163E3744208}" vid="{746EEEEA-FB6A-406B-B510-531588D54811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4-02-16T10:33:00.86" personId="{19ACD2EB-6881-4C09-AAB7-2F892E7574A0}" id="{1C028528-C3D3-48E5-9612-C6F07B027036}">
    <text>From what to what</text>
  </threadedComment>
  <threadedComment ref="I2" dT="2024-02-16T10:33:00.86" personId="{19ACD2EB-6881-4C09-AAB7-2F892E7574A0}" id="{F09E5C51-8920-44CA-8BCA-21C0969A1D4D}">
    <text>From what to what</text>
  </threadedComment>
  <threadedComment ref="P2" dT="2024-02-16T10:33:00.86" personId="{19ACD2EB-6881-4C09-AAB7-2F892E7574A0}" id="{8FCC2E11-2589-496F-B53D-9598FEF94085}">
    <text>From what to what</text>
  </threadedComment>
  <threadedComment ref="W2" dT="2024-02-16T10:33:00.86" personId="{19ACD2EB-6881-4C09-AAB7-2F892E7574A0}" id="{3D0BFC54-A820-4A62-9A04-2D0BDAE84948}">
    <text>From what to what</text>
  </threadedComment>
  <threadedComment ref="AD2" dT="2024-02-16T10:33:00.86" personId="{19ACD2EB-6881-4C09-AAB7-2F892E7574A0}" id="{B2B46151-BC07-4966-AC77-78CD6DF7AB12}">
    <text>From what to what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15" dT="2024-07-09T19:21:54.09" personId="{19ACD2EB-6881-4C09-AAB7-2F892E7574A0}" id="{D76F5275-33D3-4C3E-A3B0-DF41C83C5347}">
    <text>Enter the number of interest changes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27" dT="2024-04-10T07:54:49.79" personId="{19ACD2EB-6881-4C09-AAB7-2F892E7574A0}" id="{E49E8468-5C6D-43BD-9B17-8F8EBDBB50FC}">
    <text>Final Interest. Go to the block below to give values.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6" dT="2024-04-10T07:55:10.05" personId="{19ACD2EB-6881-4C09-AAB7-2F892E7574A0}" id="{B6BD5FD7-55C0-455E-B775-E1CFFF5433BB}">
    <text>Final Interest. Go to the block below to give values.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  <wetp:taskpane dockstate="right" visibility="0" width="438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71BD0B88-C526-49B5-8E88-7A3D1241F6F5}">
  <we:reference id="wa104379629" version="1.3.0.0" store="en-US" storeType="OMEX"/>
  <we:alternateReferences>
    <we:reference id="WA104379629" version="1.3.0.0" store="WA104379629" storeType="OMEX"/>
  </we:alternateReferences>
  <we:properties>
    <we:property name="RuntimeConfig" value="{&quot;HostName&quot;:&quot;&quot;,&quot;Applets&quot;:{},&quot;ActiveAppletId&quot;:&quot;&quot;,&quot;Language&quot;:&quot;EN&quot;,&quot;DocumentId&quot;:&quot;81285038-e0ac-442a-b9b2-d59ae6df06c4&quot;,&quot;DateCreated&quot;:&quot;2024-03-13T20:56:51.396Z&quot;,&quot;GenerationActivityId&quot;:&quot;&quot;}"/>
    <we:property name="Features" value="{&quot;LogDomEvents&quot;:false,&quot;LogTelemetry&quot;:true,&quot;ResourceHeadersRefresh&quot;:true}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F6E05A95-2149-4E76-BD80-CF20000DC66A}">
  <we:reference id="wa104006972" version="1.0.0.0" store="en-US" storeType="OMEX"/>
  <we:alternateReferences>
    <we:reference id="WA104006972" version="1.0.0.0" store="WA1040069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clipart-library.com/right-arrow.htm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2.xml"/></Relationships>
</file>

<file path=xl/worksheets/_rels/sheet10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3.xml"/><Relationship Id="rId3" Type="http://schemas.openxmlformats.org/officeDocument/2006/relationships/control" Target="../activeX/activeX1.xml"/><Relationship Id="rId7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6" Type="http://schemas.openxmlformats.org/officeDocument/2006/relationships/image" Target="../media/image28.emf"/><Relationship Id="rId5" Type="http://schemas.openxmlformats.org/officeDocument/2006/relationships/control" Target="../activeX/activeX2.xml"/><Relationship Id="rId4" Type="http://schemas.openxmlformats.org/officeDocument/2006/relationships/image" Target="../media/image27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7" Type="http://schemas.microsoft.com/office/2017/10/relationships/threadedComment" Target="../threadedComments/threadedComment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omments" Target="../comments4.xml"/><Relationship Id="rId5" Type="http://schemas.openxmlformats.org/officeDocument/2006/relationships/ctrlProp" Target="../ctrlProps/ctrlProp1.xml"/><Relationship Id="rId4" Type="http://schemas.openxmlformats.org/officeDocument/2006/relationships/image" Target="../media/image32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omments" Target="../comments5.xml"/><Relationship Id="rId5" Type="http://schemas.openxmlformats.org/officeDocument/2006/relationships/control" Target="../activeX/activeX5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omments" Target="../comments6.xml"/><Relationship Id="rId4" Type="http://schemas.openxmlformats.org/officeDocument/2006/relationships/image" Target="../media/image36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Relationship Id="rId6" Type="http://schemas.openxmlformats.org/officeDocument/2006/relationships/image" Target="../media/image38.emf"/><Relationship Id="rId5" Type="http://schemas.openxmlformats.org/officeDocument/2006/relationships/control" Target="../activeX/activeX8.xml"/><Relationship Id="rId10" Type="http://schemas.openxmlformats.org/officeDocument/2006/relationships/comments" Target="../comments7.xml"/><Relationship Id="rId4" Type="http://schemas.openxmlformats.org/officeDocument/2006/relationships/image" Target="../media/image37.emf"/><Relationship Id="rId9" Type="http://schemas.openxmlformats.org/officeDocument/2006/relationships/ctrlProp" Target="../ctrlProps/ctrlProp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6" Type="http://schemas.openxmlformats.org/officeDocument/2006/relationships/image" Target="../media/image41.emf"/><Relationship Id="rId5" Type="http://schemas.openxmlformats.org/officeDocument/2006/relationships/control" Target="../activeX/activeX11.xml"/><Relationship Id="rId4" Type="http://schemas.openxmlformats.org/officeDocument/2006/relationships/image" Target="../media/image40.emf"/><Relationship Id="rId9" Type="http://schemas.openxmlformats.org/officeDocument/2006/relationships/ctrlProp" Target="../ctrlProps/ctrlProp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82B5-6F48-4C5B-A34A-80FC1CBA3D57}">
  <sheetPr codeName="Sheet16">
    <tabColor theme="2" tint="-0.749992370372631"/>
  </sheetPr>
  <dimension ref="A1"/>
  <sheetViews>
    <sheetView showGridLines="0" showRowColHeaders="0" zoomScale="84" zoomScaleNormal="84" workbookViewId="0"/>
  </sheetViews>
  <sheetFormatPr defaultRowHeight="13.8" x14ac:dyDescent="0.25"/>
  <cols>
    <col min="1" max="16384" width="8.796875" style="332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6D108-DEDE-4A6F-A474-FD2257F83685}">
  <sheetPr codeName="Sheet11"/>
  <dimension ref="B1:AE999"/>
  <sheetViews>
    <sheetView zoomScale="74" workbookViewId="0">
      <selection activeCell="L24" sqref="L24"/>
    </sheetView>
  </sheetViews>
  <sheetFormatPr defaultRowHeight="13.8" x14ac:dyDescent="0.25"/>
  <cols>
    <col min="2" max="2" width="11.09765625" bestFit="1" customWidth="1"/>
    <col min="3" max="3" width="14" customWidth="1"/>
    <col min="4" max="4" width="15" customWidth="1"/>
    <col min="5" max="5" width="16.5" customWidth="1"/>
    <col min="6" max="6" width="17.69921875" customWidth="1"/>
    <col min="7" max="7" width="18.19921875" customWidth="1"/>
    <col min="8" max="8" width="15.19921875" customWidth="1"/>
    <col min="9" max="9" width="9" customWidth="1"/>
    <col min="10" max="10" width="8.69921875" style="16"/>
    <col min="12" max="12" width="11.69921875" customWidth="1"/>
    <col min="13" max="13" width="13.69921875" customWidth="1"/>
    <col min="14" max="14" width="14.5" customWidth="1"/>
    <col min="15" max="15" width="15.19921875" customWidth="1"/>
    <col min="16" max="16" width="15.09765625" customWidth="1"/>
    <col min="17" max="17" width="17.69921875" bestFit="1" customWidth="1"/>
    <col min="18" max="18" width="14.5" customWidth="1"/>
    <col min="23" max="23" width="12.296875" bestFit="1" customWidth="1"/>
    <col min="24" max="26" width="12.59765625" customWidth="1"/>
    <col min="28" max="28" width="13" customWidth="1"/>
    <col min="29" max="29" width="11.19921875" bestFit="1" customWidth="1"/>
    <col min="30" max="30" width="11.19921875" customWidth="1"/>
    <col min="31" max="31" width="11.19921875" bestFit="1" customWidth="1"/>
  </cols>
  <sheetData>
    <row r="1" spans="2:31" ht="14.25" customHeight="1" x14ac:dyDescent="0.25">
      <c r="C1" s="467" t="s">
        <v>60</v>
      </c>
      <c r="D1" s="467"/>
      <c r="E1" s="467"/>
      <c r="F1" s="467"/>
      <c r="G1" s="467"/>
      <c r="H1" s="467"/>
      <c r="I1" s="22"/>
      <c r="M1" s="467" t="s">
        <v>61</v>
      </c>
      <c r="N1" s="467"/>
      <c r="O1" s="467"/>
      <c r="P1" s="467"/>
      <c r="Q1" s="467"/>
      <c r="R1" s="467"/>
    </row>
    <row r="2" spans="2:31" ht="14.25" customHeight="1" x14ac:dyDescent="0.25">
      <c r="C2" s="467"/>
      <c r="D2" s="467"/>
      <c r="E2" s="467"/>
      <c r="F2" s="467"/>
      <c r="G2" s="467"/>
      <c r="H2" s="467"/>
      <c r="I2" s="22"/>
      <c r="M2" s="467"/>
      <c r="N2" s="467"/>
      <c r="O2" s="467"/>
      <c r="P2" s="467"/>
      <c r="Q2" s="467"/>
      <c r="R2" s="467"/>
    </row>
    <row r="3" spans="2:31" ht="14.25" customHeight="1" x14ac:dyDescent="0.25">
      <c r="C3" s="467"/>
      <c r="D3" s="467"/>
      <c r="E3" s="467"/>
      <c r="F3" s="467"/>
      <c r="G3" s="467"/>
      <c r="H3" s="467"/>
      <c r="I3" s="22"/>
      <c r="M3" s="467"/>
      <c r="N3" s="467"/>
      <c r="O3" s="467"/>
      <c r="P3" s="467"/>
      <c r="Q3" s="467"/>
      <c r="R3" s="467"/>
      <c r="V3" t="s">
        <v>98</v>
      </c>
      <c r="W3" t="s">
        <v>16</v>
      </c>
      <c r="X3" t="s">
        <v>17</v>
      </c>
      <c r="Y3" t="s">
        <v>99</v>
      </c>
      <c r="Z3" t="s">
        <v>33</v>
      </c>
      <c r="AA3" t="s">
        <v>98</v>
      </c>
      <c r="AB3" t="s">
        <v>16</v>
      </c>
      <c r="AC3" t="s">
        <v>17</v>
      </c>
      <c r="AD3" t="s">
        <v>99</v>
      </c>
      <c r="AE3" t="s">
        <v>33</v>
      </c>
    </row>
    <row r="4" spans="2:31" x14ac:dyDescent="0.25">
      <c r="C4" t="s">
        <v>45</v>
      </c>
      <c r="D4" t="s">
        <v>46</v>
      </c>
      <c r="E4" t="s">
        <v>47</v>
      </c>
      <c r="F4" t="s">
        <v>28</v>
      </c>
      <c r="G4" t="s">
        <v>48</v>
      </c>
      <c r="H4" t="s">
        <v>52</v>
      </c>
      <c r="M4" t="s">
        <v>45</v>
      </c>
      <c r="N4" t="s">
        <v>53</v>
      </c>
      <c r="O4" t="s">
        <v>47</v>
      </c>
      <c r="P4" t="s">
        <v>28</v>
      </c>
      <c r="Q4" t="s">
        <v>48</v>
      </c>
      <c r="R4" t="s">
        <v>52</v>
      </c>
      <c r="V4">
        <v>1</v>
      </c>
      <c r="W4" s="54">
        <f>$D$5*(((1+$E$5)^(V4*$G$5)-1)/$E$5)</f>
        <v>13412.089728127263</v>
      </c>
      <c r="X4" s="54">
        <f t="shared" ref="X4:X18" si="0">$D$5*((1-(1+$E$5)^(-1*V4*$G$5))/$E$5)</f>
        <v>10575.341220917178</v>
      </c>
      <c r="Y4" s="54">
        <f>$D$5</f>
        <v>1000</v>
      </c>
      <c r="Z4" s="54">
        <f>Table4[[#This Row],[FV]]-(Table4[[#This Row],[X]]*Table4[[#This Row],[Year]])</f>
        <v>12412.089728127263</v>
      </c>
      <c r="AA4">
        <v>1</v>
      </c>
      <c r="AB4" s="54">
        <f>$N$5*(1+$O$5)*(((1+$O$5)^(AA4*$Q$5)-1)/$O$5)</f>
        <v>15626.837682759724</v>
      </c>
      <c r="AC4" s="54">
        <f t="shared" ref="AC4:AC18" si="1">$N$5*(1+$O$5)*((1-(1+$O$5)^(-1*AA4*$Q$5))/$O$5)</f>
        <v>9760.4767109183067</v>
      </c>
      <c r="AD4" s="54">
        <f t="shared" ref="AD4:AD18" si="2">$N$5</f>
        <v>1000</v>
      </c>
      <c r="AE4" s="54">
        <f>Table5[[#This Row],[FV]]-(Table5[[#This Row],[Year]]*Table5[[#This Row],[X]])</f>
        <v>14626.837682759724</v>
      </c>
    </row>
    <row r="5" spans="2:31" x14ac:dyDescent="0.25">
      <c r="B5" s="17"/>
      <c r="C5" s="54">
        <f>'Annuity-In arrears'!G18</f>
        <v>36100</v>
      </c>
      <c r="D5">
        <f>'Annuity-In arrears'!G21</f>
        <v>1000</v>
      </c>
      <c r="E5" s="18">
        <f>'Annuity-In arrears'!G27</f>
        <v>0.02</v>
      </c>
      <c r="F5">
        <f>'Annuity-In arrears'!K30</f>
        <v>3</v>
      </c>
      <c r="G5">
        <f>'Annuity-In arrears'!G24</f>
        <v>12</v>
      </c>
      <c r="H5" s="54">
        <f>'Annuity-In arrears'!K18</f>
        <v>5200</v>
      </c>
      <c r="L5" s="17"/>
      <c r="M5">
        <f>'Annuity-In advance'!F17</f>
        <v>100000</v>
      </c>
      <c r="N5">
        <f>'Annuity-In advance'!F23</f>
        <v>1000</v>
      </c>
      <c r="O5" s="7">
        <f>'Annuity-In advance'!F26</f>
        <v>0.04</v>
      </c>
      <c r="P5">
        <f>'Annuity-In advance'!K29</f>
        <v>3</v>
      </c>
      <c r="Q5">
        <f>'Annuity-In advance'!F20</f>
        <v>12</v>
      </c>
      <c r="R5">
        <f>'Annuity-In advance'!J17</f>
        <v>5000</v>
      </c>
      <c r="V5">
        <f>V4+1</f>
        <v>2</v>
      </c>
      <c r="W5" s="54">
        <f>$D$5*(((1+$E$5)^(V5*$G$5)-1)/$E$5)</f>
        <v>30421.862473761252</v>
      </c>
      <c r="X5" s="54">
        <f t="shared" si="0"/>
        <v>18913.925603057756</v>
      </c>
      <c r="Y5" s="54">
        <f t="shared" ref="Y5:Y18" si="3">$D$5</f>
        <v>1000</v>
      </c>
      <c r="Z5" s="54">
        <f>Table4[[#This Row],[FV]]-(Table4[[#This Row],[X]]*Table4[[#This Row],[Year]])</f>
        <v>28421.862473761252</v>
      </c>
      <c r="AA5">
        <f>AA4+1</f>
        <v>2</v>
      </c>
      <c r="AB5" s="54">
        <f t="shared" ref="AB5:AB18" si="4">$N$5*(1+$O$5)*(((1+$O$5)^(AA5*$Q$5)-1)/$O$5)</f>
        <v>40645.908287185572</v>
      </c>
      <c r="AC5" s="54">
        <f t="shared" si="1"/>
        <v>15856.841667052819</v>
      </c>
      <c r="AD5" s="54">
        <f t="shared" si="2"/>
        <v>1000</v>
      </c>
      <c r="AE5" s="54">
        <f>Table5[[#This Row],[FV]]-(Table5[[#This Row],[Year]]*Table5[[#This Row],[X]])</f>
        <v>38645.908287185572</v>
      </c>
    </row>
    <row r="6" spans="2:31" x14ac:dyDescent="0.25">
      <c r="V6">
        <f t="shared" ref="V6:V15" si="5">V5+1</f>
        <v>3</v>
      </c>
      <c r="W6" s="54">
        <f t="shared" ref="W6:W18" si="6">$D$5*(((1+$E$5)^(V6*$G$5)-1)/$E$5)</f>
        <v>51994.36718578518</v>
      </c>
      <c r="X6" s="54">
        <f t="shared" si="0"/>
        <v>25488.842482387387</v>
      </c>
      <c r="Y6" s="54">
        <f t="shared" si="3"/>
        <v>1000</v>
      </c>
      <c r="Z6" s="54">
        <f>Table4[[#This Row],[FV]]-(Table4[[#This Row],[X]]*Table4[[#This Row],[Year]])</f>
        <v>48994.36718578518</v>
      </c>
      <c r="AA6">
        <f t="shared" ref="AA6:AA18" si="7">AA5+1</f>
        <v>3</v>
      </c>
      <c r="AB6" s="54">
        <f t="shared" si="4"/>
        <v>80702.246403490935</v>
      </c>
      <c r="AC6" s="54">
        <f t="shared" si="1"/>
        <v>19664.613231817737</v>
      </c>
      <c r="AD6" s="54">
        <f t="shared" si="2"/>
        <v>1000</v>
      </c>
      <c r="AE6" s="54">
        <f>Table5[[#This Row],[FV]]-(Table5[[#This Row],[Year]]*Table5[[#This Row],[X]])</f>
        <v>77702.246403490935</v>
      </c>
    </row>
    <row r="7" spans="2:31" x14ac:dyDescent="0.25">
      <c r="C7" s="4" t="s">
        <v>49</v>
      </c>
      <c r="D7" s="56" t="s">
        <v>31</v>
      </c>
      <c r="E7" s="56" t="s">
        <v>32</v>
      </c>
      <c r="F7" s="56" t="s">
        <v>90</v>
      </c>
      <c r="G7" s="58" t="s">
        <v>12</v>
      </c>
      <c r="M7" s="4" t="s">
        <v>1</v>
      </c>
      <c r="N7" s="56" t="s">
        <v>31</v>
      </c>
      <c r="O7" s="56" t="s">
        <v>32</v>
      </c>
      <c r="P7" s="56" t="s">
        <v>90</v>
      </c>
      <c r="Q7" s="56" t="s">
        <v>12</v>
      </c>
      <c r="V7">
        <f t="shared" si="5"/>
        <v>4</v>
      </c>
      <c r="W7" s="54">
        <f t="shared" si="6"/>
        <v>79353.51927497139</v>
      </c>
      <c r="X7" s="54">
        <f t="shared" si="0"/>
        <v>30673.119571755436</v>
      </c>
      <c r="Y7" s="54">
        <f t="shared" si="3"/>
        <v>1000</v>
      </c>
      <c r="Z7" s="54">
        <f>Table4[[#This Row],[FV]]-(Table4[[#This Row],[X]]*Table4[[#This Row],[Year]])</f>
        <v>75353.51927497139</v>
      </c>
      <c r="AA7">
        <f t="shared" si="7"/>
        <v>4</v>
      </c>
      <c r="AB7" s="54">
        <f t="shared" si="4"/>
        <v>144833.73428553654</v>
      </c>
      <c r="AC7" s="54">
        <f t="shared" si="1"/>
        <v>22042.936116644774</v>
      </c>
      <c r="AD7" s="54">
        <f t="shared" si="2"/>
        <v>1000</v>
      </c>
      <c r="AE7" s="54">
        <f>Table5[[#This Row],[FV]]-(Table5[[#This Row],[Year]]*Table5[[#This Row],[X]])</f>
        <v>140833.73428553654</v>
      </c>
    </row>
    <row r="8" spans="2:31" x14ac:dyDescent="0.25">
      <c r="C8" s="4" t="s">
        <v>18</v>
      </c>
      <c r="D8" s="57">
        <f>D5*(((1+E5)^(F5*G5)-1)/E5)</f>
        <v>51994.36718578518</v>
      </c>
      <c r="E8" s="57">
        <f>D5*(((1+E5)^(F5*G5)-1)/E5)</f>
        <v>51994.36718578518</v>
      </c>
      <c r="F8" s="57" cm="1">
        <f t="array" ref="F8">Table1[Present value]*(1+Table1[Interest(r)])^(Table1[Years]*Table1[Periods])</f>
        <v>10607.414187321659</v>
      </c>
      <c r="G8" s="59" t="str">
        <f>'Annuity-In arrears'!M12</f>
        <v>Future Value</v>
      </c>
      <c r="M8" s="4" t="s">
        <v>18</v>
      </c>
      <c r="N8" s="57" cm="1">
        <f t="array" ref="N8">Table3[payments(x)]*(1+Table3[Interest(r)])*(((1+Table3[Interest(r)])^(Table3[Years]*Table3[Periods])-1)/Table3[Interest(r)])</f>
        <v>80702.246403490935</v>
      </c>
      <c r="O8" s="57" cm="1">
        <f t="array" ref="O8">IF('Annuity-In advance'!J17="",Table3[payments(x)]*(1+Table3[Interest(r)])*(((1+Table3[Interest(r)])^(Table3[Years]*Table3[Periods])-1)/Table3[Interest(r)]),Table3[Present value]*(1+Table3[Interest(r)])^(Table3[Years]*Table3[Periods]))</f>
        <v>20519.662769902105</v>
      </c>
      <c r="P8" s="57" cm="1">
        <f t="array" ref="P8">Table3[Present value]*(1+Table3[Interest(r)])^(Table3[Years]*Table3[Periods])</f>
        <v>20519.662769902105</v>
      </c>
      <c r="Q8" s="59" t="str">
        <f>'Annuity-In advance'!M12</f>
        <v>Future Value</v>
      </c>
      <c r="V8">
        <f t="shared" si="5"/>
        <v>5</v>
      </c>
      <c r="W8" s="54">
        <f t="shared" si="6"/>
        <v>114051.53941827051</v>
      </c>
      <c r="X8" s="54">
        <f t="shared" si="0"/>
        <v>34760.886677046488</v>
      </c>
      <c r="Y8" s="54">
        <f t="shared" si="3"/>
        <v>1000</v>
      </c>
      <c r="Z8" s="54">
        <f>Table4[[#This Row],[FV]]-(Table4[[#This Row],[X]]*Table4[[#This Row],[Year]])</f>
        <v>109051.53941827051</v>
      </c>
      <c r="AA8">
        <f t="shared" si="7"/>
        <v>5</v>
      </c>
      <c r="AB8" s="54">
        <f t="shared" si="4"/>
        <v>247510.31260937446</v>
      </c>
      <c r="AC8" s="54">
        <f t="shared" si="1"/>
        <v>23528.429573456491</v>
      </c>
      <c r="AD8" s="54">
        <f t="shared" si="2"/>
        <v>1000</v>
      </c>
      <c r="AE8" s="54">
        <f>Table5[[#This Row],[FV]]-(Table5[[#This Row],[Year]]*Table5[[#This Row],[X]])</f>
        <v>242510.31260937446</v>
      </c>
    </row>
    <row r="9" spans="2:31" x14ac:dyDescent="0.25">
      <c r="C9" s="4" t="s">
        <v>19</v>
      </c>
      <c r="D9" s="57" cm="1">
        <f t="array" ref="D9">(Table1[Payments(x)]*(1-(1+Table1[Interest(r)])^(-1*Table1[Years]*Table1[Periods])))/Table1[Interest(r)]</f>
        <v>25488.842482387387</v>
      </c>
      <c r="E9" s="57" cm="1">
        <f t="array" ref="E9">(Table1[Payments(x)]*(1-(1+Table1[Interest(r)])^(-1*Table1[Years]*Table1[Periods])))/Table1[Interest(r)]</f>
        <v>25488.842482387387</v>
      </c>
      <c r="F9" s="57" cm="1">
        <f t="array" ref="F9">Table1[Future value]/(1+Table1[Interest(r)])^(Table1[Years]*Table1[Periods])</f>
        <v>17697.05572771631</v>
      </c>
      <c r="M9" s="4" t="s">
        <v>19</v>
      </c>
      <c r="N9" s="57" cm="1">
        <f t="array" ref="N9">IF('Annuity-In advance'!F17="",Table3[payments(x)]*(1+Table3[Interest(r)])*((1-(1+Table3[Interest(r)])^(-1*Table3[Years]*Table3[Periods]))/Table3[Interest(r)]),Table3[Future value]/(1+Table3[Interest(r)])^(Table3[Years]*Table3[Periods]))</f>
        <v>24366.872185316395</v>
      </c>
      <c r="O9" s="57" cm="1">
        <f t="array" ref="O9">Table3[payments(x)]*(1+Table3[Interest(r)])*((1-(1+Table3[Interest(r)])^(-1*Table3[Years]*Table3[Periods]))/Table3[Interest(r)])</f>
        <v>19664.613231817737</v>
      </c>
      <c r="P9" s="57" cm="1">
        <f t="array" ref="P9">Table3[Future value]/(1+Table3[Interest(r)])^(Table3[Years]*Table3[Periods])</f>
        <v>24366.872185316395</v>
      </c>
      <c r="V9">
        <f t="shared" si="5"/>
        <v>6</v>
      </c>
      <c r="W9" s="54">
        <f t="shared" si="6"/>
        <v>158057.0187525755</v>
      </c>
      <c r="X9" s="54">
        <f t="shared" si="0"/>
        <v>37984.063142935651</v>
      </c>
      <c r="Y9" s="54">
        <f t="shared" si="3"/>
        <v>1000</v>
      </c>
      <c r="Z9" s="54">
        <f>Table4[[#This Row],[FV]]-(Table4[[#This Row],[X]]*Table4[[#This Row],[Year]])</f>
        <v>152057.0187525755</v>
      </c>
      <c r="AA9">
        <f t="shared" si="7"/>
        <v>6</v>
      </c>
      <c r="AB9" s="54">
        <f t="shared" si="4"/>
        <v>411898.82259812689</v>
      </c>
      <c r="AC9" s="54">
        <f t="shared" si="1"/>
        <v>24456.264403751582</v>
      </c>
      <c r="AD9" s="54">
        <f t="shared" si="2"/>
        <v>1000</v>
      </c>
      <c r="AE9" s="54">
        <f>Table5[[#This Row],[FV]]-(Table5[[#This Row],[Year]]*Table5[[#This Row],[X]])</f>
        <v>405898.82259812689</v>
      </c>
    </row>
    <row r="10" spans="2:31" x14ac:dyDescent="0.25">
      <c r="C10" s="4" t="s">
        <v>50</v>
      </c>
      <c r="D10" s="57">
        <f>C5/(((1+E5)^(F5*G5)-1)/E5)</f>
        <v>694.30597878051367</v>
      </c>
      <c r="E10" s="57" cm="1">
        <f t="array" ref="E10">Table1[Present value]/((1-(1+Table1[Interest(r)])^(-1*Table1[Years]*Table1[Periods]))/Table1[Interest(r)])</f>
        <v>204.01083350855041</v>
      </c>
      <c r="F10" s="57">
        <f>C5/(((1+E5)^(F5*G5)-1)/E5)</f>
        <v>694.30597878051367</v>
      </c>
      <c r="M10" s="4" t="s">
        <v>50</v>
      </c>
      <c r="N10" s="57" cm="1">
        <f t="array" ref="N10">(Table3[Future value])/((1+Table3[Interest(r)])*(((1+Table3[Interest(r)])^(Table3[Years]*Table3[Periods])-1)/Table3[Interest(r)]))</f>
        <v>1239.1228801739314</v>
      </c>
      <c r="O10" s="57" cm="1">
        <f t="array" ref="O10">Table3[Present value]/((1+Table3[Interest(r)])*((1-(1+Table3[Interest(r)])^(-1*Table3[Years]*Table3[Periods]))/Table3[Interest(r)]))</f>
        <v>254.26383631638885</v>
      </c>
      <c r="P10" s="57" cm="1">
        <f t="array" ref="P10">(Table3[Future value])/((1+Table3[Interest(r)])*(((1+Table3[Interest(r)])^(Table3[Years]*Table3[Periods])-1)/Table3[Interest(r)]))</f>
        <v>1239.1228801739314</v>
      </c>
      <c r="V10">
        <f t="shared" si="5"/>
        <v>7</v>
      </c>
      <c r="W10" s="54">
        <f t="shared" si="6"/>
        <v>213866.60683409948</v>
      </c>
      <c r="X10" s="54">
        <f t="shared" si="0"/>
        <v>40525.515789984667</v>
      </c>
      <c r="Y10" s="54">
        <f t="shared" si="3"/>
        <v>1000</v>
      </c>
      <c r="Z10" s="54">
        <f>Table4[[#This Row],[FV]]-(Table4[[#This Row],[X]]*Table4[[#This Row],[Year]])</f>
        <v>206866.60683409948</v>
      </c>
      <c r="AA10">
        <f t="shared" si="7"/>
        <v>7</v>
      </c>
      <c r="AB10" s="54">
        <f t="shared" si="4"/>
        <v>675090.12345245469</v>
      </c>
      <c r="AC10" s="54">
        <f t="shared" si="1"/>
        <v>25035.787301251516</v>
      </c>
      <c r="AD10" s="54">
        <f t="shared" si="2"/>
        <v>1000</v>
      </c>
      <c r="AE10" s="54">
        <f>Table5[[#This Row],[FV]]-(Table5[[#This Row],[Year]]*Table5[[#This Row],[X]])</f>
        <v>668090.12345245469</v>
      </c>
    </row>
    <row r="11" spans="2:31" x14ac:dyDescent="0.25">
      <c r="C11" s="4" t="s">
        <v>11</v>
      </c>
      <c r="D11" s="52" cm="1">
        <f t="array" ref="D11">D13/Table1[Periods]</f>
        <v>2.2870972197983166</v>
      </c>
      <c r="E11" s="52" cm="1">
        <f t="array" ref="E11">E13/Table1[Periods]</f>
        <v>0.46212245966469884</v>
      </c>
      <c r="F11" s="52" cm="1">
        <f t="array" ref="F11">F13/Table1[Periods]</f>
        <v>8.153944300635203</v>
      </c>
      <c r="M11" s="4" t="s">
        <v>11</v>
      </c>
      <c r="N11" s="52" cm="1">
        <f t="array" ref="N11">N13/Table3[Periods]</f>
        <v>3.3532140758595563</v>
      </c>
      <c r="O11" s="4" cm="1">
        <f t="array" ref="O11">O13/Table3[Periods]</f>
        <v>0.45378679428769891</v>
      </c>
      <c r="P11" s="52" cm="1">
        <f t="array" ref="P11">P13/Table3[Periods]</f>
        <v>6.3651151664133678</v>
      </c>
      <c r="V11">
        <f t="shared" si="5"/>
        <v>8</v>
      </c>
      <c r="W11" s="54">
        <f t="shared" si="6"/>
        <v>284646.6589764079</v>
      </c>
      <c r="X11" s="54">
        <f t="shared" si="0"/>
        <v>42529.433858246746</v>
      </c>
      <c r="Y11" s="54">
        <f t="shared" si="3"/>
        <v>1000</v>
      </c>
      <c r="Z11" s="54">
        <f>Table4[[#This Row],[FV]]-(Table4[[#This Row],[X]]*Table4[[#This Row],[Year]])</f>
        <v>276646.6589764079</v>
      </c>
      <c r="AA11">
        <f t="shared" si="7"/>
        <v>8</v>
      </c>
      <c r="AB11" s="54">
        <f t="shared" si="4"/>
        <v>1096467.8757669732</v>
      </c>
      <c r="AC11" s="54">
        <f t="shared" si="1"/>
        <v>25397.755593194062</v>
      </c>
      <c r="AD11" s="54">
        <f t="shared" si="2"/>
        <v>1000</v>
      </c>
      <c r="AE11" s="54">
        <f>Table5[[#This Row],[FV]]-(Table5[[#This Row],[Year]]*Table5[[#This Row],[X]])</f>
        <v>1088467.8757669732</v>
      </c>
    </row>
    <row r="12" spans="2:31" x14ac:dyDescent="0.25">
      <c r="C12" s="4" t="s">
        <v>10</v>
      </c>
      <c r="D12" s="52" cm="1">
        <f t="array" ref="D12">D13/Table1[Years]</f>
        <v>9.1483888791932664</v>
      </c>
      <c r="E12" s="52" cm="1">
        <f t="array" ref="E12">E13/Table1[Years]</f>
        <v>1.8484898386587953</v>
      </c>
      <c r="F12" s="52" cm="1">
        <f t="array" ref="F12">F13/Table1[Years]</f>
        <v>32.615777202540812</v>
      </c>
      <c r="M12" s="4" t="s">
        <v>10</v>
      </c>
      <c r="N12" s="52" cm="1">
        <f t="array" ref="N12">N13/Table3[Years]</f>
        <v>13.412856303438225</v>
      </c>
      <c r="O12" s="4" cm="1">
        <f t="array" ref="O12">O13/Table3[Years]</f>
        <v>1.8151471771507957</v>
      </c>
      <c r="P12" s="52" cm="1">
        <f t="array" ref="P12">P13/Table3[Years]</f>
        <v>25.460460665653471</v>
      </c>
      <c r="V12">
        <f t="shared" si="5"/>
        <v>9</v>
      </c>
      <c r="W12" s="54">
        <f t="shared" si="6"/>
        <v>374412.87932459963</v>
      </c>
      <c r="X12" s="54">
        <f t="shared" si="0"/>
        <v>44109.509579496174</v>
      </c>
      <c r="Y12" s="54">
        <f t="shared" si="3"/>
        <v>1000</v>
      </c>
      <c r="Z12" s="54">
        <f>Table4[[#This Row],[FV]]-(Table4[[#This Row],[X]]*Table4[[#This Row],[Year]])</f>
        <v>365412.87932459963</v>
      </c>
      <c r="AA12">
        <f t="shared" si="7"/>
        <v>9</v>
      </c>
      <c r="AB12" s="54">
        <f t="shared" si="4"/>
        <v>1771107.2334101503</v>
      </c>
      <c r="AC12" s="54">
        <f t="shared" si="1"/>
        <v>25623.839920382914</v>
      </c>
      <c r="AD12" s="54">
        <f t="shared" si="2"/>
        <v>1000</v>
      </c>
      <c r="AE12" s="54">
        <f>Table5[[#This Row],[FV]]-(Table5[[#This Row],[Year]]*Table5[[#This Row],[X]])</f>
        <v>1762107.2334101503</v>
      </c>
    </row>
    <row r="13" spans="2:31" x14ac:dyDescent="0.25">
      <c r="C13" s="4" t="s">
        <v>51</v>
      </c>
      <c r="D13" s="52" cm="1">
        <f t="array" ref="D13">(LN((Table1[Future value]*Table1[Interest(r)])/(Table1[Payments(x)])+1))/(LN(1+Table1[Interest(r)]))</f>
        <v>27.445166637579799</v>
      </c>
      <c r="E13" s="52" cm="1">
        <f t="array" ref="E13">-(LN(1-(Table1[Interest(r)]*Table1[Present value])/(Table1[Payments(x)]))/LN(1+Table1[Interest(r)]))</f>
        <v>5.5454695159763858</v>
      </c>
      <c r="F13" s="52" cm="1">
        <f t="array" ref="F13">LN((Table1[Future value])/(Table1[Present value]))/(LN(1+Table1[Interest(r)]))</f>
        <v>97.847331607622436</v>
      </c>
      <c r="M13" s="4" t="s">
        <v>51</v>
      </c>
      <c r="N13" s="52" cm="1">
        <f t="array" ref="N13">LN((Table3[Future value]*Table3[Interest(r)])/(Table3[payments(x)]*(1+Table3[Interest(r)]))+1)/LN(1+Table3[Interest(r)])</f>
        <v>40.238568910314676</v>
      </c>
      <c r="O13" s="4" cm="1">
        <f t="array" ref="O13">-1*(LN(1-(Table3[Present value]*Table3[Interest(r)])/(Table3[payments(x)]*(1+Table3[Interest(r)])))/LN(1+Table3[Interest(r)]))</f>
        <v>5.4454415314523867</v>
      </c>
      <c r="P13" s="52" cm="1">
        <f t="array" ref="P13">LN(Table3[Future value]/Table3[Present value])/LN(1+Table3[Interest(r)])</f>
        <v>76.381381996960414</v>
      </c>
      <c r="V13">
        <f t="shared" si="5"/>
        <v>10</v>
      </c>
      <c r="W13" s="54">
        <f t="shared" si="6"/>
        <v>488258.15171008714</v>
      </c>
      <c r="X13" s="54">
        <f t="shared" si="0"/>
        <v>45355.388502603608</v>
      </c>
      <c r="Y13" s="54">
        <f t="shared" si="3"/>
        <v>1000</v>
      </c>
      <c r="Z13" s="54">
        <f>Table4[[#This Row],[FV]]-(Table4[[#This Row],[X]]*Table4[[#This Row],[Year]])</f>
        <v>478258.15171008714</v>
      </c>
      <c r="AA13">
        <f t="shared" si="7"/>
        <v>10</v>
      </c>
      <c r="AB13" s="54">
        <f t="shared" si="4"/>
        <v>2851226.5809106813</v>
      </c>
      <c r="AC13" s="54">
        <f t="shared" si="1"/>
        <v>25765.051524101367</v>
      </c>
      <c r="AD13" s="54">
        <f t="shared" si="2"/>
        <v>1000</v>
      </c>
      <c r="AE13" s="54">
        <f>Table5[[#This Row],[FV]]-(Table5[[#This Row],[Year]]*Table5[[#This Row],[X]])</f>
        <v>2841226.5809106813</v>
      </c>
    </row>
    <row r="14" spans="2:31" x14ac:dyDescent="0.25">
      <c r="C14" s="4" t="s">
        <v>9</v>
      </c>
      <c r="D14" s="23">
        <f>D999</f>
        <v>1.584452641983925E-4</v>
      </c>
      <c r="E14" s="23">
        <f>D999</f>
        <v>1.584452641983925E-4</v>
      </c>
      <c r="F14" s="60" cm="1">
        <f t="array" ref="F14">(Table1[Future value]/Table1[Present value])^(1/(Table1[Years]*Table1[Periods]))-1</f>
        <v>5.5297980824176696E-2</v>
      </c>
      <c r="M14" s="4" t="s">
        <v>9</v>
      </c>
      <c r="N14" s="24">
        <f>N999</f>
        <v>4.9720262030229168E-2</v>
      </c>
      <c r="O14" s="24">
        <f>N999</f>
        <v>4.9720262030229168E-2</v>
      </c>
      <c r="P14" s="61" cm="1">
        <f t="array" ref="P14">(Table3[Future value]/Table3[Present value])^(1/(Table3[Years]*Table3[Periods]))-1</f>
        <v>8.6775206904049496E-2</v>
      </c>
      <c r="V14">
        <f t="shared" si="5"/>
        <v>11</v>
      </c>
      <c r="W14" s="54">
        <f t="shared" si="6"/>
        <v>632641.48426271975</v>
      </c>
      <c r="X14" s="54">
        <f t="shared" si="0"/>
        <v>46337.75553107485</v>
      </c>
      <c r="Y14" s="54">
        <f t="shared" si="3"/>
        <v>1000</v>
      </c>
      <c r="Z14" s="54">
        <f>Table4[[#This Row],[FV]]-(Table4[[#This Row],[X]]*Table4[[#This Row],[Year]])</f>
        <v>621641.48426271975</v>
      </c>
      <c r="AA14">
        <f t="shared" si="7"/>
        <v>11</v>
      </c>
      <c r="AB14" s="54">
        <f t="shared" si="4"/>
        <v>4580532.4561573332</v>
      </c>
      <c r="AC14" s="54">
        <f t="shared" si="1"/>
        <v>25853.251875150378</v>
      </c>
      <c r="AD14" s="54">
        <f t="shared" si="2"/>
        <v>1000</v>
      </c>
      <c r="AE14" s="54">
        <f>Table5[[#This Row],[FV]]-(Table5[[#This Row],[Year]]*Table5[[#This Row],[X]])</f>
        <v>4569532.4561573332</v>
      </c>
    </row>
    <row r="15" spans="2:31" x14ac:dyDescent="0.25">
      <c r="V15">
        <f t="shared" si="5"/>
        <v>12</v>
      </c>
      <c r="W15" s="54">
        <f t="shared" si="6"/>
        <v>815754.46104419115</v>
      </c>
      <c r="X15" s="54">
        <f t="shared" si="0"/>
        <v>47112.345228940845</v>
      </c>
      <c r="Y15" s="54">
        <f t="shared" si="3"/>
        <v>1000</v>
      </c>
      <c r="Z15" s="54">
        <f>Table4[[#This Row],[FV]]-(Table4[[#This Row],[X]]*Table4[[#This Row],[Year]])</f>
        <v>803754.46104419115</v>
      </c>
      <c r="AA15">
        <f t="shared" si="7"/>
        <v>12</v>
      </c>
      <c r="AB15" s="54">
        <f t="shared" si="4"/>
        <v>7349206.8781856084</v>
      </c>
      <c r="AC15" s="54">
        <f t="shared" si="1"/>
        <v>25908.341554187522</v>
      </c>
      <c r="AD15" s="54">
        <f t="shared" si="2"/>
        <v>1000</v>
      </c>
      <c r="AE15" s="54">
        <f>Table5[[#This Row],[FV]]-(Table5[[#This Row],[Year]]*Table5[[#This Row],[X]])</f>
        <v>7337206.8781856084</v>
      </c>
    </row>
    <row r="16" spans="2:31" x14ac:dyDescent="0.25">
      <c r="V16">
        <f t="shared" ref="V16:V17" si="8">V15+1</f>
        <v>13</v>
      </c>
      <c r="W16" s="54">
        <f t="shared" si="6"/>
        <v>1047985.9913252142</v>
      </c>
      <c r="X16" s="54">
        <f t="shared" si="0"/>
        <v>47723.103919584057</v>
      </c>
      <c r="Y16" s="54">
        <f t="shared" si="3"/>
        <v>1000</v>
      </c>
      <c r="Z16" s="54">
        <f>Table4[[#This Row],[FV]]-(Table4[[#This Row],[X]]*Table4[[#This Row],[Year]])</f>
        <v>1034985.9913252142</v>
      </c>
      <c r="AA16">
        <f t="shared" si="7"/>
        <v>13</v>
      </c>
      <c r="AB16" s="54">
        <f t="shared" si="4"/>
        <v>11781943.830577131</v>
      </c>
      <c r="AC16" s="54">
        <f t="shared" si="1"/>
        <v>25942.75040517643</v>
      </c>
      <c r="AD16" s="54">
        <f t="shared" si="2"/>
        <v>1000</v>
      </c>
      <c r="AE16" s="54">
        <f>Table5[[#This Row],[FV]]-(Table5[[#This Row],[Year]]*Table5[[#This Row],[X]])</f>
        <v>11768943.830577131</v>
      </c>
    </row>
    <row r="17" spans="2:31" x14ac:dyDescent="0.25">
      <c r="V17">
        <f t="shared" si="8"/>
        <v>14</v>
      </c>
      <c r="W17" s="54">
        <f t="shared" si="6"/>
        <v>1342511.7240428249</v>
      </c>
      <c r="X17" s="54">
        <f t="shared" si="0"/>
        <v>48204.682979083402</v>
      </c>
      <c r="Y17" s="54">
        <f t="shared" si="3"/>
        <v>1000</v>
      </c>
      <c r="Z17" s="54">
        <f>Table4[[#This Row],[FV]]-(Table4[[#This Row],[X]]*Table4[[#This Row],[Year]])</f>
        <v>1328511.7240428249</v>
      </c>
      <c r="AA17">
        <f t="shared" si="7"/>
        <v>14</v>
      </c>
      <c r="AB17" s="54">
        <f t="shared" si="4"/>
        <v>18878898.507791474</v>
      </c>
      <c r="AC17" s="54">
        <f t="shared" si="1"/>
        <v>25964.242071983543</v>
      </c>
      <c r="AD17" s="54">
        <f t="shared" si="2"/>
        <v>1000</v>
      </c>
      <c r="AE17" s="54">
        <f>Table5[[#This Row],[FV]]-(Table5[[#This Row],[Year]]*Table5[[#This Row],[X]])</f>
        <v>18864898.507791474</v>
      </c>
    </row>
    <row r="18" spans="2:31" ht="14.25" customHeight="1" x14ac:dyDescent="0.25">
      <c r="B18" s="468" t="s">
        <v>9</v>
      </c>
      <c r="C18" s="468"/>
      <c r="D18" s="468"/>
      <c r="E18" s="468"/>
      <c r="F18" s="468"/>
      <c r="G18" s="468"/>
      <c r="H18" s="468"/>
      <c r="I18" s="19"/>
      <c r="L18" s="466" t="s">
        <v>9</v>
      </c>
      <c r="M18" s="466"/>
      <c r="N18" s="466"/>
      <c r="O18" s="466"/>
      <c r="P18" s="466"/>
      <c r="Q18" s="466"/>
      <c r="R18" s="466"/>
      <c r="S18" s="466"/>
      <c r="T18" s="466"/>
      <c r="U18" s="466"/>
      <c r="V18">
        <f t="shared" ref="V18" si="9">V17+1</f>
        <v>15</v>
      </c>
      <c r="W18" s="54">
        <f t="shared" si="6"/>
        <v>1716041.5678494559</v>
      </c>
      <c r="X18" s="54">
        <f t="shared" si="0"/>
        <v>48584.404781001671</v>
      </c>
      <c r="Y18" s="54">
        <f t="shared" si="3"/>
        <v>1000</v>
      </c>
      <c r="Z18" s="54">
        <f>Table4[[#This Row],[FV]]-(Table4[[#This Row],[X]]*Table4[[#This Row],[Year]])</f>
        <v>1701041.5678494559</v>
      </c>
      <c r="AA18">
        <f t="shared" si="7"/>
        <v>15</v>
      </c>
      <c r="AB18" s="54">
        <f t="shared" si="4"/>
        <v>30241351.599726234</v>
      </c>
      <c r="AC18" s="54">
        <f t="shared" si="1"/>
        <v>25977.665703661823</v>
      </c>
      <c r="AD18" s="54">
        <f t="shared" si="2"/>
        <v>1000</v>
      </c>
      <c r="AE18" s="54">
        <f>Table5[[#This Row],[FV]]-(Table5[[#This Row],[Year]]*Table5[[#This Row],[X]])</f>
        <v>30226351.599726234</v>
      </c>
    </row>
    <row r="19" spans="2:31" ht="14.25" customHeight="1" x14ac:dyDescent="0.25">
      <c r="B19" s="468"/>
      <c r="C19" s="468"/>
      <c r="D19" s="468"/>
      <c r="E19" s="468"/>
      <c r="F19" s="468"/>
      <c r="G19" s="468"/>
      <c r="H19" s="468"/>
      <c r="I19" s="19"/>
      <c r="L19" s="466"/>
      <c r="M19" s="466"/>
      <c r="N19" s="466"/>
      <c r="O19" s="466"/>
      <c r="P19" s="466"/>
      <c r="Q19" s="466"/>
      <c r="R19" s="466"/>
      <c r="S19" s="466"/>
      <c r="T19" s="466"/>
      <c r="U19" s="466"/>
      <c r="AB19" s="54"/>
      <c r="AC19" s="54"/>
      <c r="AD19" s="54"/>
    </row>
    <row r="20" spans="2:31" ht="14.25" customHeight="1" x14ac:dyDescent="0.25">
      <c r="B20" s="468"/>
      <c r="C20" s="468"/>
      <c r="D20" s="468"/>
      <c r="E20" s="468"/>
      <c r="F20" s="468"/>
      <c r="G20" s="468"/>
      <c r="H20" s="468"/>
      <c r="I20" s="19"/>
      <c r="L20" s="466"/>
      <c r="M20" s="466"/>
      <c r="N20" s="466"/>
      <c r="O20" s="466"/>
      <c r="P20" s="466"/>
      <c r="Q20" s="466"/>
      <c r="R20" s="466"/>
      <c r="S20" s="466"/>
      <c r="T20" s="466"/>
      <c r="U20" s="466"/>
      <c r="AB20" s="54"/>
      <c r="AC20" s="54"/>
      <c r="AD20" s="54"/>
    </row>
    <row r="22" spans="2:31" x14ac:dyDescent="0.25">
      <c r="V22" s="469"/>
      <c r="W22" s="469"/>
      <c r="X22" s="469"/>
      <c r="Y22" s="469"/>
      <c r="Z22" s="469"/>
    </row>
    <row r="23" spans="2:31" x14ac:dyDescent="0.25">
      <c r="B23" t="s">
        <v>54</v>
      </c>
      <c r="C23" t="s">
        <v>55</v>
      </c>
      <c r="D23" t="s">
        <v>56</v>
      </c>
      <c r="E23" t="s">
        <v>57</v>
      </c>
      <c r="F23" t="s">
        <v>58</v>
      </c>
      <c r="G23" t="s">
        <v>59</v>
      </c>
      <c r="L23" t="s">
        <v>54</v>
      </c>
      <c r="M23" t="s">
        <v>55</v>
      </c>
      <c r="N23" t="s">
        <v>56</v>
      </c>
      <c r="O23" t="s">
        <v>57</v>
      </c>
      <c r="P23" t="s">
        <v>58</v>
      </c>
      <c r="Q23" t="s">
        <v>59</v>
      </c>
      <c r="V23" t="s">
        <v>106</v>
      </c>
      <c r="W23" t="s">
        <v>218</v>
      </c>
      <c r="X23" t="s">
        <v>82</v>
      </c>
      <c r="Y23" t="s">
        <v>33</v>
      </c>
      <c r="Z23" t="s">
        <v>216</v>
      </c>
    </row>
    <row r="24" spans="2:31" x14ac:dyDescent="0.25">
      <c r="B24" s="21">
        <v>1E-4</v>
      </c>
      <c r="C24" s="18">
        <v>1</v>
      </c>
      <c r="D24" s="18">
        <f>(B24+C24)/2</f>
        <v>0.50004999999999999</v>
      </c>
      <c r="E24">
        <f>IF($G$8 = "Future Value",$C$5-($D$5*(((1+B24)^($F$5*$G$5)-1)/B24)),$H$5-$D$5*((1-(1+B24)^(-1*$F$5*$G$5))/B24))</f>
        <v>36.928541068380582</v>
      </c>
      <c r="F24">
        <f t="shared" ref="F24:G24" si="10">IF($G$8 = "Future Value",$C$5-($D$5*(((1+C24)^($F$5*$G$5)-1)/C24)),$H$5-$D$5*((1-(1+C24)^(-1*$F$5*$G$5))/C24))</f>
        <v>-68719476698900</v>
      </c>
      <c r="G24">
        <f t="shared" si="10"/>
        <v>-4373098458.2607555</v>
      </c>
      <c r="L24" s="259">
        <v>1E-13</v>
      </c>
      <c r="M24" s="7">
        <v>1</v>
      </c>
      <c r="N24" s="20">
        <f>(L24+M24)/2</f>
        <v>0.50000000000004996</v>
      </c>
      <c r="O24">
        <f>IF($Q$8 = "Future Value",$M$5-(($N$5*(1+L24)*(((1+L24)^($P$5*$Q$5)-1))/(L24))),$R$5-$N$5*(1+L24)*((1-(1+L24)^(-1*$P$5*$Q$5))/L24))</f>
        <v>64028.774002141334</v>
      </c>
      <c r="P24">
        <f t="shared" ref="P24:Q24" si="11">IF($Q$8 = "Future Value",$M$5-($N$5*(1+M24)*(((1+M24)^($P$5*$Q$5)-1)/M24)),$R$5-$N$5*(1+M24)*((1-(1+M24)^(-1*$P$5*$Q$5))/M24))</f>
        <v>-137438953370000</v>
      </c>
      <c r="Q24">
        <f t="shared" si="11"/>
        <v>-6552390227.2311382</v>
      </c>
    </row>
    <row r="25" spans="2:31" x14ac:dyDescent="0.25">
      <c r="B25" s="21">
        <f>IF(E24*G24&lt;0,B24,D24)</f>
        <v>1E-4</v>
      </c>
      <c r="C25" s="18">
        <f>IF(F24*G24&lt;0,C24,D24)</f>
        <v>0.50004999999999999</v>
      </c>
      <c r="D25" s="18">
        <f>(B25+C25)/2</f>
        <v>0.25007499999999999</v>
      </c>
      <c r="E25">
        <f>IF($G$8 = "Future Value",$C$5-($D$5*(((1+B25)^($F$5*$G$5)-1)/B25)),$H$5-$D$5*((1-(1+B25)^(-1*$F$5*$G$5))/B25))</f>
        <v>36.928541068380582</v>
      </c>
      <c r="F25">
        <f t="shared" ref="F25:F26" si="12">IF($G$8 = "Future Value",$C$5-($D$5*(((1+C25)^($F$5*$G$5)-1)/C25)),$H$5-$D$5*((1-(1+C25)^(-1*$F$5*$G$5))/C25))</f>
        <v>-4373098458.2607555</v>
      </c>
      <c r="G25">
        <f t="shared" ref="G25:G26" si="13">IF($G$8 = "Future Value",$C$5-($D$5*(((1+D25)^($F$5*$G$5)-1)/D25)),$H$5-$D$5*((1-(1+D25)^(-1*$F$5*$G$5))/D25))</f>
        <v>-12308800.203845683</v>
      </c>
      <c r="L25" s="7">
        <f>IF(O24*Q24&lt;0,L24,N24)</f>
        <v>1E-13</v>
      </c>
      <c r="M25" s="7">
        <f>IF(P24*Q24&lt;0,M24,N24)</f>
        <v>0.50000000000004996</v>
      </c>
      <c r="N25" s="20">
        <f t="shared" ref="N25:N88" si="14">(L25+M25)/2</f>
        <v>0.250000000000075</v>
      </c>
      <c r="O25">
        <f>IF($Q$8 = "Future Value",$M$5-($N$5*(1+L25)*(((1+L25)^($P$5*$Q$5)-1)/L25)),$R$5-$N$5*(1+L25)*((1-(1+L25)^(-1*$P$5*$Q$5))/L25))</f>
        <v>64028.774002141334</v>
      </c>
      <c r="P25">
        <f t="shared" ref="P25" si="15">IF($Q$8 = "Future Value",$M$5-($N$5*(1+M25)*(((1+M25)^($P$5*$Q$5)-1)/M25)),$R$5-$N$5*(1+M25)*((1-(1+M25)^(-1*$P$5*$Q$5))/M25))</f>
        <v>-6552390227.2311382</v>
      </c>
      <c r="Q25">
        <f t="shared" ref="Q25" si="16">IF($Q$8 = "Future Value",$M$5-($N$5*(1+N25)*(((1+N25)^($P$5*$Q$5)-1)/N25)),$R$5-$N$5*(1+N25)*((1-(1+N25)^(-1*$P$5*$Q$5))/N25))</f>
        <v>-15302439.555127492</v>
      </c>
      <c r="V25" cm="1">
        <f t="array" ref="V25:AC26">IF('Annuity-In arrears'!D12:K13="",,_xlfn.SEQUENCE('Annuity-In arrears'!K35:L36,,1,1))</f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2:31" x14ac:dyDescent="0.25">
      <c r="B26" s="21">
        <f t="shared" ref="B26:B89" si="17">IF(E25*G25&lt;0,B25,D25)</f>
        <v>1E-4</v>
      </c>
      <c r="C26" s="18">
        <f t="shared" ref="C26:C89" si="18">IF(F25*G25&lt;0,C25,D25)</f>
        <v>0.25007499999999999</v>
      </c>
      <c r="D26" s="18">
        <f t="shared" ref="D26:D89" si="19">(B26+C26)/2</f>
        <v>0.12508749999999999</v>
      </c>
      <c r="E26">
        <f t="shared" ref="E26:E89" si="20">IF($G$8 = "Future Value",$C$5-($D$5*(((1+B26)^($F$5*$G$5)-1)/B26)),$H$5-$D$5*((1-(1+B26)^(-1*$F$5*$G$5))/B26))</f>
        <v>36.928541068380582</v>
      </c>
      <c r="F26">
        <f t="shared" si="12"/>
        <v>-12308800.203845683</v>
      </c>
      <c r="G26">
        <f t="shared" si="13"/>
        <v>-512441.09668199788</v>
      </c>
      <c r="L26" s="7">
        <f t="shared" ref="L26:L89" si="21">IF(O25*Q25&lt;0,L25,N25)</f>
        <v>1E-13</v>
      </c>
      <c r="M26" s="7">
        <f t="shared" ref="M26:M89" si="22">IF(P25*Q25&lt;0,M25,N25)</f>
        <v>0.250000000000075</v>
      </c>
      <c r="N26" s="20">
        <f t="shared" si="14"/>
        <v>0.12500000000008749</v>
      </c>
      <c r="O26">
        <f t="shared" ref="O26:O89" si="23">IF($Q$8 = "Future Value",$M$5-($N$5*(1+L26)*(((1+L26)^($P$5*$Q$5)-1)/L26)),$R$5-$N$5*(1+L26)*((1-(1+L26)^(-1*$P$5*$Q$5))/L26))</f>
        <v>64028.774002141334</v>
      </c>
      <c r="P26">
        <f t="shared" ref="P26:P89" si="24">IF($Q$8 = "Future Value",$M$5-($N$5*(1+M26)*(((1+M26)^($P$5*$Q$5)-1)/M26)),$R$5-$N$5*(1+M26)*((1-(1+M26)^(-1*$P$5*$Q$5))/M26))</f>
        <v>-15302439.555127492</v>
      </c>
      <c r="Q26">
        <f t="shared" ref="Q26:Q89" si="25">IF($Q$8 = "Future Value",$M$5-($N$5*(1+N26)*(((1+N26)^($P$5*$Q$5)-1)/N26)),$R$5-$N$5*(1+N26)*((1-(1+N26)^(-1*$P$5*$Q$5))/N26))</f>
        <v>-515788.91767250642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2:31" x14ac:dyDescent="0.25">
      <c r="B27" s="21">
        <f t="shared" si="17"/>
        <v>1E-4</v>
      </c>
      <c r="C27" s="18">
        <f t="shared" si="18"/>
        <v>0.12508749999999999</v>
      </c>
      <c r="D27" s="18">
        <f t="shared" si="19"/>
        <v>6.259374999999999E-2</v>
      </c>
      <c r="E27">
        <f t="shared" si="20"/>
        <v>36.928541068380582</v>
      </c>
      <c r="F27">
        <f t="shared" ref="F27:F90" si="26">IF($G$8 = "Future Value",$C$5-($D$5*(((1+C27)^($F$5*$G$5)-1)/C27)),$H$5-$D$5*((1-(1+C27)^(-1*$F$5*$G$5))/C27))</f>
        <v>-512441.09668199788</v>
      </c>
      <c r="G27">
        <f t="shared" ref="G27:G90" si="27">IF($G$8 = "Future Value",$C$5-($D$5*(((1+D27)^($F$5*$G$5)-1)/D27)),$H$5-$D$5*((1-(1+D27)^(-1*$F$5*$G$5))/D27))</f>
        <v>-90055.446508086869</v>
      </c>
      <c r="L27" s="7">
        <f t="shared" si="21"/>
        <v>1E-13</v>
      </c>
      <c r="M27" s="7">
        <f t="shared" si="22"/>
        <v>0.12500000000008749</v>
      </c>
      <c r="N27" s="20">
        <f t="shared" si="14"/>
        <v>6.2500000000093744E-2</v>
      </c>
      <c r="O27">
        <f t="shared" si="23"/>
        <v>64028.774002141334</v>
      </c>
      <c r="P27">
        <f t="shared" si="24"/>
        <v>-515788.91767250642</v>
      </c>
      <c r="Q27">
        <f t="shared" si="25"/>
        <v>-33761.592192434968</v>
      </c>
    </row>
    <row r="28" spans="2:31" x14ac:dyDescent="0.25">
      <c r="B28" s="21">
        <f t="shared" si="17"/>
        <v>1E-4</v>
      </c>
      <c r="C28" s="18">
        <f t="shared" si="18"/>
        <v>6.259374999999999E-2</v>
      </c>
      <c r="D28" s="18">
        <f t="shared" si="19"/>
        <v>3.1346874999999996E-2</v>
      </c>
      <c r="E28">
        <f t="shared" si="20"/>
        <v>36.928541068380582</v>
      </c>
      <c r="F28">
        <f t="shared" si="26"/>
        <v>-90055.446508086869</v>
      </c>
      <c r="G28">
        <f t="shared" si="27"/>
        <v>-28910.769286731571</v>
      </c>
      <c r="L28" s="7">
        <f t="shared" si="21"/>
        <v>1E-13</v>
      </c>
      <c r="M28" s="7">
        <f t="shared" si="22"/>
        <v>6.2500000000093744E-2</v>
      </c>
      <c r="N28" s="20">
        <f t="shared" si="14"/>
        <v>3.1250000000096874E-2</v>
      </c>
      <c r="O28">
        <f t="shared" si="23"/>
        <v>64028.774002141334</v>
      </c>
      <c r="P28">
        <f t="shared" si="24"/>
        <v>-33761.592192434968</v>
      </c>
      <c r="Q28">
        <f t="shared" si="25"/>
        <v>33088.252286454139</v>
      </c>
    </row>
    <row r="29" spans="2:31" x14ac:dyDescent="0.25">
      <c r="B29" s="21">
        <f t="shared" si="17"/>
        <v>1E-4</v>
      </c>
      <c r="C29" s="18">
        <f t="shared" si="18"/>
        <v>3.1346874999999996E-2</v>
      </c>
      <c r="D29" s="18">
        <f t="shared" si="19"/>
        <v>1.57234375E-2</v>
      </c>
      <c r="E29">
        <f t="shared" si="20"/>
        <v>36.928541068380582</v>
      </c>
      <c r="F29">
        <f t="shared" si="26"/>
        <v>-28910.769286731571</v>
      </c>
      <c r="G29">
        <f t="shared" si="27"/>
        <v>-11824.988903680161</v>
      </c>
      <c r="L29" s="7">
        <f t="shared" si="21"/>
        <v>3.1250000000096874E-2</v>
      </c>
      <c r="M29" s="7">
        <f t="shared" si="22"/>
        <v>6.2500000000093744E-2</v>
      </c>
      <c r="N29" s="20">
        <f t="shared" si="14"/>
        <v>4.6875000000095313E-2</v>
      </c>
      <c r="O29">
        <f t="shared" si="23"/>
        <v>33088.252286454139</v>
      </c>
      <c r="P29">
        <f t="shared" si="24"/>
        <v>-33761.592192434968</v>
      </c>
      <c r="Q29">
        <f t="shared" si="25"/>
        <v>6143.6998359401769</v>
      </c>
    </row>
    <row r="30" spans="2:31" x14ac:dyDescent="0.25">
      <c r="B30" s="21">
        <f t="shared" si="17"/>
        <v>1E-4</v>
      </c>
      <c r="C30" s="18">
        <f t="shared" si="18"/>
        <v>1.57234375E-2</v>
      </c>
      <c r="D30" s="18">
        <f t="shared" si="19"/>
        <v>7.9117187499999995E-3</v>
      </c>
      <c r="E30">
        <f t="shared" si="20"/>
        <v>36.928541068380582</v>
      </c>
      <c r="F30">
        <f t="shared" si="26"/>
        <v>-11824.988903680161</v>
      </c>
      <c r="G30">
        <f t="shared" si="27"/>
        <v>-5362.0247134018064</v>
      </c>
      <c r="L30" s="7">
        <f t="shared" si="21"/>
        <v>4.6875000000095313E-2</v>
      </c>
      <c r="M30" s="7">
        <f t="shared" si="22"/>
        <v>6.2500000000093744E-2</v>
      </c>
      <c r="N30" s="20">
        <f t="shared" si="14"/>
        <v>5.4687500000094529E-2</v>
      </c>
      <c r="O30">
        <f t="shared" si="23"/>
        <v>6143.6998359401769</v>
      </c>
      <c r="P30">
        <f t="shared" si="24"/>
        <v>-33761.592192434968</v>
      </c>
      <c r="Q30">
        <f t="shared" si="25"/>
        <v>-11841.394922208041</v>
      </c>
    </row>
    <row r="31" spans="2:31" x14ac:dyDescent="0.25">
      <c r="B31" s="21">
        <f t="shared" si="17"/>
        <v>1E-4</v>
      </c>
      <c r="C31" s="18">
        <f t="shared" si="18"/>
        <v>7.9117187499999995E-3</v>
      </c>
      <c r="D31" s="18">
        <f t="shared" si="19"/>
        <v>4.0058593749999994E-3</v>
      </c>
      <c r="E31">
        <f t="shared" si="20"/>
        <v>36.928541068380582</v>
      </c>
      <c r="F31">
        <f t="shared" si="26"/>
        <v>-5362.0247134018064</v>
      </c>
      <c r="G31">
        <f t="shared" si="27"/>
        <v>-2542.1519710689972</v>
      </c>
      <c r="L31" s="7">
        <f t="shared" si="21"/>
        <v>4.6875000000095313E-2</v>
      </c>
      <c r="M31" s="7">
        <f t="shared" si="22"/>
        <v>5.4687500000094529E-2</v>
      </c>
      <c r="N31" s="20">
        <f t="shared" si="14"/>
        <v>5.0781250000094924E-2</v>
      </c>
      <c r="O31">
        <f t="shared" si="23"/>
        <v>6143.6998359401769</v>
      </c>
      <c r="P31">
        <f t="shared" si="24"/>
        <v>-11841.394922208041</v>
      </c>
      <c r="Q31">
        <f t="shared" si="25"/>
        <v>-2406.0493464878527</v>
      </c>
    </row>
    <row r="32" spans="2:31" x14ac:dyDescent="0.25">
      <c r="B32" s="21">
        <f t="shared" si="17"/>
        <v>1E-4</v>
      </c>
      <c r="C32" s="18">
        <f t="shared" si="18"/>
        <v>4.0058593749999994E-3</v>
      </c>
      <c r="D32" s="18">
        <f t="shared" si="19"/>
        <v>2.0529296874999999E-3</v>
      </c>
      <c r="E32">
        <f t="shared" si="20"/>
        <v>36.928541068380582</v>
      </c>
      <c r="F32">
        <f t="shared" si="26"/>
        <v>-2542.1519710689972</v>
      </c>
      <c r="G32">
        <f t="shared" si="27"/>
        <v>-1223.9537987024087</v>
      </c>
      <c r="L32" s="7">
        <f t="shared" si="21"/>
        <v>4.6875000000095313E-2</v>
      </c>
      <c r="M32" s="7">
        <f t="shared" si="22"/>
        <v>5.0781250000094924E-2</v>
      </c>
      <c r="N32" s="20">
        <f t="shared" si="14"/>
        <v>4.8828125000095118E-2</v>
      </c>
      <c r="O32">
        <f t="shared" si="23"/>
        <v>6143.6998359401769</v>
      </c>
      <c r="P32">
        <f t="shared" si="24"/>
        <v>-2406.0493464878527</v>
      </c>
      <c r="Q32">
        <f t="shared" si="25"/>
        <v>1973.9293452706333</v>
      </c>
    </row>
    <row r="33" spans="2:17" x14ac:dyDescent="0.25">
      <c r="B33" s="21">
        <f t="shared" si="17"/>
        <v>1E-4</v>
      </c>
      <c r="C33" s="18">
        <f t="shared" si="18"/>
        <v>2.0529296874999999E-3</v>
      </c>
      <c r="D33" s="18">
        <f t="shared" si="19"/>
        <v>1.0764648437499998E-3</v>
      </c>
      <c r="E33">
        <f t="shared" si="20"/>
        <v>36.928541068380582</v>
      </c>
      <c r="F33">
        <f t="shared" si="26"/>
        <v>-1223.9537987024087</v>
      </c>
      <c r="G33">
        <f t="shared" si="27"/>
        <v>-586.5205022889204</v>
      </c>
      <c r="L33" s="7">
        <f t="shared" si="21"/>
        <v>4.8828125000095118E-2</v>
      </c>
      <c r="M33" s="7">
        <f t="shared" si="22"/>
        <v>5.0781250000094924E-2</v>
      </c>
      <c r="N33" s="20">
        <f t="shared" si="14"/>
        <v>4.9804687500095021E-2</v>
      </c>
      <c r="O33">
        <f t="shared" si="23"/>
        <v>1973.9293452706333</v>
      </c>
      <c r="P33">
        <f t="shared" si="24"/>
        <v>-2406.0493464878527</v>
      </c>
      <c r="Q33">
        <f t="shared" si="25"/>
        <v>-189.1070913758449</v>
      </c>
    </row>
    <row r="34" spans="2:17" x14ac:dyDescent="0.25">
      <c r="B34" s="21">
        <f t="shared" si="17"/>
        <v>1E-4</v>
      </c>
      <c r="C34" s="18">
        <f t="shared" si="18"/>
        <v>1.0764648437499998E-3</v>
      </c>
      <c r="D34" s="18">
        <f t="shared" si="19"/>
        <v>5.8823242187499994E-4</v>
      </c>
      <c r="E34">
        <f t="shared" si="20"/>
        <v>36.928541068380582</v>
      </c>
      <c r="F34">
        <f t="shared" si="26"/>
        <v>-586.5205022889204</v>
      </c>
      <c r="G34">
        <f t="shared" si="27"/>
        <v>-273.06902459984849</v>
      </c>
      <c r="L34" s="7">
        <f t="shared" si="21"/>
        <v>4.8828125000095118E-2</v>
      </c>
      <c r="M34" s="7">
        <f t="shared" si="22"/>
        <v>4.9804687500095021E-2</v>
      </c>
      <c r="N34" s="20">
        <f t="shared" si="14"/>
        <v>4.931640625009507E-2</v>
      </c>
      <c r="O34">
        <f t="shared" si="23"/>
        <v>1973.9293452706333</v>
      </c>
      <c r="P34">
        <f t="shared" si="24"/>
        <v>-189.1070913758449</v>
      </c>
      <c r="Q34">
        <f t="shared" si="25"/>
        <v>899.06337431876455</v>
      </c>
    </row>
    <row r="35" spans="2:17" x14ac:dyDescent="0.25">
      <c r="B35" s="21">
        <f t="shared" si="17"/>
        <v>1E-4</v>
      </c>
      <c r="C35" s="18">
        <f t="shared" si="18"/>
        <v>5.8823242187499994E-4</v>
      </c>
      <c r="D35" s="18">
        <f t="shared" si="19"/>
        <v>3.4411621093749999E-4</v>
      </c>
      <c r="E35">
        <f t="shared" si="20"/>
        <v>36.928541068380582</v>
      </c>
      <c r="F35">
        <f t="shared" si="26"/>
        <v>-273.06902459984849</v>
      </c>
      <c r="G35">
        <f t="shared" si="27"/>
        <v>-117.6411084911233</v>
      </c>
      <c r="L35" s="7">
        <f t="shared" si="21"/>
        <v>4.931640625009507E-2</v>
      </c>
      <c r="M35" s="7">
        <f t="shared" si="22"/>
        <v>4.9804687500095021E-2</v>
      </c>
      <c r="N35" s="20">
        <f t="shared" si="14"/>
        <v>4.9560546875095049E-2</v>
      </c>
      <c r="O35">
        <f t="shared" si="23"/>
        <v>899.06337431876455</v>
      </c>
      <c r="P35">
        <f t="shared" si="24"/>
        <v>-189.1070913758449</v>
      </c>
      <c r="Q35">
        <f t="shared" si="25"/>
        <v>356.65186400276434</v>
      </c>
    </row>
    <row r="36" spans="2:17" x14ac:dyDescent="0.25">
      <c r="B36" s="21">
        <f t="shared" si="17"/>
        <v>1E-4</v>
      </c>
      <c r="C36" s="18">
        <f t="shared" si="18"/>
        <v>3.4411621093749999E-4</v>
      </c>
      <c r="D36" s="18">
        <f t="shared" si="19"/>
        <v>2.2205810546874999E-4</v>
      </c>
      <c r="E36">
        <f t="shared" si="20"/>
        <v>36.928541068380582</v>
      </c>
      <c r="F36">
        <f t="shared" si="26"/>
        <v>-117.6411084911233</v>
      </c>
      <c r="G36">
        <f t="shared" si="27"/>
        <v>-40.249324352924305</v>
      </c>
      <c r="L36" s="7">
        <f t="shared" si="21"/>
        <v>4.9560546875095049E-2</v>
      </c>
      <c r="M36" s="7">
        <f t="shared" si="22"/>
        <v>4.9804687500095021E-2</v>
      </c>
      <c r="N36" s="20">
        <f t="shared" si="14"/>
        <v>4.9682617187595035E-2</v>
      </c>
      <c r="O36">
        <f t="shared" si="23"/>
        <v>356.65186400276434</v>
      </c>
      <c r="P36">
        <f t="shared" si="24"/>
        <v>-189.1070913758449</v>
      </c>
      <c r="Q36">
        <f t="shared" si="25"/>
        <v>84.192157083278289</v>
      </c>
    </row>
    <row r="37" spans="2:17" x14ac:dyDescent="0.25">
      <c r="B37" s="21">
        <f t="shared" si="17"/>
        <v>1E-4</v>
      </c>
      <c r="C37" s="18">
        <f t="shared" si="18"/>
        <v>2.2205810546874999E-4</v>
      </c>
      <c r="D37" s="18">
        <f t="shared" si="19"/>
        <v>1.6102905273437501E-4</v>
      </c>
      <c r="E37">
        <f t="shared" si="20"/>
        <v>36.928541068380582</v>
      </c>
      <c r="F37">
        <f t="shared" si="26"/>
        <v>-40.249324352924305</v>
      </c>
      <c r="G37">
        <f t="shared" si="27"/>
        <v>-1.6336921599067864</v>
      </c>
      <c r="L37" s="7">
        <f t="shared" si="21"/>
        <v>4.9682617187595035E-2</v>
      </c>
      <c r="M37" s="7">
        <f t="shared" si="22"/>
        <v>4.9804687500095021E-2</v>
      </c>
      <c r="N37" s="20">
        <f t="shared" si="14"/>
        <v>4.9743652343845028E-2</v>
      </c>
      <c r="O37">
        <f t="shared" si="23"/>
        <v>84.192157083278289</v>
      </c>
      <c r="P37">
        <f t="shared" si="24"/>
        <v>-189.1070913758449</v>
      </c>
      <c r="Q37">
        <f t="shared" si="25"/>
        <v>-52.352356462215539</v>
      </c>
    </row>
    <row r="38" spans="2:17" x14ac:dyDescent="0.25">
      <c r="B38" s="21">
        <f t="shared" si="17"/>
        <v>1E-4</v>
      </c>
      <c r="C38" s="18">
        <f t="shared" si="18"/>
        <v>1.6102905273437501E-4</v>
      </c>
      <c r="D38" s="18">
        <f t="shared" si="19"/>
        <v>1.305145263671875E-4</v>
      </c>
      <c r="E38">
        <f t="shared" si="20"/>
        <v>36.928541068380582</v>
      </c>
      <c r="F38">
        <f t="shared" si="26"/>
        <v>-1.6336921599067864</v>
      </c>
      <c r="G38">
        <f t="shared" si="27"/>
        <v>17.654094260004058</v>
      </c>
      <c r="L38" s="7">
        <f t="shared" si="21"/>
        <v>4.9682617187595035E-2</v>
      </c>
      <c r="M38" s="7">
        <f t="shared" si="22"/>
        <v>4.9743652343845028E-2</v>
      </c>
      <c r="N38" s="20">
        <f t="shared" si="14"/>
        <v>4.9713134765720035E-2</v>
      </c>
      <c r="O38">
        <f t="shared" si="23"/>
        <v>84.192157083278289</v>
      </c>
      <c r="P38">
        <f t="shared" si="24"/>
        <v>-52.352356462215539</v>
      </c>
      <c r="Q38">
        <f t="shared" si="25"/>
        <v>15.946156961275847</v>
      </c>
    </row>
    <row r="39" spans="2:17" x14ac:dyDescent="0.25">
      <c r="B39" s="21">
        <f t="shared" si="17"/>
        <v>1.305145263671875E-4</v>
      </c>
      <c r="C39" s="18">
        <f t="shared" si="18"/>
        <v>1.6102905273437501E-4</v>
      </c>
      <c r="D39" s="18">
        <f t="shared" si="19"/>
        <v>1.4577178955078125E-4</v>
      </c>
      <c r="E39">
        <f t="shared" si="20"/>
        <v>17.654094260004058</v>
      </c>
      <c r="F39">
        <f t="shared" si="26"/>
        <v>-1.6336921599067864</v>
      </c>
      <c r="G39">
        <f t="shared" si="27"/>
        <v>8.0118691284224042</v>
      </c>
      <c r="L39" s="7">
        <f t="shared" si="21"/>
        <v>4.9713134765720035E-2</v>
      </c>
      <c r="M39" s="7">
        <f t="shared" si="22"/>
        <v>4.9743652343845028E-2</v>
      </c>
      <c r="N39" s="20">
        <f t="shared" si="14"/>
        <v>4.9728393554782535E-2</v>
      </c>
      <c r="O39">
        <f t="shared" si="23"/>
        <v>15.946156961275847</v>
      </c>
      <c r="P39">
        <f t="shared" si="24"/>
        <v>-52.352356462215539</v>
      </c>
      <c r="Q39">
        <f t="shared" si="25"/>
        <v>-18.196532961592311</v>
      </c>
    </row>
    <row r="40" spans="2:17" x14ac:dyDescent="0.25">
      <c r="B40" s="21">
        <f t="shared" si="17"/>
        <v>1.4577178955078125E-4</v>
      </c>
      <c r="C40" s="18">
        <f t="shared" si="18"/>
        <v>1.6102905273437501E-4</v>
      </c>
      <c r="D40" s="18">
        <f t="shared" si="19"/>
        <v>1.5340042114257813E-4</v>
      </c>
      <c r="E40">
        <f t="shared" si="20"/>
        <v>8.0118691284224042</v>
      </c>
      <c r="F40">
        <f t="shared" si="26"/>
        <v>-1.6336921599067864</v>
      </c>
      <c r="G40">
        <f t="shared" si="27"/>
        <v>3.189505584356084</v>
      </c>
      <c r="L40" s="7">
        <f t="shared" si="21"/>
        <v>4.9713134765720035E-2</v>
      </c>
      <c r="M40" s="7">
        <f t="shared" si="22"/>
        <v>4.9728393554782535E-2</v>
      </c>
      <c r="N40" s="20">
        <f t="shared" si="14"/>
        <v>4.9720764160251285E-2</v>
      </c>
      <c r="O40">
        <f t="shared" si="23"/>
        <v>15.946156961275847</v>
      </c>
      <c r="P40">
        <f t="shared" si="24"/>
        <v>-18.196532961592311</v>
      </c>
      <c r="Q40">
        <f t="shared" si="25"/>
        <v>-1.1235466313373763</v>
      </c>
    </row>
    <row r="41" spans="2:17" x14ac:dyDescent="0.25">
      <c r="B41" s="21">
        <f t="shared" si="17"/>
        <v>1.5340042114257813E-4</v>
      </c>
      <c r="C41" s="18">
        <f t="shared" si="18"/>
        <v>1.6102905273437501E-4</v>
      </c>
      <c r="D41" s="18">
        <f t="shared" si="19"/>
        <v>1.5721473693847658E-4</v>
      </c>
      <c r="E41">
        <f t="shared" si="20"/>
        <v>3.189505584356084</v>
      </c>
      <c r="F41">
        <f t="shared" si="26"/>
        <v>-1.6336921599067864</v>
      </c>
      <c r="G41">
        <f t="shared" si="27"/>
        <v>0.77801099060161505</v>
      </c>
      <c r="L41" s="7">
        <f t="shared" si="21"/>
        <v>4.9713134765720035E-2</v>
      </c>
      <c r="M41" s="7">
        <f t="shared" si="22"/>
        <v>4.9720764160251285E-2</v>
      </c>
      <c r="N41" s="20">
        <f t="shared" si="14"/>
        <v>4.971694946298566E-2</v>
      </c>
      <c r="O41">
        <f t="shared" si="23"/>
        <v>15.946156961275847</v>
      </c>
      <c r="P41">
        <f t="shared" si="24"/>
        <v>-1.1235466313373763</v>
      </c>
      <c r="Q41">
        <f t="shared" si="25"/>
        <v>7.4117154661944369</v>
      </c>
    </row>
    <row r="42" spans="2:17" x14ac:dyDescent="0.25">
      <c r="B42" s="21">
        <f t="shared" si="17"/>
        <v>1.5721473693847658E-4</v>
      </c>
      <c r="C42" s="18">
        <f t="shared" si="18"/>
        <v>1.6102905273437501E-4</v>
      </c>
      <c r="D42" s="18">
        <f t="shared" si="19"/>
        <v>1.5912189483642579E-4</v>
      </c>
      <c r="E42">
        <f t="shared" si="20"/>
        <v>0.77801099060161505</v>
      </c>
      <c r="F42">
        <f t="shared" si="26"/>
        <v>-1.6336921599067864</v>
      </c>
      <c r="G42">
        <f t="shared" si="27"/>
        <v>-0.42781452742929105</v>
      </c>
      <c r="L42" s="7">
        <f t="shared" si="21"/>
        <v>4.971694946298566E-2</v>
      </c>
      <c r="M42" s="7">
        <f t="shared" si="22"/>
        <v>4.9720764160251285E-2</v>
      </c>
      <c r="N42" s="20">
        <f t="shared" si="14"/>
        <v>4.9718856811618473E-2</v>
      </c>
      <c r="O42">
        <f t="shared" si="23"/>
        <v>7.4117154661944369</v>
      </c>
      <c r="P42">
        <f t="shared" si="24"/>
        <v>-1.1235466313373763</v>
      </c>
      <c r="Q42">
        <f t="shared" si="25"/>
        <v>3.1441869979316834</v>
      </c>
    </row>
    <row r="43" spans="2:17" x14ac:dyDescent="0.25">
      <c r="B43" s="21">
        <f t="shared" si="17"/>
        <v>1.5721473693847658E-4</v>
      </c>
      <c r="C43" s="18">
        <f t="shared" si="18"/>
        <v>1.5912189483642579E-4</v>
      </c>
      <c r="D43" s="18">
        <f t="shared" si="19"/>
        <v>1.5816831588745119E-4</v>
      </c>
      <c r="E43">
        <f t="shared" si="20"/>
        <v>0.77801099060161505</v>
      </c>
      <c r="F43">
        <f t="shared" si="26"/>
        <v>-0.42781452742929105</v>
      </c>
      <c r="G43">
        <f t="shared" si="27"/>
        <v>0.17510473333095433</v>
      </c>
      <c r="L43" s="7">
        <f t="shared" si="21"/>
        <v>4.9718856811618473E-2</v>
      </c>
      <c r="M43" s="7">
        <f t="shared" si="22"/>
        <v>4.9720764160251285E-2</v>
      </c>
      <c r="N43" s="20">
        <f t="shared" si="14"/>
        <v>4.9719810485934879E-2</v>
      </c>
      <c r="O43">
        <f t="shared" si="23"/>
        <v>3.1441869979316834</v>
      </c>
      <c r="P43">
        <f t="shared" si="24"/>
        <v>-1.1235466313373763</v>
      </c>
      <c r="Q43">
        <f t="shared" si="25"/>
        <v>1.0103458291123388</v>
      </c>
    </row>
    <row r="44" spans="2:17" x14ac:dyDescent="0.25">
      <c r="B44" s="21">
        <f t="shared" si="17"/>
        <v>1.5816831588745119E-4</v>
      </c>
      <c r="C44" s="18">
        <f t="shared" si="18"/>
        <v>1.5912189483642579E-4</v>
      </c>
      <c r="D44" s="18">
        <f t="shared" si="19"/>
        <v>1.5864510536193848E-4</v>
      </c>
      <c r="E44">
        <f t="shared" si="20"/>
        <v>0.17510473333095433</v>
      </c>
      <c r="F44">
        <f t="shared" si="26"/>
        <v>-0.42781452742929105</v>
      </c>
      <c r="G44">
        <f t="shared" si="27"/>
        <v>-0.12635325232986361</v>
      </c>
      <c r="L44" s="7">
        <f t="shared" si="21"/>
        <v>4.9719810485934879E-2</v>
      </c>
      <c r="M44" s="7">
        <f t="shared" si="22"/>
        <v>4.9720764160251285E-2</v>
      </c>
      <c r="N44" s="20">
        <f t="shared" si="14"/>
        <v>4.9720287323093082E-2</v>
      </c>
      <c r="O44">
        <f t="shared" si="23"/>
        <v>1.0103458291123388</v>
      </c>
      <c r="P44">
        <f t="shared" si="24"/>
        <v>-1.1235466313373763</v>
      </c>
      <c r="Q44">
        <f t="shared" si="25"/>
        <v>-5.6593989618704654E-2</v>
      </c>
    </row>
    <row r="45" spans="2:17" x14ac:dyDescent="0.25">
      <c r="B45" s="21">
        <f t="shared" si="17"/>
        <v>1.5816831588745119E-4</v>
      </c>
      <c r="C45" s="18">
        <f t="shared" si="18"/>
        <v>1.5864510536193848E-4</v>
      </c>
      <c r="D45" s="18">
        <f t="shared" si="19"/>
        <v>1.5840671062469482E-4</v>
      </c>
      <c r="E45">
        <f t="shared" si="20"/>
        <v>0.17510473333095433</v>
      </c>
      <c r="F45">
        <f t="shared" si="26"/>
        <v>-0.12635325232986361</v>
      </c>
      <c r="G45">
        <f t="shared" si="27"/>
        <v>2.4376179469982162E-2</v>
      </c>
      <c r="L45" s="7">
        <f t="shared" si="21"/>
        <v>4.9719810485934879E-2</v>
      </c>
      <c r="M45" s="7">
        <f t="shared" si="22"/>
        <v>4.9720287323093082E-2</v>
      </c>
      <c r="N45" s="20">
        <f t="shared" si="14"/>
        <v>4.972004890451398E-2</v>
      </c>
      <c r="O45">
        <f t="shared" si="23"/>
        <v>1.0103458291123388</v>
      </c>
      <c r="P45">
        <f t="shared" si="24"/>
        <v>-5.6593989618704654E-2</v>
      </c>
      <c r="Q45">
        <f t="shared" si="25"/>
        <v>0.476877522552968</v>
      </c>
    </row>
    <row r="46" spans="2:17" x14ac:dyDescent="0.25">
      <c r="B46" s="21">
        <f t="shared" si="17"/>
        <v>1.5840671062469482E-4</v>
      </c>
      <c r="C46" s="18">
        <f t="shared" si="18"/>
        <v>1.5864510536193848E-4</v>
      </c>
      <c r="D46" s="18">
        <f t="shared" si="19"/>
        <v>1.5852590799331665E-4</v>
      </c>
      <c r="E46">
        <f t="shared" si="20"/>
        <v>2.4376179469982162E-2</v>
      </c>
      <c r="F46">
        <f t="shared" si="26"/>
        <v>-0.12635325232986361</v>
      </c>
      <c r="G46">
        <f t="shared" si="27"/>
        <v>-5.0988429386052303E-2</v>
      </c>
      <c r="L46" s="7">
        <f t="shared" si="21"/>
        <v>4.972004890451398E-2</v>
      </c>
      <c r="M46" s="7">
        <f t="shared" si="22"/>
        <v>4.9720287323093082E-2</v>
      </c>
      <c r="N46" s="20">
        <f t="shared" si="14"/>
        <v>4.9720168113803531E-2</v>
      </c>
      <c r="O46">
        <f t="shared" si="23"/>
        <v>0.476877522552968</v>
      </c>
      <c r="P46">
        <f t="shared" si="24"/>
        <v>-5.6593989618704654E-2</v>
      </c>
      <c r="Q46">
        <f t="shared" si="25"/>
        <v>0.21014216718322132</v>
      </c>
    </row>
    <row r="47" spans="2:17" x14ac:dyDescent="0.25">
      <c r="B47" s="21">
        <f t="shared" si="17"/>
        <v>1.5840671062469482E-4</v>
      </c>
      <c r="C47" s="18">
        <f t="shared" si="18"/>
        <v>1.5852590799331665E-4</v>
      </c>
      <c r="D47" s="18">
        <f t="shared" si="19"/>
        <v>1.5846630930900572E-4</v>
      </c>
      <c r="E47">
        <f t="shared" si="20"/>
        <v>2.4376179469982162E-2</v>
      </c>
      <c r="F47">
        <f t="shared" si="26"/>
        <v>-5.0988429386052303E-2</v>
      </c>
      <c r="G47">
        <f t="shared" si="27"/>
        <v>-1.3306145643582568E-2</v>
      </c>
      <c r="L47" s="7">
        <f t="shared" si="21"/>
        <v>4.9720168113803531E-2</v>
      </c>
      <c r="M47" s="7">
        <f t="shared" si="22"/>
        <v>4.9720287323093082E-2</v>
      </c>
      <c r="N47" s="20">
        <f t="shared" si="14"/>
        <v>4.9720227718448307E-2</v>
      </c>
      <c r="O47">
        <f t="shared" si="23"/>
        <v>0.21014216718322132</v>
      </c>
      <c r="P47">
        <f t="shared" si="24"/>
        <v>-5.6593989618704654E-2</v>
      </c>
      <c r="Q47">
        <f t="shared" si="25"/>
        <v>7.6774188943090849E-2</v>
      </c>
    </row>
    <row r="48" spans="2:17" x14ac:dyDescent="0.25">
      <c r="B48" s="21">
        <f t="shared" si="17"/>
        <v>1.5840671062469482E-4</v>
      </c>
      <c r="C48" s="18">
        <f t="shared" si="18"/>
        <v>1.5846630930900572E-4</v>
      </c>
      <c r="D48" s="18">
        <f t="shared" si="19"/>
        <v>1.5843650996685027E-4</v>
      </c>
      <c r="E48">
        <f t="shared" si="20"/>
        <v>2.4376179469982162E-2</v>
      </c>
      <c r="F48">
        <f t="shared" si="26"/>
        <v>-1.3306145643582568E-2</v>
      </c>
      <c r="G48">
        <f t="shared" si="27"/>
        <v>5.5350028051179834E-3</v>
      </c>
      <c r="L48" s="7">
        <f t="shared" si="21"/>
        <v>4.9720227718448307E-2</v>
      </c>
      <c r="M48" s="7">
        <f t="shared" si="22"/>
        <v>4.9720287323093082E-2</v>
      </c>
      <c r="N48" s="20">
        <f t="shared" si="14"/>
        <v>4.9720257520770694E-2</v>
      </c>
      <c r="O48">
        <f t="shared" si="23"/>
        <v>7.6774188943090849E-2</v>
      </c>
      <c r="P48">
        <f t="shared" si="24"/>
        <v>-5.6593989618704654E-2</v>
      </c>
      <c r="Q48">
        <f t="shared" si="25"/>
        <v>1.0090124851558357E-2</v>
      </c>
    </row>
    <row r="49" spans="2:17" x14ac:dyDescent="0.25">
      <c r="B49" s="21">
        <f t="shared" si="17"/>
        <v>1.5843650996685027E-4</v>
      </c>
      <c r="C49" s="18">
        <f t="shared" si="18"/>
        <v>1.5846630930900572E-4</v>
      </c>
      <c r="D49" s="18">
        <f t="shared" si="19"/>
        <v>1.5845140963792801E-4</v>
      </c>
      <c r="E49">
        <f t="shared" si="20"/>
        <v>5.5350028051179834E-3</v>
      </c>
      <c r="F49">
        <f t="shared" si="26"/>
        <v>-1.3306145643582568E-2</v>
      </c>
      <c r="G49">
        <f t="shared" si="27"/>
        <v>-3.8855674065416679E-3</v>
      </c>
      <c r="L49" s="7">
        <f t="shared" si="21"/>
        <v>4.9720257520770694E-2</v>
      </c>
      <c r="M49" s="7">
        <f t="shared" si="22"/>
        <v>4.9720287323093082E-2</v>
      </c>
      <c r="N49" s="20">
        <f t="shared" si="14"/>
        <v>4.9720272421931888E-2</v>
      </c>
      <c r="O49">
        <f t="shared" si="23"/>
        <v>1.0090124851558357E-2</v>
      </c>
      <c r="P49">
        <f t="shared" si="24"/>
        <v>-5.6593989618704654E-2</v>
      </c>
      <c r="Q49">
        <f t="shared" si="25"/>
        <v>-2.325192624994088E-2</v>
      </c>
    </row>
    <row r="50" spans="2:17" x14ac:dyDescent="0.25">
      <c r="B50" s="21">
        <f t="shared" si="17"/>
        <v>1.5843650996685027E-4</v>
      </c>
      <c r="C50" s="18">
        <f t="shared" si="18"/>
        <v>1.5845140963792801E-4</v>
      </c>
      <c r="D50" s="18">
        <f t="shared" si="19"/>
        <v>1.5844395980238912E-4</v>
      </c>
      <c r="E50">
        <f t="shared" si="20"/>
        <v>5.5350028051179834E-3</v>
      </c>
      <c r="F50">
        <f t="shared" si="26"/>
        <v>-3.8855674065416679E-3</v>
      </c>
      <c r="G50">
        <f t="shared" si="27"/>
        <v>8.2473796646809205E-4</v>
      </c>
      <c r="L50" s="7">
        <f t="shared" si="21"/>
        <v>4.9720257520770694E-2</v>
      </c>
      <c r="M50" s="7">
        <f t="shared" si="22"/>
        <v>4.9720272421931888E-2</v>
      </c>
      <c r="N50" s="20">
        <f t="shared" si="14"/>
        <v>4.9720264971351291E-2</v>
      </c>
      <c r="O50">
        <f t="shared" si="23"/>
        <v>1.0090124851558357E-2</v>
      </c>
      <c r="P50">
        <f t="shared" si="24"/>
        <v>-2.325192624994088E-2</v>
      </c>
      <c r="Q50">
        <f t="shared" si="25"/>
        <v>-6.5808989602373913E-3</v>
      </c>
    </row>
    <row r="51" spans="2:17" x14ac:dyDescent="0.25">
      <c r="B51" s="21">
        <f t="shared" si="17"/>
        <v>1.5844395980238912E-4</v>
      </c>
      <c r="C51" s="18">
        <f t="shared" si="18"/>
        <v>1.5845140963792801E-4</v>
      </c>
      <c r="D51" s="18">
        <f t="shared" si="19"/>
        <v>1.5844768472015857E-4</v>
      </c>
      <c r="E51">
        <f t="shared" si="20"/>
        <v>8.2473796646809205E-4</v>
      </c>
      <c r="F51">
        <f t="shared" si="26"/>
        <v>-3.8855674065416679E-3</v>
      </c>
      <c r="G51">
        <f t="shared" si="27"/>
        <v>-1.530388806713745E-3</v>
      </c>
      <c r="L51" s="7">
        <f t="shared" si="21"/>
        <v>4.9720257520770694E-2</v>
      </c>
      <c r="M51" s="7">
        <f t="shared" si="22"/>
        <v>4.9720264971351291E-2</v>
      </c>
      <c r="N51" s="20">
        <f t="shared" si="14"/>
        <v>4.9720261246060993E-2</v>
      </c>
      <c r="O51">
        <f t="shared" si="23"/>
        <v>1.0090124851558357E-2</v>
      </c>
      <c r="P51">
        <f t="shared" si="24"/>
        <v>-6.5808989602373913E-3</v>
      </c>
      <c r="Q51">
        <f t="shared" si="25"/>
        <v>1.754613098455593E-3</v>
      </c>
    </row>
    <row r="52" spans="2:17" x14ac:dyDescent="0.25">
      <c r="B52" s="21">
        <f t="shared" si="17"/>
        <v>1.5844395980238912E-4</v>
      </c>
      <c r="C52" s="18">
        <f t="shared" si="18"/>
        <v>1.5844768472015857E-4</v>
      </c>
      <c r="D52" s="18">
        <f t="shared" si="19"/>
        <v>1.5844582226127383E-4</v>
      </c>
      <c r="E52">
        <f t="shared" si="20"/>
        <v>8.2473796646809205E-4</v>
      </c>
      <c r="F52">
        <f t="shared" si="26"/>
        <v>-1.530388806713745E-3</v>
      </c>
      <c r="G52">
        <f t="shared" si="27"/>
        <v>-3.5283295437693596E-4</v>
      </c>
      <c r="L52" s="7">
        <f t="shared" si="21"/>
        <v>4.9720261246060993E-2</v>
      </c>
      <c r="M52" s="7">
        <f t="shared" si="22"/>
        <v>4.9720264971351291E-2</v>
      </c>
      <c r="N52" s="20">
        <f t="shared" si="14"/>
        <v>4.9720263108706142E-2</v>
      </c>
      <c r="O52">
        <f t="shared" si="23"/>
        <v>1.754613098455593E-3</v>
      </c>
      <c r="P52">
        <f t="shared" si="24"/>
        <v>-6.5808989602373913E-3</v>
      </c>
      <c r="Q52">
        <f t="shared" si="25"/>
        <v>-2.4131425016093999E-3</v>
      </c>
    </row>
    <row r="53" spans="2:17" x14ac:dyDescent="0.25">
      <c r="B53" s="21">
        <f t="shared" si="17"/>
        <v>1.5844395980238912E-4</v>
      </c>
      <c r="C53" s="18">
        <f t="shared" si="18"/>
        <v>1.5844582226127383E-4</v>
      </c>
      <c r="D53" s="18">
        <f t="shared" si="19"/>
        <v>1.5844489103183148E-4</v>
      </c>
      <c r="E53">
        <f t="shared" si="20"/>
        <v>8.2473796646809205E-4</v>
      </c>
      <c r="F53">
        <f t="shared" si="26"/>
        <v>-3.5283295437693596E-4</v>
      </c>
      <c r="G53">
        <f t="shared" si="27"/>
        <v>2.3592101933900267E-4</v>
      </c>
      <c r="L53" s="7">
        <f t="shared" si="21"/>
        <v>4.9720261246060993E-2</v>
      </c>
      <c r="M53" s="7">
        <f t="shared" si="22"/>
        <v>4.9720263108706142E-2</v>
      </c>
      <c r="N53" s="20">
        <f t="shared" si="14"/>
        <v>4.9720262177383567E-2</v>
      </c>
      <c r="O53">
        <f t="shared" si="23"/>
        <v>1.754613098455593E-3</v>
      </c>
      <c r="P53">
        <f t="shared" si="24"/>
        <v>-2.4131425016093999E-3</v>
      </c>
      <c r="Q53">
        <f t="shared" si="25"/>
        <v>-3.2926448329817504E-4</v>
      </c>
    </row>
    <row r="54" spans="2:17" x14ac:dyDescent="0.25">
      <c r="B54" s="21">
        <f t="shared" si="17"/>
        <v>1.5844489103183148E-4</v>
      </c>
      <c r="C54" s="18">
        <f t="shared" si="18"/>
        <v>1.5844582226127383E-4</v>
      </c>
      <c r="D54" s="18">
        <f t="shared" si="19"/>
        <v>1.5844535664655265E-4</v>
      </c>
      <c r="E54">
        <f t="shared" si="20"/>
        <v>2.3592101933900267E-4</v>
      </c>
      <c r="F54">
        <f t="shared" si="26"/>
        <v>-3.5283295437693596E-4</v>
      </c>
      <c r="G54">
        <f t="shared" si="27"/>
        <v>-5.8440717111807317E-5</v>
      </c>
      <c r="L54" s="7">
        <f t="shared" si="21"/>
        <v>4.9720261246060993E-2</v>
      </c>
      <c r="M54" s="7">
        <f t="shared" si="22"/>
        <v>4.9720262177383567E-2</v>
      </c>
      <c r="N54" s="20">
        <f t="shared" si="14"/>
        <v>4.972026171172228E-2</v>
      </c>
      <c r="O54">
        <f t="shared" si="23"/>
        <v>1.754613098455593E-3</v>
      </c>
      <c r="P54">
        <f t="shared" si="24"/>
        <v>-3.2926448329817504E-4</v>
      </c>
      <c r="Q54">
        <f t="shared" si="25"/>
        <v>7.1267415478359908E-4</v>
      </c>
    </row>
    <row r="55" spans="2:17" x14ac:dyDescent="0.25">
      <c r="B55" s="21">
        <f t="shared" si="17"/>
        <v>1.5844489103183148E-4</v>
      </c>
      <c r="C55" s="18">
        <f t="shared" si="18"/>
        <v>1.5844535664655265E-4</v>
      </c>
      <c r="D55" s="18">
        <f t="shared" si="19"/>
        <v>1.5844512383919205E-4</v>
      </c>
      <c r="E55">
        <f t="shared" si="20"/>
        <v>2.3592101933900267E-4</v>
      </c>
      <c r="F55">
        <f t="shared" si="26"/>
        <v>-5.8440717111807317E-5</v>
      </c>
      <c r="G55">
        <f t="shared" si="27"/>
        <v>8.8740634964779019E-5</v>
      </c>
      <c r="L55" s="7">
        <f t="shared" si="21"/>
        <v>4.972026171172228E-2</v>
      </c>
      <c r="M55" s="7">
        <f t="shared" si="22"/>
        <v>4.9720262177383567E-2</v>
      </c>
      <c r="N55" s="20">
        <f t="shared" si="14"/>
        <v>4.9720261944552924E-2</v>
      </c>
      <c r="O55">
        <f t="shared" si="23"/>
        <v>7.1267415478359908E-4</v>
      </c>
      <c r="P55">
        <f t="shared" si="24"/>
        <v>-3.2926448329817504E-4</v>
      </c>
      <c r="Q55">
        <f t="shared" si="25"/>
        <v>1.9170509767718613E-4</v>
      </c>
    </row>
    <row r="56" spans="2:17" x14ac:dyDescent="0.25">
      <c r="B56" s="21">
        <f t="shared" si="17"/>
        <v>1.5844512383919205E-4</v>
      </c>
      <c r="C56" s="18">
        <f t="shared" si="18"/>
        <v>1.5844535664655265E-4</v>
      </c>
      <c r="D56" s="18">
        <f t="shared" si="19"/>
        <v>1.5844524024287237E-4</v>
      </c>
      <c r="E56">
        <f t="shared" si="20"/>
        <v>8.8740634964779019E-5</v>
      </c>
      <c r="F56">
        <f t="shared" si="26"/>
        <v>-5.8440717111807317E-5</v>
      </c>
      <c r="G56">
        <f t="shared" si="27"/>
        <v>1.5181431081146002E-5</v>
      </c>
      <c r="L56" s="7">
        <f t="shared" si="21"/>
        <v>4.9720261944552924E-2</v>
      </c>
      <c r="M56" s="7">
        <f t="shared" si="22"/>
        <v>4.9720262177383567E-2</v>
      </c>
      <c r="N56" s="20">
        <f t="shared" si="14"/>
        <v>4.9720262060968246E-2</v>
      </c>
      <c r="O56">
        <f t="shared" si="23"/>
        <v>1.9170509767718613E-4</v>
      </c>
      <c r="P56">
        <f t="shared" si="24"/>
        <v>-3.2926448329817504E-4</v>
      </c>
      <c r="Q56">
        <f t="shared" si="25"/>
        <v>-6.8779889261350036E-5</v>
      </c>
    </row>
    <row r="57" spans="2:17" x14ac:dyDescent="0.25">
      <c r="B57" s="21">
        <f t="shared" si="17"/>
        <v>1.5844524024287237E-4</v>
      </c>
      <c r="C57" s="18">
        <f t="shared" si="18"/>
        <v>1.5844535664655265E-4</v>
      </c>
      <c r="D57" s="18">
        <f t="shared" si="19"/>
        <v>1.5844529844471252E-4</v>
      </c>
      <c r="E57">
        <f t="shared" si="20"/>
        <v>1.5181431081146002E-5</v>
      </c>
      <c r="F57">
        <f t="shared" si="26"/>
        <v>-5.8440717111807317E-5</v>
      </c>
      <c r="G57">
        <f t="shared" si="27"/>
        <v>-2.1635954908560961E-5</v>
      </c>
      <c r="L57" s="7">
        <f t="shared" si="21"/>
        <v>4.9720261944552924E-2</v>
      </c>
      <c r="M57" s="7">
        <f t="shared" si="22"/>
        <v>4.9720262060968246E-2</v>
      </c>
      <c r="N57" s="20">
        <f t="shared" si="14"/>
        <v>4.9720262002760585E-2</v>
      </c>
      <c r="O57">
        <f t="shared" si="23"/>
        <v>1.9170509767718613E-4</v>
      </c>
      <c r="P57">
        <f t="shared" si="24"/>
        <v>-6.8779889261350036E-5</v>
      </c>
      <c r="Q57">
        <f t="shared" si="25"/>
        <v>6.1462546000257134E-5</v>
      </c>
    </row>
    <row r="58" spans="2:17" x14ac:dyDescent="0.25">
      <c r="B58" s="21">
        <f t="shared" si="17"/>
        <v>1.5844524024287237E-4</v>
      </c>
      <c r="C58" s="18">
        <f t="shared" si="18"/>
        <v>1.5844529844471252E-4</v>
      </c>
      <c r="D58" s="18">
        <f t="shared" si="19"/>
        <v>1.5844526934379245E-4</v>
      </c>
      <c r="E58">
        <f t="shared" si="20"/>
        <v>1.5181431081146002E-5</v>
      </c>
      <c r="F58">
        <f t="shared" si="26"/>
        <v>-2.1635954908560961E-5</v>
      </c>
      <c r="G58">
        <f t="shared" si="27"/>
        <v>-3.2188618206419051E-6</v>
      </c>
      <c r="L58" s="7">
        <f t="shared" si="21"/>
        <v>4.9720262002760585E-2</v>
      </c>
      <c r="M58" s="7">
        <f t="shared" si="22"/>
        <v>4.9720262060968246E-2</v>
      </c>
      <c r="N58" s="20">
        <f t="shared" si="14"/>
        <v>4.9720262031864415E-2</v>
      </c>
      <c r="O58">
        <f t="shared" si="23"/>
        <v>6.1462546000257134E-5</v>
      </c>
      <c r="P58">
        <f t="shared" si="24"/>
        <v>-6.8779889261350036E-5</v>
      </c>
      <c r="Q58">
        <f t="shared" si="25"/>
        <v>-3.6587007343769073E-6</v>
      </c>
    </row>
    <row r="59" spans="2:17" x14ac:dyDescent="0.25">
      <c r="B59" s="21">
        <f t="shared" si="17"/>
        <v>1.5844524024287237E-4</v>
      </c>
      <c r="C59" s="18">
        <f t="shared" si="18"/>
        <v>1.5844526934379245E-4</v>
      </c>
      <c r="D59" s="18">
        <f t="shared" si="19"/>
        <v>1.5844525479333241E-4</v>
      </c>
      <c r="E59">
        <f t="shared" si="20"/>
        <v>1.5181431081146002E-5</v>
      </c>
      <c r="F59">
        <f t="shared" si="26"/>
        <v>-3.2188618206419051E-6</v>
      </c>
      <c r="G59">
        <f t="shared" si="27"/>
        <v>5.9392477851361036E-6</v>
      </c>
      <c r="L59" s="7">
        <f t="shared" si="21"/>
        <v>4.9720262002760585E-2</v>
      </c>
      <c r="M59" s="7">
        <f t="shared" si="22"/>
        <v>4.9720262031864415E-2</v>
      </c>
      <c r="N59" s="20">
        <f t="shared" si="14"/>
        <v>4.97202620173125E-2</v>
      </c>
      <c r="O59">
        <f t="shared" si="23"/>
        <v>6.1462546000257134E-5</v>
      </c>
      <c r="P59">
        <f t="shared" si="24"/>
        <v>-3.6587007343769073E-6</v>
      </c>
      <c r="Q59">
        <f t="shared" si="25"/>
        <v>2.8901966288685799E-5</v>
      </c>
    </row>
    <row r="60" spans="2:17" x14ac:dyDescent="0.25">
      <c r="B60" s="21">
        <f t="shared" si="17"/>
        <v>1.5844525479333241E-4</v>
      </c>
      <c r="C60" s="18">
        <f t="shared" si="18"/>
        <v>1.5844526934379245E-4</v>
      </c>
      <c r="D60" s="18">
        <f t="shared" si="19"/>
        <v>1.5844526206856244E-4</v>
      </c>
      <c r="E60">
        <f t="shared" si="20"/>
        <v>5.9392477851361036E-6</v>
      </c>
      <c r="F60">
        <f t="shared" si="26"/>
        <v>-3.2188618206419051E-6</v>
      </c>
      <c r="G60">
        <f t="shared" si="27"/>
        <v>1.3363751349970698E-6</v>
      </c>
      <c r="L60" s="7">
        <f t="shared" si="21"/>
        <v>4.97202620173125E-2</v>
      </c>
      <c r="M60" s="7">
        <f t="shared" si="22"/>
        <v>4.9720262031864415E-2</v>
      </c>
      <c r="N60" s="20">
        <f t="shared" si="14"/>
        <v>4.9720262024588457E-2</v>
      </c>
      <c r="O60">
        <f t="shared" si="23"/>
        <v>2.8901966288685799E-5</v>
      </c>
      <c r="P60">
        <f t="shared" si="24"/>
        <v>-3.6587007343769073E-6</v>
      </c>
      <c r="Q60">
        <f t="shared" si="25"/>
        <v>1.2621443602256477E-5</v>
      </c>
    </row>
    <row r="61" spans="2:17" x14ac:dyDescent="0.25">
      <c r="B61" s="21">
        <f t="shared" si="17"/>
        <v>1.5844526206856244E-4</v>
      </c>
      <c r="C61" s="18">
        <f t="shared" si="18"/>
        <v>1.5844526934379245E-4</v>
      </c>
      <c r="D61" s="18">
        <f t="shared" si="19"/>
        <v>1.5844526570617744E-4</v>
      </c>
      <c r="E61">
        <f t="shared" si="20"/>
        <v>1.3363751349970698E-6</v>
      </c>
      <c r="F61">
        <f t="shared" si="26"/>
        <v>-3.2188618206419051E-6</v>
      </c>
      <c r="G61">
        <f t="shared" si="27"/>
        <v>-9.3913695309311152E-7</v>
      </c>
      <c r="L61" s="7">
        <f t="shared" si="21"/>
        <v>4.9720262024588457E-2</v>
      </c>
      <c r="M61" s="7">
        <f t="shared" si="22"/>
        <v>4.9720262031864415E-2</v>
      </c>
      <c r="N61" s="20">
        <f t="shared" si="14"/>
        <v>4.9720262028226436E-2</v>
      </c>
      <c r="O61">
        <f t="shared" si="23"/>
        <v>1.2621443602256477E-5</v>
      </c>
      <c r="P61">
        <f t="shared" si="24"/>
        <v>-3.6587007343769073E-6</v>
      </c>
      <c r="Q61">
        <f t="shared" si="25"/>
        <v>4.4813787098973989E-6</v>
      </c>
    </row>
    <row r="62" spans="2:17" x14ac:dyDescent="0.25">
      <c r="B62" s="21">
        <f t="shared" si="17"/>
        <v>1.5844526206856244E-4</v>
      </c>
      <c r="C62" s="18">
        <f t="shared" si="18"/>
        <v>1.5844526570617744E-4</v>
      </c>
      <c r="D62" s="18">
        <f t="shared" si="19"/>
        <v>1.5844526388736994E-4</v>
      </c>
      <c r="E62">
        <f t="shared" si="20"/>
        <v>1.3363751349970698E-6</v>
      </c>
      <c r="F62">
        <f t="shared" si="26"/>
        <v>-9.3913695309311152E-7</v>
      </c>
      <c r="G62">
        <f t="shared" si="27"/>
        <v>1.9651633920148015E-7</v>
      </c>
      <c r="L62" s="7">
        <f t="shared" si="21"/>
        <v>4.9720262028226436E-2</v>
      </c>
      <c r="M62" s="7">
        <f t="shared" si="22"/>
        <v>4.9720262031864415E-2</v>
      </c>
      <c r="N62" s="20">
        <f t="shared" si="14"/>
        <v>4.9720262030045426E-2</v>
      </c>
      <c r="O62">
        <f t="shared" si="23"/>
        <v>4.4813787098973989E-6</v>
      </c>
      <c r="P62">
        <f t="shared" si="24"/>
        <v>-3.6587007343769073E-6</v>
      </c>
      <c r="Q62">
        <f t="shared" si="25"/>
        <v>4.116445779800415E-7</v>
      </c>
    </row>
    <row r="63" spans="2:17" x14ac:dyDescent="0.25">
      <c r="B63" s="21">
        <f t="shared" si="17"/>
        <v>1.5844526388736994E-4</v>
      </c>
      <c r="C63" s="18">
        <f t="shared" si="18"/>
        <v>1.5844526570617744E-4</v>
      </c>
      <c r="D63" s="18">
        <f t="shared" si="19"/>
        <v>1.5844526479677371E-4</v>
      </c>
      <c r="E63">
        <f t="shared" si="20"/>
        <v>1.9651633920148015E-7</v>
      </c>
      <c r="F63">
        <f t="shared" si="26"/>
        <v>-9.3913695309311152E-7</v>
      </c>
      <c r="G63">
        <f t="shared" si="27"/>
        <v>-3.5309494705870748E-7</v>
      </c>
      <c r="L63" s="7">
        <f t="shared" si="21"/>
        <v>4.9720262030045426E-2</v>
      </c>
      <c r="M63" s="7">
        <f t="shared" si="22"/>
        <v>4.9720262031864415E-2</v>
      </c>
      <c r="N63" s="20">
        <f t="shared" si="14"/>
        <v>4.972026203095492E-2</v>
      </c>
      <c r="O63">
        <f t="shared" si="23"/>
        <v>4.116445779800415E-7</v>
      </c>
      <c r="P63">
        <f t="shared" si="24"/>
        <v>-3.6587007343769073E-6</v>
      </c>
      <c r="Q63">
        <f t="shared" si="25"/>
        <v>-1.6237463569268584E-6</v>
      </c>
    </row>
    <row r="64" spans="2:17" x14ac:dyDescent="0.25">
      <c r="B64" s="21">
        <f t="shared" si="17"/>
        <v>1.5844526388736994E-4</v>
      </c>
      <c r="C64" s="18">
        <f t="shared" si="18"/>
        <v>1.5844526479677371E-4</v>
      </c>
      <c r="D64" s="18">
        <f t="shared" si="19"/>
        <v>1.5844526434207184E-4</v>
      </c>
      <c r="E64">
        <f t="shared" si="20"/>
        <v>1.9651633920148015E-7</v>
      </c>
      <c r="F64">
        <f t="shared" si="26"/>
        <v>-3.5309494705870748E-7</v>
      </c>
      <c r="G64">
        <f t="shared" si="27"/>
        <v>-9.5802533905953169E-8</v>
      </c>
      <c r="L64" s="7">
        <f t="shared" si="21"/>
        <v>4.9720262030045426E-2</v>
      </c>
      <c r="M64" s="7">
        <f t="shared" si="22"/>
        <v>4.972026203095492E-2</v>
      </c>
      <c r="N64" s="20">
        <f t="shared" si="14"/>
        <v>4.9720262030500173E-2</v>
      </c>
      <c r="O64">
        <f t="shared" si="23"/>
        <v>4.116445779800415E-7</v>
      </c>
      <c r="P64">
        <f t="shared" si="24"/>
        <v>-1.6237463569268584E-6</v>
      </c>
      <c r="Q64">
        <f t="shared" si="25"/>
        <v>-6.0613092500716448E-7</v>
      </c>
    </row>
    <row r="65" spans="2:17" x14ac:dyDescent="0.25">
      <c r="B65" s="21">
        <f t="shared" si="17"/>
        <v>1.5844526388736994E-4</v>
      </c>
      <c r="C65" s="18">
        <f t="shared" si="18"/>
        <v>1.5844526434207184E-4</v>
      </c>
      <c r="D65" s="18">
        <f t="shared" si="19"/>
        <v>1.5844526411472088E-4</v>
      </c>
      <c r="E65">
        <f t="shared" si="20"/>
        <v>1.9651633920148015E-7</v>
      </c>
      <c r="F65">
        <f t="shared" si="26"/>
        <v>-9.5802533905953169E-8</v>
      </c>
      <c r="G65">
        <f t="shared" si="27"/>
        <v>4.6151399146765471E-8</v>
      </c>
      <c r="L65" s="7">
        <f t="shared" si="21"/>
        <v>4.9720262030045426E-2</v>
      </c>
      <c r="M65" s="7">
        <f t="shared" si="22"/>
        <v>4.9720262030500173E-2</v>
      </c>
      <c r="N65" s="20">
        <f t="shared" si="14"/>
        <v>4.9720262030272799E-2</v>
      </c>
      <c r="O65">
        <f t="shared" si="23"/>
        <v>4.116445779800415E-7</v>
      </c>
      <c r="P65">
        <f t="shared" si="24"/>
        <v>-6.0613092500716448E-7</v>
      </c>
      <c r="Q65">
        <f t="shared" si="25"/>
        <v>-9.7177689895033836E-8</v>
      </c>
    </row>
    <row r="66" spans="2:17" x14ac:dyDescent="0.25">
      <c r="B66" s="21">
        <f t="shared" si="17"/>
        <v>1.5844526411472088E-4</v>
      </c>
      <c r="C66" s="18">
        <f t="shared" si="18"/>
        <v>1.5844526434207184E-4</v>
      </c>
      <c r="D66" s="18">
        <f t="shared" si="19"/>
        <v>1.5844526422839636E-4</v>
      </c>
      <c r="E66">
        <f t="shared" si="20"/>
        <v>4.6151399146765471E-8</v>
      </c>
      <c r="F66">
        <f t="shared" si="26"/>
        <v>-9.5802533905953169E-8</v>
      </c>
      <c r="G66">
        <f t="shared" si="27"/>
        <v>-1.6414560377597809E-8</v>
      </c>
      <c r="L66" s="7">
        <f t="shared" si="21"/>
        <v>4.9720262030045426E-2</v>
      </c>
      <c r="M66" s="7">
        <f t="shared" si="22"/>
        <v>4.9720262030272799E-2</v>
      </c>
      <c r="N66" s="20">
        <f t="shared" si="14"/>
        <v>4.9720262030159112E-2</v>
      </c>
      <c r="O66">
        <f t="shared" si="23"/>
        <v>4.116445779800415E-7</v>
      </c>
      <c r="P66">
        <f t="shared" si="24"/>
        <v>-9.7177689895033836E-8</v>
      </c>
      <c r="Q66">
        <f t="shared" si="25"/>
        <v>1.5723344404250383E-7</v>
      </c>
    </row>
    <row r="67" spans="2:17" x14ac:dyDescent="0.25">
      <c r="B67" s="21">
        <f t="shared" si="17"/>
        <v>1.5844526411472088E-4</v>
      </c>
      <c r="C67" s="18">
        <f t="shared" si="18"/>
        <v>1.5844526422839636E-4</v>
      </c>
      <c r="D67" s="18">
        <f t="shared" si="19"/>
        <v>1.584452641715586E-4</v>
      </c>
      <c r="E67">
        <f t="shared" si="20"/>
        <v>4.6151399146765471E-8</v>
      </c>
      <c r="F67">
        <f t="shared" si="26"/>
        <v>-1.6414560377597809E-8</v>
      </c>
      <c r="G67">
        <f t="shared" si="27"/>
        <v>1.0659277904778719E-8</v>
      </c>
      <c r="L67" s="7">
        <f t="shared" si="21"/>
        <v>4.9720262030159112E-2</v>
      </c>
      <c r="M67" s="7">
        <f t="shared" si="22"/>
        <v>4.9720262030272799E-2</v>
      </c>
      <c r="N67" s="20">
        <f t="shared" si="14"/>
        <v>4.9720262030215956E-2</v>
      </c>
      <c r="O67">
        <f t="shared" si="23"/>
        <v>1.5723344404250383E-7</v>
      </c>
      <c r="P67">
        <f t="shared" si="24"/>
        <v>-9.7177689895033836E-8</v>
      </c>
      <c r="Q67">
        <f t="shared" si="25"/>
        <v>2.9758666642010212E-8</v>
      </c>
    </row>
    <row r="68" spans="2:17" x14ac:dyDescent="0.25">
      <c r="B68" s="21">
        <f t="shared" si="17"/>
        <v>1.584452641715586E-4</v>
      </c>
      <c r="C68" s="18">
        <f t="shared" si="18"/>
        <v>1.5844526422839636E-4</v>
      </c>
      <c r="D68" s="18">
        <f t="shared" si="19"/>
        <v>1.5844526419997749E-4</v>
      </c>
      <c r="E68">
        <f t="shared" si="20"/>
        <v>1.0659277904778719E-8</v>
      </c>
      <c r="F68">
        <f t="shared" si="26"/>
        <v>-1.6414560377597809E-8</v>
      </c>
      <c r="G68">
        <f t="shared" si="27"/>
        <v>-1.469743438065052E-9</v>
      </c>
      <c r="L68" s="7">
        <f t="shared" si="21"/>
        <v>4.9720262030215956E-2</v>
      </c>
      <c r="M68" s="7">
        <f t="shared" si="22"/>
        <v>4.9720262030272799E-2</v>
      </c>
      <c r="N68" s="20">
        <f t="shared" si="14"/>
        <v>4.9720262030244378E-2</v>
      </c>
      <c r="O68">
        <f t="shared" si="23"/>
        <v>2.9758666642010212E-8</v>
      </c>
      <c r="P68">
        <f t="shared" si="24"/>
        <v>-9.7177689895033836E-8</v>
      </c>
      <c r="Q68">
        <f t="shared" si="25"/>
        <v>-3.4007825888693333E-8</v>
      </c>
    </row>
    <row r="69" spans="2:17" x14ac:dyDescent="0.25">
      <c r="B69" s="21">
        <f t="shared" si="17"/>
        <v>1.584452641715586E-4</v>
      </c>
      <c r="C69" s="18">
        <f t="shared" si="18"/>
        <v>1.5844526419997749E-4</v>
      </c>
      <c r="D69" s="18">
        <f t="shared" si="19"/>
        <v>1.5844526418576805E-4</v>
      </c>
      <c r="E69">
        <f t="shared" si="20"/>
        <v>1.0659277904778719E-8</v>
      </c>
      <c r="F69">
        <f t="shared" si="26"/>
        <v>-1.469743438065052E-9</v>
      </c>
      <c r="G69">
        <f t="shared" si="27"/>
        <v>6.6938810050487518E-9</v>
      </c>
      <c r="L69" s="7">
        <f t="shared" si="21"/>
        <v>4.9720262030215956E-2</v>
      </c>
      <c r="M69" s="7">
        <f t="shared" si="22"/>
        <v>4.9720262030244378E-2</v>
      </c>
      <c r="N69" s="20">
        <f t="shared" si="14"/>
        <v>4.9720262030230167E-2</v>
      </c>
      <c r="O69">
        <f t="shared" si="23"/>
        <v>2.9758666642010212E-8</v>
      </c>
      <c r="P69">
        <f t="shared" si="24"/>
        <v>-3.4007825888693333E-8</v>
      </c>
      <c r="Q69">
        <f t="shared" si="25"/>
        <v>-1.8335413187742233E-9</v>
      </c>
    </row>
    <row r="70" spans="2:17" x14ac:dyDescent="0.25">
      <c r="B70" s="21">
        <f t="shared" si="17"/>
        <v>1.5844526418576805E-4</v>
      </c>
      <c r="C70" s="18">
        <f t="shared" si="18"/>
        <v>1.5844526419997749E-4</v>
      </c>
      <c r="D70" s="18">
        <f t="shared" si="19"/>
        <v>1.5844526419287277E-4</v>
      </c>
      <c r="E70">
        <f t="shared" si="20"/>
        <v>6.6938810050487518E-9</v>
      </c>
      <c r="F70">
        <f t="shared" si="26"/>
        <v>-1.469743438065052E-9</v>
      </c>
      <c r="G70">
        <f t="shared" si="27"/>
        <v>2.6047928258776665E-9</v>
      </c>
      <c r="L70" s="7">
        <f t="shared" si="21"/>
        <v>4.9720262030215956E-2</v>
      </c>
      <c r="M70" s="7">
        <f t="shared" si="22"/>
        <v>4.9720262030230167E-2</v>
      </c>
      <c r="N70" s="20">
        <f t="shared" si="14"/>
        <v>4.9720262030223061E-2</v>
      </c>
      <c r="O70">
        <f t="shared" si="23"/>
        <v>2.9758666642010212E-8</v>
      </c>
      <c r="P70">
        <f t="shared" si="24"/>
        <v>-1.8335413187742233E-9</v>
      </c>
      <c r="Q70">
        <f t="shared" si="25"/>
        <v>1.391163095831871E-8</v>
      </c>
    </row>
    <row r="71" spans="2:17" x14ac:dyDescent="0.25">
      <c r="B71" s="21">
        <f t="shared" si="17"/>
        <v>1.5844526419287277E-4</v>
      </c>
      <c r="C71" s="18">
        <f t="shared" si="18"/>
        <v>1.5844526419997749E-4</v>
      </c>
      <c r="D71" s="18">
        <f t="shared" si="19"/>
        <v>1.5844526419642513E-4</v>
      </c>
      <c r="E71">
        <f t="shared" si="20"/>
        <v>2.6047928258776665E-9</v>
      </c>
      <c r="F71">
        <f t="shared" si="26"/>
        <v>-1.469743438065052E-9</v>
      </c>
      <c r="G71">
        <f t="shared" si="27"/>
        <v>1.964508555829525E-9</v>
      </c>
      <c r="L71" s="7">
        <f t="shared" si="21"/>
        <v>4.9720262030223061E-2</v>
      </c>
      <c r="M71" s="7">
        <f t="shared" si="22"/>
        <v>4.9720262030230167E-2</v>
      </c>
      <c r="N71" s="20">
        <f t="shared" si="14"/>
        <v>4.9720262030226614E-2</v>
      </c>
      <c r="O71">
        <f t="shared" si="23"/>
        <v>1.391163095831871E-8</v>
      </c>
      <c r="P71">
        <f t="shared" si="24"/>
        <v>-1.8335413187742233E-9</v>
      </c>
      <c r="Q71">
        <f t="shared" si="25"/>
        <v>5.7189026847481728E-9</v>
      </c>
    </row>
    <row r="72" spans="2:17" x14ac:dyDescent="0.25">
      <c r="B72" s="21">
        <f t="shared" si="17"/>
        <v>1.5844526419642513E-4</v>
      </c>
      <c r="C72" s="18">
        <f t="shared" si="18"/>
        <v>1.5844526419997749E-4</v>
      </c>
      <c r="D72" s="18">
        <f t="shared" si="19"/>
        <v>1.584452641982013E-4</v>
      </c>
      <c r="E72">
        <f t="shared" si="20"/>
        <v>1.964508555829525E-9</v>
      </c>
      <c r="F72">
        <f t="shared" si="26"/>
        <v>-1.469743438065052E-9</v>
      </c>
      <c r="G72">
        <f t="shared" si="27"/>
        <v>3.0486262403428555E-9</v>
      </c>
      <c r="L72" s="7">
        <f t="shared" si="21"/>
        <v>4.9720262030226614E-2</v>
      </c>
      <c r="M72" s="7">
        <f t="shared" si="22"/>
        <v>4.9720262030230167E-2</v>
      </c>
      <c r="N72" s="20">
        <f t="shared" si="14"/>
        <v>4.972026203022839E-2</v>
      </c>
      <c r="O72">
        <f t="shared" si="23"/>
        <v>5.7189026847481728E-9</v>
      </c>
      <c r="P72">
        <f t="shared" si="24"/>
        <v>-1.8335413187742233E-9</v>
      </c>
      <c r="Q72">
        <f t="shared" si="25"/>
        <v>2.1536834537982941E-9</v>
      </c>
    </row>
    <row r="73" spans="2:17" x14ac:dyDescent="0.25">
      <c r="B73" s="21">
        <f t="shared" si="17"/>
        <v>1.584452641982013E-4</v>
      </c>
      <c r="C73" s="18">
        <f t="shared" si="18"/>
        <v>1.5844526419997749E-4</v>
      </c>
      <c r="D73" s="18">
        <f t="shared" si="19"/>
        <v>1.584452641990894E-4</v>
      </c>
      <c r="E73">
        <f t="shared" si="20"/>
        <v>3.0486262403428555E-9</v>
      </c>
      <c r="F73">
        <f t="shared" si="26"/>
        <v>-1.469743438065052E-9</v>
      </c>
      <c r="G73">
        <f t="shared" si="27"/>
        <v>-2.0227162167429924E-9</v>
      </c>
      <c r="L73" s="7">
        <f t="shared" si="21"/>
        <v>4.972026203022839E-2</v>
      </c>
      <c r="M73" s="7">
        <f t="shared" si="22"/>
        <v>4.9720262030230167E-2</v>
      </c>
      <c r="N73" s="20">
        <f t="shared" si="14"/>
        <v>4.9720262030229279E-2</v>
      </c>
      <c r="O73">
        <f t="shared" si="23"/>
        <v>2.1536834537982941E-9</v>
      </c>
      <c r="P73">
        <f t="shared" si="24"/>
        <v>-1.8335413187742233E-9</v>
      </c>
      <c r="Q73">
        <f t="shared" si="25"/>
        <v>-1.3096723705530167E-10</v>
      </c>
    </row>
    <row r="74" spans="2:17" x14ac:dyDescent="0.25">
      <c r="B74" s="21">
        <f t="shared" si="17"/>
        <v>1.584452641982013E-4</v>
      </c>
      <c r="C74" s="18">
        <f t="shared" si="18"/>
        <v>1.584452641990894E-4</v>
      </c>
      <c r="D74" s="18">
        <f t="shared" si="19"/>
        <v>1.5844526419864533E-4</v>
      </c>
      <c r="E74">
        <f t="shared" si="20"/>
        <v>3.0486262403428555E-9</v>
      </c>
      <c r="F74">
        <f t="shared" si="26"/>
        <v>-2.0227162167429924E-9</v>
      </c>
      <c r="G74">
        <f t="shared" si="27"/>
        <v>-2.2919266484677792E-9</v>
      </c>
      <c r="L74" s="7">
        <f t="shared" si="21"/>
        <v>4.972026203022839E-2</v>
      </c>
      <c r="M74" s="7">
        <f t="shared" si="22"/>
        <v>4.9720262030229279E-2</v>
      </c>
      <c r="N74" s="20">
        <f t="shared" si="14"/>
        <v>4.9720262030228835E-2</v>
      </c>
      <c r="O74">
        <f t="shared" si="23"/>
        <v>2.1536834537982941E-9</v>
      </c>
      <c r="P74">
        <f t="shared" si="24"/>
        <v>-1.3096723705530167E-10</v>
      </c>
      <c r="Q74">
        <f t="shared" si="25"/>
        <v>7.8580342233181E-10</v>
      </c>
    </row>
    <row r="75" spans="2:17" x14ac:dyDescent="0.25">
      <c r="B75" s="21">
        <f t="shared" si="17"/>
        <v>1.584452641982013E-4</v>
      </c>
      <c r="C75" s="18">
        <f t="shared" si="18"/>
        <v>1.5844526419864533E-4</v>
      </c>
      <c r="D75" s="18">
        <f t="shared" si="19"/>
        <v>1.5844526419842332E-4</v>
      </c>
      <c r="E75">
        <f t="shared" si="20"/>
        <v>3.0486262403428555E-9</v>
      </c>
      <c r="F75">
        <f t="shared" si="26"/>
        <v>-2.2919266484677792E-9</v>
      </c>
      <c r="G75">
        <f t="shared" si="27"/>
        <v>-2.4228938855230808E-9</v>
      </c>
      <c r="L75" s="7">
        <f t="shared" si="21"/>
        <v>4.9720262030228835E-2</v>
      </c>
      <c r="M75" s="7">
        <f t="shared" si="22"/>
        <v>4.9720262030229279E-2</v>
      </c>
      <c r="N75" s="20">
        <f t="shared" si="14"/>
        <v>4.9720262030229057E-2</v>
      </c>
      <c r="O75">
        <f t="shared" si="23"/>
        <v>7.8580342233181E-10</v>
      </c>
      <c r="P75">
        <f t="shared" si="24"/>
        <v>-1.3096723705530167E-10</v>
      </c>
      <c r="Q75">
        <f t="shared" si="25"/>
        <v>3.7834979593753815E-10</v>
      </c>
    </row>
    <row r="76" spans="2:17" x14ac:dyDescent="0.25">
      <c r="B76" s="21">
        <f t="shared" si="17"/>
        <v>1.584452641982013E-4</v>
      </c>
      <c r="C76" s="18">
        <f t="shared" si="18"/>
        <v>1.5844526419842332E-4</v>
      </c>
      <c r="D76" s="18">
        <f t="shared" si="19"/>
        <v>1.5844526419831232E-4</v>
      </c>
      <c r="E76">
        <f t="shared" si="20"/>
        <v>3.0486262403428555E-9</v>
      </c>
      <c r="F76">
        <f t="shared" si="26"/>
        <v>-2.4228938855230808E-9</v>
      </c>
      <c r="G76">
        <f t="shared" si="27"/>
        <v>2.8339854907244444E-8</v>
      </c>
      <c r="L76" s="7">
        <f t="shared" si="21"/>
        <v>4.9720262030229057E-2</v>
      </c>
      <c r="M76" s="7">
        <f t="shared" si="22"/>
        <v>4.9720262030229279E-2</v>
      </c>
      <c r="N76" s="20">
        <f t="shared" si="14"/>
        <v>4.9720262030229168E-2</v>
      </c>
      <c r="O76">
        <f t="shared" si="23"/>
        <v>3.7834979593753815E-10</v>
      </c>
      <c r="P76">
        <f t="shared" si="24"/>
        <v>-1.3096723705530167E-10</v>
      </c>
      <c r="Q76">
        <f t="shared" si="25"/>
        <v>-3.4924596548080444E-10</v>
      </c>
    </row>
    <row r="77" spans="2:17" x14ac:dyDescent="0.25">
      <c r="B77" s="21">
        <f t="shared" si="17"/>
        <v>1.5844526419831232E-4</v>
      </c>
      <c r="C77" s="18">
        <f t="shared" si="18"/>
        <v>1.5844526419842332E-4</v>
      </c>
      <c r="D77" s="18">
        <f t="shared" si="19"/>
        <v>1.5844526419836783E-4</v>
      </c>
      <c r="E77">
        <f t="shared" si="20"/>
        <v>2.8339854907244444E-8</v>
      </c>
      <c r="F77">
        <f t="shared" si="26"/>
        <v>-2.4228938855230808E-9</v>
      </c>
      <c r="G77">
        <f t="shared" si="27"/>
        <v>4.0992745198309422E-8</v>
      </c>
      <c r="L77" s="7">
        <f t="shared" si="21"/>
        <v>4.9720262030229057E-2</v>
      </c>
      <c r="M77" s="7">
        <f t="shared" si="22"/>
        <v>4.9720262030229168E-2</v>
      </c>
      <c r="N77" s="20">
        <f t="shared" si="14"/>
        <v>4.9720262030229112E-2</v>
      </c>
      <c r="O77">
        <f t="shared" si="23"/>
        <v>3.7834979593753815E-10</v>
      </c>
      <c r="P77">
        <f t="shared" si="24"/>
        <v>-3.4924596548080444E-10</v>
      </c>
      <c r="Q77">
        <f t="shared" si="25"/>
        <v>4.9476511776447296E-10</v>
      </c>
    </row>
    <row r="78" spans="2:17" x14ac:dyDescent="0.25">
      <c r="B78" s="21">
        <f t="shared" si="17"/>
        <v>1.5844526419836783E-4</v>
      </c>
      <c r="C78" s="18">
        <f t="shared" si="18"/>
        <v>1.5844526419842332E-4</v>
      </c>
      <c r="D78" s="18">
        <f t="shared" si="19"/>
        <v>1.5844526419839559E-4</v>
      </c>
      <c r="E78">
        <f t="shared" si="20"/>
        <v>4.0992745198309422E-8</v>
      </c>
      <c r="F78">
        <f t="shared" si="26"/>
        <v>-2.4228938855230808E-9</v>
      </c>
      <c r="G78">
        <f t="shared" si="27"/>
        <v>-8.7384250946342945E-9</v>
      </c>
      <c r="L78" s="7">
        <f t="shared" si="21"/>
        <v>4.9720262030229112E-2</v>
      </c>
      <c r="M78" s="7">
        <f t="shared" si="22"/>
        <v>4.9720262030229168E-2</v>
      </c>
      <c r="N78" s="20">
        <f t="shared" si="14"/>
        <v>4.972026203022914E-2</v>
      </c>
      <c r="O78">
        <f t="shared" si="23"/>
        <v>4.9476511776447296E-10</v>
      </c>
      <c r="P78">
        <f t="shared" si="24"/>
        <v>-3.4924596548080444E-10</v>
      </c>
      <c r="Q78">
        <f t="shared" si="25"/>
        <v>5.5297277867794037E-10</v>
      </c>
    </row>
    <row r="79" spans="2:17" x14ac:dyDescent="0.25">
      <c r="B79" s="21">
        <f t="shared" si="17"/>
        <v>1.5844526419836783E-4</v>
      </c>
      <c r="C79" s="18">
        <f t="shared" si="18"/>
        <v>1.5844526419839559E-4</v>
      </c>
      <c r="D79" s="18">
        <f t="shared" si="19"/>
        <v>1.5844526419838171E-4</v>
      </c>
      <c r="E79">
        <f t="shared" si="20"/>
        <v>4.0992745198309422E-8</v>
      </c>
      <c r="F79">
        <f t="shared" si="26"/>
        <v>-8.7384250946342945E-9</v>
      </c>
      <c r="G79">
        <f t="shared" si="27"/>
        <v>4.4150510802865028E-8</v>
      </c>
      <c r="L79" s="7">
        <f t="shared" si="21"/>
        <v>4.972026203022914E-2</v>
      </c>
      <c r="M79" s="7">
        <f t="shared" si="22"/>
        <v>4.9720262030229168E-2</v>
      </c>
      <c r="N79" s="20">
        <f t="shared" si="14"/>
        <v>4.9720262030229154E-2</v>
      </c>
      <c r="O79">
        <f t="shared" si="23"/>
        <v>5.5297277867794037E-10</v>
      </c>
      <c r="P79">
        <f t="shared" si="24"/>
        <v>-3.4924596548080444E-10</v>
      </c>
      <c r="Q79">
        <f t="shared" si="25"/>
        <v>5.6752469390630722E-10</v>
      </c>
    </row>
    <row r="80" spans="2:17" x14ac:dyDescent="0.25">
      <c r="B80" s="21">
        <f t="shared" si="17"/>
        <v>1.5844526419838171E-4</v>
      </c>
      <c r="C80" s="18">
        <f t="shared" si="18"/>
        <v>1.5844526419839559E-4</v>
      </c>
      <c r="D80" s="18">
        <f t="shared" si="19"/>
        <v>1.5844526419838865E-4</v>
      </c>
      <c r="E80">
        <f t="shared" si="20"/>
        <v>4.4150510802865028E-8</v>
      </c>
      <c r="F80">
        <f t="shared" si="26"/>
        <v>-8.7384250946342945E-9</v>
      </c>
      <c r="G80">
        <f t="shared" si="27"/>
        <v>4.5729393605142832E-8</v>
      </c>
      <c r="L80" s="7">
        <f t="shared" si="21"/>
        <v>4.9720262030229154E-2</v>
      </c>
      <c r="M80" s="7">
        <f t="shared" si="22"/>
        <v>4.9720262030229168E-2</v>
      </c>
      <c r="N80" s="20">
        <f t="shared" si="14"/>
        <v>4.9720262030229161E-2</v>
      </c>
      <c r="O80">
        <f t="shared" si="23"/>
        <v>5.6752469390630722E-10</v>
      </c>
      <c r="P80">
        <f t="shared" si="24"/>
        <v>-3.4924596548080444E-10</v>
      </c>
      <c r="Q80">
        <f t="shared" si="25"/>
        <v>5.8207660913467407E-10</v>
      </c>
    </row>
    <row r="81" spans="2:17" x14ac:dyDescent="0.25">
      <c r="B81" s="21">
        <f t="shared" si="17"/>
        <v>1.5844526419838865E-4</v>
      </c>
      <c r="C81" s="18">
        <f t="shared" si="18"/>
        <v>1.5844526419839559E-4</v>
      </c>
      <c r="D81" s="18">
        <f t="shared" si="19"/>
        <v>1.5844526419839212E-4</v>
      </c>
      <c r="E81">
        <f t="shared" si="20"/>
        <v>4.5729393605142832E-8</v>
      </c>
      <c r="F81">
        <f t="shared" si="26"/>
        <v>-8.7384250946342945E-9</v>
      </c>
      <c r="G81">
        <f t="shared" si="27"/>
        <v>4.6522472985088825E-8</v>
      </c>
      <c r="L81" s="7">
        <f t="shared" si="21"/>
        <v>4.9720262030229161E-2</v>
      </c>
      <c r="M81" s="7">
        <f t="shared" si="22"/>
        <v>4.9720262030229168E-2</v>
      </c>
      <c r="N81" s="20">
        <f t="shared" si="14"/>
        <v>4.9720262030229168E-2</v>
      </c>
      <c r="O81">
        <f t="shared" si="23"/>
        <v>5.8207660913467407E-10</v>
      </c>
      <c r="P81">
        <f t="shared" si="24"/>
        <v>-3.4924596548080444E-10</v>
      </c>
      <c r="Q81">
        <f t="shared" si="25"/>
        <v>-3.4924596548080444E-10</v>
      </c>
    </row>
    <row r="82" spans="2:17" x14ac:dyDescent="0.25">
      <c r="B82" s="21">
        <f t="shared" si="17"/>
        <v>1.5844526419839212E-4</v>
      </c>
      <c r="C82" s="18">
        <f t="shared" si="18"/>
        <v>1.5844526419839559E-4</v>
      </c>
      <c r="D82" s="18">
        <f t="shared" si="19"/>
        <v>1.5844526419839385E-4</v>
      </c>
      <c r="E82">
        <f t="shared" si="20"/>
        <v>4.6522472985088825E-8</v>
      </c>
      <c r="F82">
        <f t="shared" si="26"/>
        <v>-8.7384250946342945E-9</v>
      </c>
      <c r="G82">
        <f t="shared" si="27"/>
        <v>-9.1386027634143829E-9</v>
      </c>
      <c r="L82" s="7">
        <f t="shared" si="21"/>
        <v>4.9720262030229161E-2</v>
      </c>
      <c r="M82" s="7">
        <f t="shared" si="22"/>
        <v>4.9720262030229168E-2</v>
      </c>
      <c r="N82" s="20">
        <f t="shared" si="14"/>
        <v>4.9720262030229168E-2</v>
      </c>
      <c r="O82">
        <f t="shared" si="23"/>
        <v>5.8207660913467407E-10</v>
      </c>
      <c r="P82">
        <f t="shared" si="24"/>
        <v>-3.4924596548080444E-10</v>
      </c>
      <c r="Q82">
        <f t="shared" si="25"/>
        <v>-3.4924596548080444E-10</v>
      </c>
    </row>
    <row r="83" spans="2:17" x14ac:dyDescent="0.25">
      <c r="B83" s="21">
        <f t="shared" si="17"/>
        <v>1.5844526419839212E-4</v>
      </c>
      <c r="C83" s="18">
        <f t="shared" si="18"/>
        <v>1.5844526419839385E-4</v>
      </c>
      <c r="D83" s="18">
        <f t="shared" si="19"/>
        <v>1.5844526419839299E-4</v>
      </c>
      <c r="E83">
        <f t="shared" si="20"/>
        <v>4.6522472985088825E-8</v>
      </c>
      <c r="F83">
        <f t="shared" si="26"/>
        <v>-9.1386027634143829E-9</v>
      </c>
      <c r="G83">
        <f t="shared" si="27"/>
        <v>-9.3350536189973354E-9</v>
      </c>
      <c r="L83" s="7">
        <f t="shared" si="21"/>
        <v>4.9720262030229161E-2</v>
      </c>
      <c r="M83" s="7">
        <f t="shared" si="22"/>
        <v>4.9720262030229168E-2</v>
      </c>
      <c r="N83" s="20">
        <f t="shared" si="14"/>
        <v>4.9720262030229168E-2</v>
      </c>
      <c r="O83">
        <f t="shared" si="23"/>
        <v>5.8207660913467407E-10</v>
      </c>
      <c r="P83">
        <f t="shared" si="24"/>
        <v>-3.4924596548080444E-10</v>
      </c>
      <c r="Q83">
        <f t="shared" si="25"/>
        <v>-3.4924596548080444E-10</v>
      </c>
    </row>
    <row r="84" spans="2:17" x14ac:dyDescent="0.25">
      <c r="B84" s="21">
        <f t="shared" si="17"/>
        <v>1.5844526419839212E-4</v>
      </c>
      <c r="C84" s="18">
        <f t="shared" si="18"/>
        <v>1.5844526419839299E-4</v>
      </c>
      <c r="D84" s="18">
        <f t="shared" si="19"/>
        <v>1.5844526419839255E-4</v>
      </c>
      <c r="E84">
        <f t="shared" si="20"/>
        <v>4.6522472985088825E-8</v>
      </c>
      <c r="F84">
        <f t="shared" si="26"/>
        <v>-9.3350536189973354E-9</v>
      </c>
      <c r="G84">
        <f t="shared" si="27"/>
        <v>-9.4369170255959034E-9</v>
      </c>
      <c r="L84" s="7">
        <f t="shared" si="21"/>
        <v>4.9720262030229161E-2</v>
      </c>
      <c r="M84" s="7">
        <f t="shared" si="22"/>
        <v>4.9720262030229168E-2</v>
      </c>
      <c r="N84" s="20">
        <f t="shared" si="14"/>
        <v>4.9720262030229168E-2</v>
      </c>
      <c r="O84">
        <f t="shared" si="23"/>
        <v>5.8207660913467407E-10</v>
      </c>
      <c r="P84">
        <f t="shared" si="24"/>
        <v>-3.4924596548080444E-10</v>
      </c>
      <c r="Q84">
        <f t="shared" si="25"/>
        <v>-3.4924596548080444E-10</v>
      </c>
    </row>
    <row r="85" spans="2:17" x14ac:dyDescent="0.25">
      <c r="B85" s="21">
        <f t="shared" si="17"/>
        <v>1.5844526419839212E-4</v>
      </c>
      <c r="C85" s="18">
        <f t="shared" si="18"/>
        <v>1.5844526419839255E-4</v>
      </c>
      <c r="D85" s="18">
        <f t="shared" si="19"/>
        <v>1.5844526419839234E-4</v>
      </c>
      <c r="E85">
        <f t="shared" si="20"/>
        <v>4.6522472985088825E-8</v>
      </c>
      <c r="F85">
        <f t="shared" si="26"/>
        <v>-9.4369170255959034E-9</v>
      </c>
      <c r="G85">
        <f t="shared" si="27"/>
        <v>4.6573404688388109E-8</v>
      </c>
      <c r="L85" s="7">
        <f t="shared" si="21"/>
        <v>4.9720262030229161E-2</v>
      </c>
      <c r="M85" s="7">
        <f t="shared" si="22"/>
        <v>4.9720262030229168E-2</v>
      </c>
      <c r="N85" s="20">
        <f t="shared" si="14"/>
        <v>4.9720262030229168E-2</v>
      </c>
      <c r="O85">
        <f t="shared" si="23"/>
        <v>5.8207660913467407E-10</v>
      </c>
      <c r="P85">
        <f t="shared" si="24"/>
        <v>-3.4924596548080444E-10</v>
      </c>
      <c r="Q85">
        <f t="shared" si="25"/>
        <v>-3.4924596548080444E-10</v>
      </c>
    </row>
    <row r="86" spans="2:17" x14ac:dyDescent="0.25">
      <c r="B86" s="21">
        <f t="shared" si="17"/>
        <v>1.5844526419839234E-4</v>
      </c>
      <c r="C86" s="18">
        <f t="shared" si="18"/>
        <v>1.5844526419839255E-4</v>
      </c>
      <c r="D86" s="18">
        <f t="shared" si="19"/>
        <v>1.5844526419839244E-4</v>
      </c>
      <c r="E86">
        <f t="shared" si="20"/>
        <v>4.6573404688388109E-8</v>
      </c>
      <c r="F86">
        <f t="shared" si="26"/>
        <v>-9.4369170255959034E-9</v>
      </c>
      <c r="G86">
        <f t="shared" si="27"/>
        <v>4.6595232561230659E-8</v>
      </c>
      <c r="L86" s="7">
        <f t="shared" si="21"/>
        <v>4.9720262030229161E-2</v>
      </c>
      <c r="M86" s="7">
        <f t="shared" si="22"/>
        <v>4.9720262030229168E-2</v>
      </c>
      <c r="N86" s="20">
        <f t="shared" si="14"/>
        <v>4.9720262030229168E-2</v>
      </c>
      <c r="O86">
        <f t="shared" si="23"/>
        <v>5.8207660913467407E-10</v>
      </c>
      <c r="P86">
        <f t="shared" si="24"/>
        <v>-3.4924596548080444E-10</v>
      </c>
      <c r="Q86">
        <f t="shared" si="25"/>
        <v>-3.4924596548080444E-10</v>
      </c>
    </row>
    <row r="87" spans="2:17" x14ac:dyDescent="0.25">
      <c r="B87" s="21">
        <f t="shared" si="17"/>
        <v>1.5844526419839244E-4</v>
      </c>
      <c r="C87" s="18">
        <f t="shared" si="18"/>
        <v>1.5844526419839255E-4</v>
      </c>
      <c r="D87" s="18">
        <f t="shared" si="19"/>
        <v>1.584452641983925E-4</v>
      </c>
      <c r="E87">
        <f t="shared" si="20"/>
        <v>4.6595232561230659E-8</v>
      </c>
      <c r="F87">
        <f t="shared" si="26"/>
        <v>-9.4369170255959034E-9</v>
      </c>
      <c r="G87">
        <f t="shared" si="27"/>
        <v>4.6609784476459026E-8</v>
      </c>
      <c r="L87" s="7">
        <f t="shared" si="21"/>
        <v>4.9720262030229161E-2</v>
      </c>
      <c r="M87" s="7">
        <f t="shared" si="22"/>
        <v>4.9720262030229168E-2</v>
      </c>
      <c r="N87" s="20">
        <f t="shared" si="14"/>
        <v>4.9720262030229168E-2</v>
      </c>
      <c r="O87">
        <f t="shared" si="23"/>
        <v>5.8207660913467407E-10</v>
      </c>
      <c r="P87">
        <f t="shared" si="24"/>
        <v>-3.4924596548080444E-10</v>
      </c>
      <c r="Q87">
        <f t="shared" si="25"/>
        <v>-3.4924596548080444E-10</v>
      </c>
    </row>
    <row r="88" spans="2:17" x14ac:dyDescent="0.25">
      <c r="B88" s="21">
        <f t="shared" si="17"/>
        <v>1.584452641983925E-4</v>
      </c>
      <c r="C88" s="18">
        <f t="shared" si="18"/>
        <v>1.5844526419839255E-4</v>
      </c>
      <c r="D88" s="18">
        <f t="shared" si="19"/>
        <v>1.5844526419839253E-4</v>
      </c>
      <c r="E88">
        <f t="shared" si="20"/>
        <v>4.6609784476459026E-8</v>
      </c>
      <c r="F88">
        <f t="shared" si="26"/>
        <v>-9.4369170255959034E-9</v>
      </c>
      <c r="G88">
        <f t="shared" si="27"/>
        <v>-9.4369170255959034E-9</v>
      </c>
      <c r="L88" s="7">
        <f t="shared" si="21"/>
        <v>4.9720262030229161E-2</v>
      </c>
      <c r="M88" s="7">
        <f t="shared" si="22"/>
        <v>4.9720262030229168E-2</v>
      </c>
      <c r="N88" s="20">
        <f t="shared" si="14"/>
        <v>4.9720262030229168E-2</v>
      </c>
      <c r="O88">
        <f t="shared" si="23"/>
        <v>5.8207660913467407E-10</v>
      </c>
      <c r="P88">
        <f t="shared" si="24"/>
        <v>-3.4924596548080444E-10</v>
      </c>
      <c r="Q88">
        <f t="shared" si="25"/>
        <v>-3.4924596548080444E-10</v>
      </c>
    </row>
    <row r="89" spans="2:17" x14ac:dyDescent="0.25">
      <c r="B89" s="21">
        <f t="shared" si="17"/>
        <v>1.584452641983925E-4</v>
      </c>
      <c r="C89" s="18">
        <f t="shared" si="18"/>
        <v>1.5844526419839253E-4</v>
      </c>
      <c r="D89" s="18">
        <f t="shared" si="19"/>
        <v>1.584452641983925E-4</v>
      </c>
      <c r="E89">
        <f t="shared" si="20"/>
        <v>4.6609784476459026E-8</v>
      </c>
      <c r="F89">
        <f t="shared" si="26"/>
        <v>-9.4369170255959034E-9</v>
      </c>
      <c r="G89">
        <f t="shared" si="27"/>
        <v>4.6609784476459026E-8</v>
      </c>
      <c r="L89" s="7">
        <f t="shared" si="21"/>
        <v>4.9720262030229161E-2</v>
      </c>
      <c r="M89" s="7">
        <f t="shared" si="22"/>
        <v>4.9720262030229168E-2</v>
      </c>
      <c r="N89" s="20">
        <f t="shared" ref="N89:N152" si="28">(L89+M89)/2</f>
        <v>4.9720262030229168E-2</v>
      </c>
      <c r="O89">
        <f t="shared" si="23"/>
        <v>5.8207660913467407E-10</v>
      </c>
      <c r="P89">
        <f t="shared" si="24"/>
        <v>-3.4924596548080444E-10</v>
      </c>
      <c r="Q89">
        <f t="shared" si="25"/>
        <v>-3.4924596548080444E-10</v>
      </c>
    </row>
    <row r="90" spans="2:17" x14ac:dyDescent="0.25">
      <c r="B90" s="21">
        <f t="shared" ref="B90:B153" si="29">IF(E89*G89&lt;0,B89,D89)</f>
        <v>1.584452641983925E-4</v>
      </c>
      <c r="C90" s="18">
        <f t="shared" ref="C90:C153" si="30">IF(F89*G89&lt;0,C89,D89)</f>
        <v>1.5844526419839253E-4</v>
      </c>
      <c r="D90" s="18">
        <f t="shared" ref="D90:D153" si="31">(B90+C90)/2</f>
        <v>1.584452641983925E-4</v>
      </c>
      <c r="E90">
        <f t="shared" ref="E90:E153" si="32">IF($G$8 = "Future Value",$C$5-($D$5*(((1+B90)^($F$5*$G$5)-1)/B90)),$H$5-$D$5*((1-(1+B90)^(-1*$F$5*$G$5))/B90))</f>
        <v>4.6609784476459026E-8</v>
      </c>
      <c r="F90">
        <f t="shared" si="26"/>
        <v>-9.4369170255959034E-9</v>
      </c>
      <c r="G90">
        <f t="shared" si="27"/>
        <v>4.6609784476459026E-8</v>
      </c>
      <c r="L90" s="7">
        <f t="shared" ref="L90:L153" si="33">IF(O89*Q89&lt;0,L89,N89)</f>
        <v>4.9720262030229161E-2</v>
      </c>
      <c r="M90" s="7">
        <f t="shared" ref="M90:M153" si="34">IF(P89*Q89&lt;0,M89,N89)</f>
        <v>4.9720262030229168E-2</v>
      </c>
      <c r="N90" s="20">
        <f t="shared" si="28"/>
        <v>4.9720262030229168E-2</v>
      </c>
      <c r="O90">
        <f t="shared" ref="O90:O153" si="35">IF($Q$8 = "Future Value",$M$5-($N$5*(1+L90)*(((1+L90)^($P$5*$Q$5)-1)/L90)),$R$5-$N$5*(1+L90)*((1-(1+L90)^(-1*$P$5*$Q$5))/L90))</f>
        <v>5.8207660913467407E-10</v>
      </c>
      <c r="P90">
        <f t="shared" ref="P90:P153" si="36">IF($Q$8 = "Future Value",$M$5-($N$5*(1+M90)*(((1+M90)^($P$5*$Q$5)-1)/M90)),$R$5-$N$5*(1+M90)*((1-(1+M90)^(-1*$P$5*$Q$5))/M90))</f>
        <v>-3.4924596548080444E-10</v>
      </c>
      <c r="Q90">
        <f t="shared" ref="Q90:Q153" si="37">IF($Q$8 = "Future Value",$M$5-($N$5*(1+N90)*(((1+N90)^($P$5*$Q$5)-1)/N90)),$R$5-$N$5*(1+N90)*((1-(1+N90)^(-1*$P$5*$Q$5))/N90))</f>
        <v>-3.4924596548080444E-10</v>
      </c>
    </row>
    <row r="91" spans="2:17" x14ac:dyDescent="0.25">
      <c r="B91" s="21">
        <f t="shared" si="29"/>
        <v>1.584452641983925E-4</v>
      </c>
      <c r="C91" s="18">
        <f t="shared" si="30"/>
        <v>1.5844526419839253E-4</v>
      </c>
      <c r="D91" s="18">
        <f t="shared" si="31"/>
        <v>1.584452641983925E-4</v>
      </c>
      <c r="E91">
        <f t="shared" si="32"/>
        <v>4.6609784476459026E-8</v>
      </c>
      <c r="F91">
        <f t="shared" ref="F91:F154" si="38">IF($G$8 = "Future Value",$C$5-($D$5*(((1+C91)^($F$5*$G$5)-1)/C91)),$H$5-$D$5*((1-(1+C91)^(-1*$F$5*$G$5))/C91))</f>
        <v>-9.4369170255959034E-9</v>
      </c>
      <c r="G91">
        <f t="shared" ref="G91:G154" si="39">IF($G$8 = "Future Value",$C$5-($D$5*(((1+D91)^($F$5*$G$5)-1)/D91)),$H$5-$D$5*((1-(1+D91)^(-1*$F$5*$G$5))/D91))</f>
        <v>4.6609784476459026E-8</v>
      </c>
      <c r="L91" s="7">
        <f t="shared" si="33"/>
        <v>4.9720262030229161E-2</v>
      </c>
      <c r="M91" s="7">
        <f t="shared" si="34"/>
        <v>4.9720262030229168E-2</v>
      </c>
      <c r="N91" s="20">
        <f t="shared" si="28"/>
        <v>4.9720262030229168E-2</v>
      </c>
      <c r="O91">
        <f t="shared" si="35"/>
        <v>5.8207660913467407E-10</v>
      </c>
      <c r="P91">
        <f t="shared" si="36"/>
        <v>-3.4924596548080444E-10</v>
      </c>
      <c r="Q91">
        <f t="shared" si="37"/>
        <v>-3.4924596548080444E-10</v>
      </c>
    </row>
    <row r="92" spans="2:17" x14ac:dyDescent="0.25">
      <c r="B92" s="21">
        <f t="shared" si="29"/>
        <v>1.584452641983925E-4</v>
      </c>
      <c r="C92" s="18">
        <f t="shared" si="30"/>
        <v>1.5844526419839253E-4</v>
      </c>
      <c r="D92" s="18">
        <f t="shared" si="31"/>
        <v>1.584452641983925E-4</v>
      </c>
      <c r="E92">
        <f t="shared" si="32"/>
        <v>4.6609784476459026E-8</v>
      </c>
      <c r="F92">
        <f t="shared" si="38"/>
        <v>-9.4369170255959034E-9</v>
      </c>
      <c r="G92">
        <f t="shared" si="39"/>
        <v>4.6609784476459026E-8</v>
      </c>
      <c r="L92" s="7">
        <f t="shared" si="33"/>
        <v>4.9720262030229161E-2</v>
      </c>
      <c r="M92" s="7">
        <f t="shared" si="34"/>
        <v>4.9720262030229168E-2</v>
      </c>
      <c r="N92" s="20">
        <f t="shared" si="28"/>
        <v>4.9720262030229168E-2</v>
      </c>
      <c r="O92">
        <f t="shared" si="35"/>
        <v>5.8207660913467407E-10</v>
      </c>
      <c r="P92">
        <f t="shared" si="36"/>
        <v>-3.4924596548080444E-10</v>
      </c>
      <c r="Q92">
        <f t="shared" si="37"/>
        <v>-3.4924596548080444E-10</v>
      </c>
    </row>
    <row r="93" spans="2:17" x14ac:dyDescent="0.25">
      <c r="B93" s="21">
        <f t="shared" si="29"/>
        <v>1.584452641983925E-4</v>
      </c>
      <c r="C93" s="18">
        <f t="shared" si="30"/>
        <v>1.5844526419839253E-4</v>
      </c>
      <c r="D93" s="18">
        <f t="shared" si="31"/>
        <v>1.584452641983925E-4</v>
      </c>
      <c r="E93">
        <f t="shared" si="32"/>
        <v>4.6609784476459026E-8</v>
      </c>
      <c r="F93">
        <f t="shared" si="38"/>
        <v>-9.4369170255959034E-9</v>
      </c>
      <c r="G93">
        <f t="shared" si="39"/>
        <v>4.6609784476459026E-8</v>
      </c>
      <c r="L93" s="7">
        <f t="shared" si="33"/>
        <v>4.9720262030229161E-2</v>
      </c>
      <c r="M93" s="7">
        <f t="shared" si="34"/>
        <v>4.9720262030229168E-2</v>
      </c>
      <c r="N93" s="20">
        <f t="shared" si="28"/>
        <v>4.9720262030229168E-2</v>
      </c>
      <c r="O93">
        <f t="shared" si="35"/>
        <v>5.8207660913467407E-10</v>
      </c>
      <c r="P93">
        <f t="shared" si="36"/>
        <v>-3.4924596548080444E-10</v>
      </c>
      <c r="Q93">
        <f t="shared" si="37"/>
        <v>-3.4924596548080444E-10</v>
      </c>
    </row>
    <row r="94" spans="2:17" x14ac:dyDescent="0.25">
      <c r="B94" s="21">
        <f t="shared" si="29"/>
        <v>1.584452641983925E-4</v>
      </c>
      <c r="C94" s="18">
        <f t="shared" si="30"/>
        <v>1.5844526419839253E-4</v>
      </c>
      <c r="D94" s="18">
        <f t="shared" si="31"/>
        <v>1.584452641983925E-4</v>
      </c>
      <c r="E94">
        <f t="shared" si="32"/>
        <v>4.6609784476459026E-8</v>
      </c>
      <c r="F94">
        <f t="shared" si="38"/>
        <v>-9.4369170255959034E-9</v>
      </c>
      <c r="G94">
        <f t="shared" si="39"/>
        <v>4.6609784476459026E-8</v>
      </c>
      <c r="L94" s="7">
        <f t="shared" si="33"/>
        <v>4.9720262030229161E-2</v>
      </c>
      <c r="M94" s="7">
        <f t="shared" si="34"/>
        <v>4.9720262030229168E-2</v>
      </c>
      <c r="N94" s="20">
        <f t="shared" si="28"/>
        <v>4.9720262030229168E-2</v>
      </c>
      <c r="O94">
        <f t="shared" si="35"/>
        <v>5.8207660913467407E-10</v>
      </c>
      <c r="P94">
        <f t="shared" si="36"/>
        <v>-3.4924596548080444E-10</v>
      </c>
      <c r="Q94">
        <f t="shared" si="37"/>
        <v>-3.4924596548080444E-10</v>
      </c>
    </row>
    <row r="95" spans="2:17" x14ac:dyDescent="0.25">
      <c r="B95" s="21">
        <f t="shared" si="29"/>
        <v>1.584452641983925E-4</v>
      </c>
      <c r="C95" s="18">
        <f t="shared" si="30"/>
        <v>1.5844526419839253E-4</v>
      </c>
      <c r="D95" s="18">
        <f t="shared" si="31"/>
        <v>1.584452641983925E-4</v>
      </c>
      <c r="E95">
        <f t="shared" si="32"/>
        <v>4.6609784476459026E-8</v>
      </c>
      <c r="F95">
        <f t="shared" si="38"/>
        <v>-9.4369170255959034E-9</v>
      </c>
      <c r="G95">
        <f t="shared" si="39"/>
        <v>4.6609784476459026E-8</v>
      </c>
      <c r="L95" s="7">
        <f t="shared" si="33"/>
        <v>4.9720262030229161E-2</v>
      </c>
      <c r="M95" s="7">
        <f t="shared" si="34"/>
        <v>4.9720262030229168E-2</v>
      </c>
      <c r="N95" s="20">
        <f t="shared" si="28"/>
        <v>4.9720262030229168E-2</v>
      </c>
      <c r="O95">
        <f t="shared" si="35"/>
        <v>5.8207660913467407E-10</v>
      </c>
      <c r="P95">
        <f t="shared" si="36"/>
        <v>-3.4924596548080444E-10</v>
      </c>
      <c r="Q95">
        <f t="shared" si="37"/>
        <v>-3.4924596548080444E-10</v>
      </c>
    </row>
    <row r="96" spans="2:17" x14ac:dyDescent="0.25">
      <c r="B96" s="21">
        <f t="shared" si="29"/>
        <v>1.584452641983925E-4</v>
      </c>
      <c r="C96" s="18">
        <f t="shared" si="30"/>
        <v>1.5844526419839253E-4</v>
      </c>
      <c r="D96" s="18">
        <f t="shared" si="31"/>
        <v>1.584452641983925E-4</v>
      </c>
      <c r="E96">
        <f t="shared" si="32"/>
        <v>4.6609784476459026E-8</v>
      </c>
      <c r="F96">
        <f t="shared" si="38"/>
        <v>-9.4369170255959034E-9</v>
      </c>
      <c r="G96">
        <f t="shared" si="39"/>
        <v>4.6609784476459026E-8</v>
      </c>
      <c r="L96" s="7">
        <f t="shared" si="33"/>
        <v>4.9720262030229161E-2</v>
      </c>
      <c r="M96" s="7">
        <f t="shared" si="34"/>
        <v>4.9720262030229168E-2</v>
      </c>
      <c r="N96" s="20">
        <f t="shared" si="28"/>
        <v>4.9720262030229168E-2</v>
      </c>
      <c r="O96">
        <f t="shared" si="35"/>
        <v>5.8207660913467407E-10</v>
      </c>
      <c r="P96">
        <f t="shared" si="36"/>
        <v>-3.4924596548080444E-10</v>
      </c>
      <c r="Q96">
        <f t="shared" si="37"/>
        <v>-3.4924596548080444E-10</v>
      </c>
    </row>
    <row r="97" spans="2:17" x14ac:dyDescent="0.25">
      <c r="B97" s="21">
        <f t="shared" si="29"/>
        <v>1.584452641983925E-4</v>
      </c>
      <c r="C97" s="18">
        <f t="shared" si="30"/>
        <v>1.5844526419839253E-4</v>
      </c>
      <c r="D97" s="18">
        <f t="shared" si="31"/>
        <v>1.584452641983925E-4</v>
      </c>
      <c r="E97">
        <f t="shared" si="32"/>
        <v>4.6609784476459026E-8</v>
      </c>
      <c r="F97">
        <f t="shared" si="38"/>
        <v>-9.4369170255959034E-9</v>
      </c>
      <c r="G97">
        <f t="shared" si="39"/>
        <v>4.6609784476459026E-8</v>
      </c>
      <c r="L97" s="7">
        <f t="shared" si="33"/>
        <v>4.9720262030229161E-2</v>
      </c>
      <c r="M97" s="7">
        <f t="shared" si="34"/>
        <v>4.9720262030229168E-2</v>
      </c>
      <c r="N97" s="20">
        <f t="shared" si="28"/>
        <v>4.9720262030229168E-2</v>
      </c>
      <c r="O97">
        <f t="shared" si="35"/>
        <v>5.8207660913467407E-10</v>
      </c>
      <c r="P97">
        <f t="shared" si="36"/>
        <v>-3.4924596548080444E-10</v>
      </c>
      <c r="Q97">
        <f t="shared" si="37"/>
        <v>-3.4924596548080444E-10</v>
      </c>
    </row>
    <row r="98" spans="2:17" x14ac:dyDescent="0.25">
      <c r="B98" s="21">
        <f t="shared" si="29"/>
        <v>1.584452641983925E-4</v>
      </c>
      <c r="C98" s="18">
        <f t="shared" si="30"/>
        <v>1.5844526419839253E-4</v>
      </c>
      <c r="D98" s="18">
        <f t="shared" si="31"/>
        <v>1.584452641983925E-4</v>
      </c>
      <c r="E98">
        <f t="shared" si="32"/>
        <v>4.6609784476459026E-8</v>
      </c>
      <c r="F98">
        <f t="shared" si="38"/>
        <v>-9.4369170255959034E-9</v>
      </c>
      <c r="G98">
        <f t="shared" si="39"/>
        <v>4.6609784476459026E-8</v>
      </c>
      <c r="L98" s="7">
        <f t="shared" si="33"/>
        <v>4.9720262030229161E-2</v>
      </c>
      <c r="M98" s="7">
        <f t="shared" si="34"/>
        <v>4.9720262030229168E-2</v>
      </c>
      <c r="N98" s="20">
        <f t="shared" si="28"/>
        <v>4.9720262030229168E-2</v>
      </c>
      <c r="O98">
        <f t="shared" si="35"/>
        <v>5.8207660913467407E-10</v>
      </c>
      <c r="P98">
        <f t="shared" si="36"/>
        <v>-3.4924596548080444E-10</v>
      </c>
      <c r="Q98">
        <f t="shared" si="37"/>
        <v>-3.4924596548080444E-10</v>
      </c>
    </row>
    <row r="99" spans="2:17" x14ac:dyDescent="0.25">
      <c r="B99" s="21">
        <f t="shared" si="29"/>
        <v>1.584452641983925E-4</v>
      </c>
      <c r="C99" s="18">
        <f t="shared" si="30"/>
        <v>1.5844526419839253E-4</v>
      </c>
      <c r="D99" s="18">
        <f t="shared" si="31"/>
        <v>1.584452641983925E-4</v>
      </c>
      <c r="E99">
        <f t="shared" si="32"/>
        <v>4.6609784476459026E-8</v>
      </c>
      <c r="F99">
        <f t="shared" si="38"/>
        <v>-9.4369170255959034E-9</v>
      </c>
      <c r="G99">
        <f t="shared" si="39"/>
        <v>4.6609784476459026E-8</v>
      </c>
      <c r="L99" s="7">
        <f t="shared" si="33"/>
        <v>4.9720262030229161E-2</v>
      </c>
      <c r="M99" s="7">
        <f t="shared" si="34"/>
        <v>4.9720262030229168E-2</v>
      </c>
      <c r="N99" s="20">
        <f t="shared" si="28"/>
        <v>4.9720262030229168E-2</v>
      </c>
      <c r="O99">
        <f t="shared" si="35"/>
        <v>5.8207660913467407E-10</v>
      </c>
      <c r="P99">
        <f t="shared" si="36"/>
        <v>-3.4924596548080444E-10</v>
      </c>
      <c r="Q99">
        <f t="shared" si="37"/>
        <v>-3.4924596548080444E-10</v>
      </c>
    </row>
    <row r="100" spans="2:17" x14ac:dyDescent="0.25">
      <c r="B100" s="21">
        <f t="shared" si="29"/>
        <v>1.584452641983925E-4</v>
      </c>
      <c r="C100" s="18">
        <f t="shared" si="30"/>
        <v>1.5844526419839253E-4</v>
      </c>
      <c r="D100" s="18">
        <f t="shared" si="31"/>
        <v>1.584452641983925E-4</v>
      </c>
      <c r="E100">
        <f t="shared" si="32"/>
        <v>4.6609784476459026E-8</v>
      </c>
      <c r="F100">
        <f t="shared" si="38"/>
        <v>-9.4369170255959034E-9</v>
      </c>
      <c r="G100">
        <f t="shared" si="39"/>
        <v>4.6609784476459026E-8</v>
      </c>
      <c r="L100" s="7">
        <f t="shared" si="33"/>
        <v>4.9720262030229161E-2</v>
      </c>
      <c r="M100" s="7">
        <f t="shared" si="34"/>
        <v>4.9720262030229168E-2</v>
      </c>
      <c r="N100" s="20">
        <f t="shared" si="28"/>
        <v>4.9720262030229168E-2</v>
      </c>
      <c r="O100">
        <f t="shared" si="35"/>
        <v>5.8207660913467407E-10</v>
      </c>
      <c r="P100">
        <f t="shared" si="36"/>
        <v>-3.4924596548080444E-10</v>
      </c>
      <c r="Q100">
        <f t="shared" si="37"/>
        <v>-3.4924596548080444E-10</v>
      </c>
    </row>
    <row r="101" spans="2:17" x14ac:dyDescent="0.25">
      <c r="B101" s="21">
        <f t="shared" si="29"/>
        <v>1.584452641983925E-4</v>
      </c>
      <c r="C101" s="18">
        <f t="shared" si="30"/>
        <v>1.5844526419839253E-4</v>
      </c>
      <c r="D101" s="18">
        <f t="shared" si="31"/>
        <v>1.584452641983925E-4</v>
      </c>
      <c r="E101">
        <f t="shared" si="32"/>
        <v>4.6609784476459026E-8</v>
      </c>
      <c r="F101">
        <f t="shared" si="38"/>
        <v>-9.4369170255959034E-9</v>
      </c>
      <c r="G101">
        <f t="shared" si="39"/>
        <v>4.6609784476459026E-8</v>
      </c>
      <c r="L101" s="7">
        <f t="shared" si="33"/>
        <v>4.9720262030229161E-2</v>
      </c>
      <c r="M101" s="7">
        <f t="shared" si="34"/>
        <v>4.9720262030229168E-2</v>
      </c>
      <c r="N101" s="20">
        <f t="shared" si="28"/>
        <v>4.9720262030229168E-2</v>
      </c>
      <c r="O101">
        <f t="shared" si="35"/>
        <v>5.8207660913467407E-10</v>
      </c>
      <c r="P101">
        <f t="shared" si="36"/>
        <v>-3.4924596548080444E-10</v>
      </c>
      <c r="Q101">
        <f t="shared" si="37"/>
        <v>-3.4924596548080444E-10</v>
      </c>
    </row>
    <row r="102" spans="2:17" x14ac:dyDescent="0.25">
      <c r="B102" s="21">
        <f t="shared" si="29"/>
        <v>1.584452641983925E-4</v>
      </c>
      <c r="C102" s="18">
        <f t="shared" si="30"/>
        <v>1.5844526419839253E-4</v>
      </c>
      <c r="D102" s="18">
        <f t="shared" si="31"/>
        <v>1.584452641983925E-4</v>
      </c>
      <c r="E102">
        <f t="shared" si="32"/>
        <v>4.6609784476459026E-8</v>
      </c>
      <c r="F102">
        <f t="shared" si="38"/>
        <v>-9.4369170255959034E-9</v>
      </c>
      <c r="G102">
        <f t="shared" si="39"/>
        <v>4.6609784476459026E-8</v>
      </c>
      <c r="L102" s="7">
        <f t="shared" si="33"/>
        <v>4.9720262030229161E-2</v>
      </c>
      <c r="M102" s="7">
        <f t="shared" si="34"/>
        <v>4.9720262030229168E-2</v>
      </c>
      <c r="N102" s="20">
        <f t="shared" si="28"/>
        <v>4.9720262030229168E-2</v>
      </c>
      <c r="O102">
        <f t="shared" si="35"/>
        <v>5.8207660913467407E-10</v>
      </c>
      <c r="P102">
        <f t="shared" si="36"/>
        <v>-3.4924596548080444E-10</v>
      </c>
      <c r="Q102">
        <f t="shared" si="37"/>
        <v>-3.4924596548080444E-10</v>
      </c>
    </row>
    <row r="103" spans="2:17" x14ac:dyDescent="0.25">
      <c r="B103" s="21">
        <f t="shared" si="29"/>
        <v>1.584452641983925E-4</v>
      </c>
      <c r="C103" s="18">
        <f t="shared" si="30"/>
        <v>1.5844526419839253E-4</v>
      </c>
      <c r="D103" s="18">
        <f t="shared" si="31"/>
        <v>1.584452641983925E-4</v>
      </c>
      <c r="E103">
        <f t="shared" si="32"/>
        <v>4.6609784476459026E-8</v>
      </c>
      <c r="F103">
        <f t="shared" si="38"/>
        <v>-9.4369170255959034E-9</v>
      </c>
      <c r="G103">
        <f t="shared" si="39"/>
        <v>4.6609784476459026E-8</v>
      </c>
      <c r="L103" s="7">
        <f t="shared" si="33"/>
        <v>4.9720262030229161E-2</v>
      </c>
      <c r="M103" s="7">
        <f t="shared" si="34"/>
        <v>4.9720262030229168E-2</v>
      </c>
      <c r="N103" s="20">
        <f t="shared" si="28"/>
        <v>4.9720262030229168E-2</v>
      </c>
      <c r="O103">
        <f t="shared" si="35"/>
        <v>5.8207660913467407E-10</v>
      </c>
      <c r="P103">
        <f t="shared" si="36"/>
        <v>-3.4924596548080444E-10</v>
      </c>
      <c r="Q103">
        <f t="shared" si="37"/>
        <v>-3.4924596548080444E-10</v>
      </c>
    </row>
    <row r="104" spans="2:17" x14ac:dyDescent="0.25">
      <c r="B104" s="21">
        <f t="shared" si="29"/>
        <v>1.584452641983925E-4</v>
      </c>
      <c r="C104" s="18">
        <f t="shared" si="30"/>
        <v>1.5844526419839253E-4</v>
      </c>
      <c r="D104" s="18">
        <f t="shared" si="31"/>
        <v>1.584452641983925E-4</v>
      </c>
      <c r="E104">
        <f t="shared" si="32"/>
        <v>4.6609784476459026E-8</v>
      </c>
      <c r="F104">
        <f t="shared" si="38"/>
        <v>-9.4369170255959034E-9</v>
      </c>
      <c r="G104">
        <f t="shared" si="39"/>
        <v>4.6609784476459026E-8</v>
      </c>
      <c r="L104" s="7">
        <f t="shared" si="33"/>
        <v>4.9720262030229161E-2</v>
      </c>
      <c r="M104" s="7">
        <f t="shared" si="34"/>
        <v>4.9720262030229168E-2</v>
      </c>
      <c r="N104" s="20">
        <f t="shared" si="28"/>
        <v>4.9720262030229168E-2</v>
      </c>
      <c r="O104">
        <f t="shared" si="35"/>
        <v>5.8207660913467407E-10</v>
      </c>
      <c r="P104">
        <f t="shared" si="36"/>
        <v>-3.4924596548080444E-10</v>
      </c>
      <c r="Q104">
        <f t="shared" si="37"/>
        <v>-3.4924596548080444E-10</v>
      </c>
    </row>
    <row r="105" spans="2:17" x14ac:dyDescent="0.25">
      <c r="B105" s="21">
        <f t="shared" si="29"/>
        <v>1.584452641983925E-4</v>
      </c>
      <c r="C105" s="18">
        <f t="shared" si="30"/>
        <v>1.5844526419839253E-4</v>
      </c>
      <c r="D105" s="18">
        <f t="shared" si="31"/>
        <v>1.584452641983925E-4</v>
      </c>
      <c r="E105">
        <f t="shared" si="32"/>
        <v>4.6609784476459026E-8</v>
      </c>
      <c r="F105">
        <f t="shared" si="38"/>
        <v>-9.4369170255959034E-9</v>
      </c>
      <c r="G105">
        <f t="shared" si="39"/>
        <v>4.6609784476459026E-8</v>
      </c>
      <c r="L105" s="7">
        <f t="shared" si="33"/>
        <v>4.9720262030229161E-2</v>
      </c>
      <c r="M105" s="7">
        <f t="shared" si="34"/>
        <v>4.9720262030229168E-2</v>
      </c>
      <c r="N105" s="20">
        <f t="shared" si="28"/>
        <v>4.9720262030229168E-2</v>
      </c>
      <c r="O105">
        <f t="shared" si="35"/>
        <v>5.8207660913467407E-10</v>
      </c>
      <c r="P105">
        <f t="shared" si="36"/>
        <v>-3.4924596548080444E-10</v>
      </c>
      <c r="Q105">
        <f t="shared" si="37"/>
        <v>-3.4924596548080444E-10</v>
      </c>
    </row>
    <row r="106" spans="2:17" x14ac:dyDescent="0.25">
      <c r="B106" s="21">
        <f t="shared" si="29"/>
        <v>1.584452641983925E-4</v>
      </c>
      <c r="C106" s="18">
        <f t="shared" si="30"/>
        <v>1.5844526419839253E-4</v>
      </c>
      <c r="D106" s="18">
        <f t="shared" si="31"/>
        <v>1.584452641983925E-4</v>
      </c>
      <c r="E106">
        <f t="shared" si="32"/>
        <v>4.6609784476459026E-8</v>
      </c>
      <c r="F106">
        <f t="shared" si="38"/>
        <v>-9.4369170255959034E-9</v>
      </c>
      <c r="G106">
        <f t="shared" si="39"/>
        <v>4.6609784476459026E-8</v>
      </c>
      <c r="L106" s="7">
        <f t="shared" si="33"/>
        <v>4.9720262030229161E-2</v>
      </c>
      <c r="M106" s="7">
        <f t="shared" si="34"/>
        <v>4.9720262030229168E-2</v>
      </c>
      <c r="N106" s="20">
        <f t="shared" si="28"/>
        <v>4.9720262030229168E-2</v>
      </c>
      <c r="O106">
        <f t="shared" si="35"/>
        <v>5.8207660913467407E-10</v>
      </c>
      <c r="P106">
        <f t="shared" si="36"/>
        <v>-3.4924596548080444E-10</v>
      </c>
      <c r="Q106">
        <f t="shared" si="37"/>
        <v>-3.4924596548080444E-10</v>
      </c>
    </row>
    <row r="107" spans="2:17" x14ac:dyDescent="0.25">
      <c r="B107" s="21">
        <f t="shared" si="29"/>
        <v>1.584452641983925E-4</v>
      </c>
      <c r="C107" s="18">
        <f t="shared" si="30"/>
        <v>1.5844526419839253E-4</v>
      </c>
      <c r="D107" s="18">
        <f t="shared" si="31"/>
        <v>1.584452641983925E-4</v>
      </c>
      <c r="E107">
        <f t="shared" si="32"/>
        <v>4.6609784476459026E-8</v>
      </c>
      <c r="F107">
        <f t="shared" si="38"/>
        <v>-9.4369170255959034E-9</v>
      </c>
      <c r="G107">
        <f t="shared" si="39"/>
        <v>4.6609784476459026E-8</v>
      </c>
      <c r="L107" s="7">
        <f t="shared" si="33"/>
        <v>4.9720262030229161E-2</v>
      </c>
      <c r="M107" s="7">
        <f t="shared" si="34"/>
        <v>4.9720262030229168E-2</v>
      </c>
      <c r="N107" s="20">
        <f t="shared" si="28"/>
        <v>4.9720262030229168E-2</v>
      </c>
      <c r="O107">
        <f t="shared" si="35"/>
        <v>5.8207660913467407E-10</v>
      </c>
      <c r="P107">
        <f t="shared" si="36"/>
        <v>-3.4924596548080444E-10</v>
      </c>
      <c r="Q107">
        <f t="shared" si="37"/>
        <v>-3.4924596548080444E-10</v>
      </c>
    </row>
    <row r="108" spans="2:17" x14ac:dyDescent="0.25">
      <c r="B108" s="21">
        <f t="shared" si="29"/>
        <v>1.584452641983925E-4</v>
      </c>
      <c r="C108" s="18">
        <f t="shared" si="30"/>
        <v>1.5844526419839253E-4</v>
      </c>
      <c r="D108" s="18">
        <f t="shared" si="31"/>
        <v>1.584452641983925E-4</v>
      </c>
      <c r="E108">
        <f t="shared" si="32"/>
        <v>4.6609784476459026E-8</v>
      </c>
      <c r="F108">
        <f t="shared" si="38"/>
        <v>-9.4369170255959034E-9</v>
      </c>
      <c r="G108">
        <f t="shared" si="39"/>
        <v>4.6609784476459026E-8</v>
      </c>
      <c r="L108" s="7">
        <f t="shared" si="33"/>
        <v>4.9720262030229161E-2</v>
      </c>
      <c r="M108" s="7">
        <f t="shared" si="34"/>
        <v>4.9720262030229168E-2</v>
      </c>
      <c r="N108" s="20">
        <f t="shared" si="28"/>
        <v>4.9720262030229168E-2</v>
      </c>
      <c r="O108">
        <f t="shared" si="35"/>
        <v>5.8207660913467407E-10</v>
      </c>
      <c r="P108">
        <f t="shared" si="36"/>
        <v>-3.4924596548080444E-10</v>
      </c>
      <c r="Q108">
        <f t="shared" si="37"/>
        <v>-3.4924596548080444E-10</v>
      </c>
    </row>
    <row r="109" spans="2:17" x14ac:dyDescent="0.25">
      <c r="B109" s="21">
        <f t="shared" si="29"/>
        <v>1.584452641983925E-4</v>
      </c>
      <c r="C109" s="18">
        <f t="shared" si="30"/>
        <v>1.5844526419839253E-4</v>
      </c>
      <c r="D109" s="18">
        <f t="shared" si="31"/>
        <v>1.584452641983925E-4</v>
      </c>
      <c r="E109">
        <f t="shared" si="32"/>
        <v>4.6609784476459026E-8</v>
      </c>
      <c r="F109">
        <f t="shared" si="38"/>
        <v>-9.4369170255959034E-9</v>
      </c>
      <c r="G109">
        <f t="shared" si="39"/>
        <v>4.6609784476459026E-8</v>
      </c>
      <c r="L109" s="7">
        <f t="shared" si="33"/>
        <v>4.9720262030229161E-2</v>
      </c>
      <c r="M109" s="7">
        <f t="shared" si="34"/>
        <v>4.9720262030229168E-2</v>
      </c>
      <c r="N109" s="20">
        <f t="shared" si="28"/>
        <v>4.9720262030229168E-2</v>
      </c>
      <c r="O109">
        <f t="shared" si="35"/>
        <v>5.8207660913467407E-10</v>
      </c>
      <c r="P109">
        <f t="shared" si="36"/>
        <v>-3.4924596548080444E-10</v>
      </c>
      <c r="Q109">
        <f t="shared" si="37"/>
        <v>-3.4924596548080444E-10</v>
      </c>
    </row>
    <row r="110" spans="2:17" x14ac:dyDescent="0.25">
      <c r="B110" s="21">
        <f t="shared" si="29"/>
        <v>1.584452641983925E-4</v>
      </c>
      <c r="C110" s="18">
        <f t="shared" si="30"/>
        <v>1.5844526419839253E-4</v>
      </c>
      <c r="D110" s="18">
        <f t="shared" si="31"/>
        <v>1.584452641983925E-4</v>
      </c>
      <c r="E110">
        <f t="shared" si="32"/>
        <v>4.6609784476459026E-8</v>
      </c>
      <c r="F110">
        <f t="shared" si="38"/>
        <v>-9.4369170255959034E-9</v>
      </c>
      <c r="G110">
        <f t="shared" si="39"/>
        <v>4.6609784476459026E-8</v>
      </c>
      <c r="L110" s="7">
        <f t="shared" si="33"/>
        <v>4.9720262030229161E-2</v>
      </c>
      <c r="M110" s="7">
        <f t="shared" si="34"/>
        <v>4.9720262030229168E-2</v>
      </c>
      <c r="N110" s="20">
        <f t="shared" si="28"/>
        <v>4.9720262030229168E-2</v>
      </c>
      <c r="O110">
        <f t="shared" si="35"/>
        <v>5.8207660913467407E-10</v>
      </c>
      <c r="P110">
        <f t="shared" si="36"/>
        <v>-3.4924596548080444E-10</v>
      </c>
      <c r="Q110">
        <f t="shared" si="37"/>
        <v>-3.4924596548080444E-10</v>
      </c>
    </row>
    <row r="111" spans="2:17" x14ac:dyDescent="0.25">
      <c r="B111" s="21">
        <f t="shared" si="29"/>
        <v>1.584452641983925E-4</v>
      </c>
      <c r="C111" s="18">
        <f t="shared" si="30"/>
        <v>1.5844526419839253E-4</v>
      </c>
      <c r="D111" s="18">
        <f t="shared" si="31"/>
        <v>1.584452641983925E-4</v>
      </c>
      <c r="E111">
        <f t="shared" si="32"/>
        <v>4.6609784476459026E-8</v>
      </c>
      <c r="F111">
        <f t="shared" si="38"/>
        <v>-9.4369170255959034E-9</v>
      </c>
      <c r="G111">
        <f t="shared" si="39"/>
        <v>4.6609784476459026E-8</v>
      </c>
      <c r="L111" s="7">
        <f t="shared" si="33"/>
        <v>4.9720262030229161E-2</v>
      </c>
      <c r="M111" s="7">
        <f t="shared" si="34"/>
        <v>4.9720262030229168E-2</v>
      </c>
      <c r="N111" s="20">
        <f t="shared" si="28"/>
        <v>4.9720262030229168E-2</v>
      </c>
      <c r="O111">
        <f t="shared" si="35"/>
        <v>5.8207660913467407E-10</v>
      </c>
      <c r="P111">
        <f t="shared" si="36"/>
        <v>-3.4924596548080444E-10</v>
      </c>
      <c r="Q111">
        <f t="shared" si="37"/>
        <v>-3.4924596548080444E-10</v>
      </c>
    </row>
    <row r="112" spans="2:17" x14ac:dyDescent="0.25">
      <c r="B112" s="21">
        <f t="shared" si="29"/>
        <v>1.584452641983925E-4</v>
      </c>
      <c r="C112" s="18">
        <f t="shared" si="30"/>
        <v>1.5844526419839253E-4</v>
      </c>
      <c r="D112" s="18">
        <f t="shared" si="31"/>
        <v>1.584452641983925E-4</v>
      </c>
      <c r="E112">
        <f t="shared" si="32"/>
        <v>4.6609784476459026E-8</v>
      </c>
      <c r="F112">
        <f t="shared" si="38"/>
        <v>-9.4369170255959034E-9</v>
      </c>
      <c r="G112">
        <f t="shared" si="39"/>
        <v>4.6609784476459026E-8</v>
      </c>
      <c r="L112" s="7">
        <f t="shared" si="33"/>
        <v>4.9720262030229161E-2</v>
      </c>
      <c r="M112" s="7">
        <f t="shared" si="34"/>
        <v>4.9720262030229168E-2</v>
      </c>
      <c r="N112" s="20">
        <f t="shared" si="28"/>
        <v>4.9720262030229168E-2</v>
      </c>
      <c r="O112">
        <f t="shared" si="35"/>
        <v>5.8207660913467407E-10</v>
      </c>
      <c r="P112">
        <f t="shared" si="36"/>
        <v>-3.4924596548080444E-10</v>
      </c>
      <c r="Q112">
        <f t="shared" si="37"/>
        <v>-3.4924596548080444E-10</v>
      </c>
    </row>
    <row r="113" spans="2:17" x14ac:dyDescent="0.25">
      <c r="B113" s="21">
        <f t="shared" si="29"/>
        <v>1.584452641983925E-4</v>
      </c>
      <c r="C113" s="18">
        <f t="shared" si="30"/>
        <v>1.5844526419839253E-4</v>
      </c>
      <c r="D113" s="18">
        <f t="shared" si="31"/>
        <v>1.584452641983925E-4</v>
      </c>
      <c r="E113">
        <f t="shared" si="32"/>
        <v>4.6609784476459026E-8</v>
      </c>
      <c r="F113">
        <f t="shared" si="38"/>
        <v>-9.4369170255959034E-9</v>
      </c>
      <c r="G113">
        <f t="shared" si="39"/>
        <v>4.6609784476459026E-8</v>
      </c>
      <c r="L113" s="7">
        <f t="shared" si="33"/>
        <v>4.9720262030229161E-2</v>
      </c>
      <c r="M113" s="7">
        <f t="shared" si="34"/>
        <v>4.9720262030229168E-2</v>
      </c>
      <c r="N113" s="20">
        <f t="shared" si="28"/>
        <v>4.9720262030229168E-2</v>
      </c>
      <c r="O113">
        <f t="shared" si="35"/>
        <v>5.8207660913467407E-10</v>
      </c>
      <c r="P113">
        <f t="shared" si="36"/>
        <v>-3.4924596548080444E-10</v>
      </c>
      <c r="Q113">
        <f t="shared" si="37"/>
        <v>-3.4924596548080444E-10</v>
      </c>
    </row>
    <row r="114" spans="2:17" x14ac:dyDescent="0.25">
      <c r="B114" s="21">
        <f t="shared" si="29"/>
        <v>1.584452641983925E-4</v>
      </c>
      <c r="C114" s="18">
        <f t="shared" si="30"/>
        <v>1.5844526419839253E-4</v>
      </c>
      <c r="D114" s="18">
        <f t="shared" si="31"/>
        <v>1.584452641983925E-4</v>
      </c>
      <c r="E114">
        <f t="shared" si="32"/>
        <v>4.6609784476459026E-8</v>
      </c>
      <c r="F114">
        <f t="shared" si="38"/>
        <v>-9.4369170255959034E-9</v>
      </c>
      <c r="G114">
        <f t="shared" si="39"/>
        <v>4.6609784476459026E-8</v>
      </c>
      <c r="L114" s="7">
        <f t="shared" si="33"/>
        <v>4.9720262030229161E-2</v>
      </c>
      <c r="M114" s="7">
        <f t="shared" si="34"/>
        <v>4.9720262030229168E-2</v>
      </c>
      <c r="N114" s="20">
        <f t="shared" si="28"/>
        <v>4.9720262030229168E-2</v>
      </c>
      <c r="O114">
        <f t="shared" si="35"/>
        <v>5.8207660913467407E-10</v>
      </c>
      <c r="P114">
        <f t="shared" si="36"/>
        <v>-3.4924596548080444E-10</v>
      </c>
      <c r="Q114">
        <f t="shared" si="37"/>
        <v>-3.4924596548080444E-10</v>
      </c>
    </row>
    <row r="115" spans="2:17" x14ac:dyDescent="0.25">
      <c r="B115" s="21">
        <f t="shared" si="29"/>
        <v>1.584452641983925E-4</v>
      </c>
      <c r="C115" s="18">
        <f t="shared" si="30"/>
        <v>1.5844526419839253E-4</v>
      </c>
      <c r="D115" s="18">
        <f t="shared" si="31"/>
        <v>1.584452641983925E-4</v>
      </c>
      <c r="E115">
        <f t="shared" si="32"/>
        <v>4.6609784476459026E-8</v>
      </c>
      <c r="F115">
        <f t="shared" si="38"/>
        <v>-9.4369170255959034E-9</v>
      </c>
      <c r="G115">
        <f t="shared" si="39"/>
        <v>4.6609784476459026E-8</v>
      </c>
      <c r="L115" s="7">
        <f t="shared" si="33"/>
        <v>4.9720262030229161E-2</v>
      </c>
      <c r="M115" s="7">
        <f t="shared" si="34"/>
        <v>4.9720262030229168E-2</v>
      </c>
      <c r="N115" s="20">
        <f t="shared" si="28"/>
        <v>4.9720262030229168E-2</v>
      </c>
      <c r="O115">
        <f t="shared" si="35"/>
        <v>5.8207660913467407E-10</v>
      </c>
      <c r="P115">
        <f t="shared" si="36"/>
        <v>-3.4924596548080444E-10</v>
      </c>
      <c r="Q115">
        <f t="shared" si="37"/>
        <v>-3.4924596548080444E-10</v>
      </c>
    </row>
    <row r="116" spans="2:17" x14ac:dyDescent="0.25">
      <c r="B116" s="21">
        <f t="shared" si="29"/>
        <v>1.584452641983925E-4</v>
      </c>
      <c r="C116" s="18">
        <f t="shared" si="30"/>
        <v>1.5844526419839253E-4</v>
      </c>
      <c r="D116" s="18">
        <f t="shared" si="31"/>
        <v>1.584452641983925E-4</v>
      </c>
      <c r="E116">
        <f t="shared" si="32"/>
        <v>4.6609784476459026E-8</v>
      </c>
      <c r="F116">
        <f t="shared" si="38"/>
        <v>-9.4369170255959034E-9</v>
      </c>
      <c r="G116">
        <f t="shared" si="39"/>
        <v>4.6609784476459026E-8</v>
      </c>
      <c r="L116" s="7">
        <f t="shared" si="33"/>
        <v>4.9720262030229161E-2</v>
      </c>
      <c r="M116" s="7">
        <f t="shared" si="34"/>
        <v>4.9720262030229168E-2</v>
      </c>
      <c r="N116" s="20">
        <f t="shared" si="28"/>
        <v>4.9720262030229168E-2</v>
      </c>
      <c r="O116">
        <f t="shared" si="35"/>
        <v>5.8207660913467407E-10</v>
      </c>
      <c r="P116">
        <f t="shared" si="36"/>
        <v>-3.4924596548080444E-10</v>
      </c>
      <c r="Q116">
        <f t="shared" si="37"/>
        <v>-3.4924596548080444E-10</v>
      </c>
    </row>
    <row r="117" spans="2:17" x14ac:dyDescent="0.25">
      <c r="B117" s="21">
        <f t="shared" si="29"/>
        <v>1.584452641983925E-4</v>
      </c>
      <c r="C117" s="18">
        <f t="shared" si="30"/>
        <v>1.5844526419839253E-4</v>
      </c>
      <c r="D117" s="18">
        <f t="shared" si="31"/>
        <v>1.584452641983925E-4</v>
      </c>
      <c r="E117">
        <f t="shared" si="32"/>
        <v>4.6609784476459026E-8</v>
      </c>
      <c r="F117">
        <f t="shared" si="38"/>
        <v>-9.4369170255959034E-9</v>
      </c>
      <c r="G117">
        <f t="shared" si="39"/>
        <v>4.6609784476459026E-8</v>
      </c>
      <c r="L117" s="7">
        <f t="shared" si="33"/>
        <v>4.9720262030229161E-2</v>
      </c>
      <c r="M117" s="7">
        <f t="shared" si="34"/>
        <v>4.9720262030229168E-2</v>
      </c>
      <c r="N117" s="20">
        <f t="shared" si="28"/>
        <v>4.9720262030229168E-2</v>
      </c>
      <c r="O117">
        <f t="shared" si="35"/>
        <v>5.8207660913467407E-10</v>
      </c>
      <c r="P117">
        <f t="shared" si="36"/>
        <v>-3.4924596548080444E-10</v>
      </c>
      <c r="Q117">
        <f t="shared" si="37"/>
        <v>-3.4924596548080444E-10</v>
      </c>
    </row>
    <row r="118" spans="2:17" x14ac:dyDescent="0.25">
      <c r="B118" s="21">
        <f t="shared" si="29"/>
        <v>1.584452641983925E-4</v>
      </c>
      <c r="C118" s="18">
        <f t="shared" si="30"/>
        <v>1.5844526419839253E-4</v>
      </c>
      <c r="D118" s="18">
        <f t="shared" si="31"/>
        <v>1.584452641983925E-4</v>
      </c>
      <c r="E118">
        <f t="shared" si="32"/>
        <v>4.6609784476459026E-8</v>
      </c>
      <c r="F118">
        <f t="shared" si="38"/>
        <v>-9.4369170255959034E-9</v>
      </c>
      <c r="G118">
        <f t="shared" si="39"/>
        <v>4.6609784476459026E-8</v>
      </c>
      <c r="L118" s="7">
        <f t="shared" si="33"/>
        <v>4.9720262030229161E-2</v>
      </c>
      <c r="M118" s="7">
        <f t="shared" si="34"/>
        <v>4.9720262030229168E-2</v>
      </c>
      <c r="N118" s="20">
        <f t="shared" si="28"/>
        <v>4.9720262030229168E-2</v>
      </c>
      <c r="O118">
        <f t="shared" si="35"/>
        <v>5.8207660913467407E-10</v>
      </c>
      <c r="P118">
        <f t="shared" si="36"/>
        <v>-3.4924596548080444E-10</v>
      </c>
      <c r="Q118">
        <f t="shared" si="37"/>
        <v>-3.4924596548080444E-10</v>
      </c>
    </row>
    <row r="119" spans="2:17" x14ac:dyDescent="0.25">
      <c r="B119" s="21">
        <f t="shared" si="29"/>
        <v>1.584452641983925E-4</v>
      </c>
      <c r="C119" s="18">
        <f t="shared" si="30"/>
        <v>1.5844526419839253E-4</v>
      </c>
      <c r="D119" s="18">
        <f t="shared" si="31"/>
        <v>1.584452641983925E-4</v>
      </c>
      <c r="E119">
        <f t="shared" si="32"/>
        <v>4.6609784476459026E-8</v>
      </c>
      <c r="F119">
        <f t="shared" si="38"/>
        <v>-9.4369170255959034E-9</v>
      </c>
      <c r="G119">
        <f t="shared" si="39"/>
        <v>4.6609784476459026E-8</v>
      </c>
      <c r="L119" s="7">
        <f t="shared" si="33"/>
        <v>4.9720262030229161E-2</v>
      </c>
      <c r="M119" s="7">
        <f t="shared" si="34"/>
        <v>4.9720262030229168E-2</v>
      </c>
      <c r="N119" s="20">
        <f t="shared" si="28"/>
        <v>4.9720262030229168E-2</v>
      </c>
      <c r="O119">
        <f t="shared" si="35"/>
        <v>5.8207660913467407E-10</v>
      </c>
      <c r="P119">
        <f t="shared" si="36"/>
        <v>-3.4924596548080444E-10</v>
      </c>
      <c r="Q119">
        <f t="shared" si="37"/>
        <v>-3.4924596548080444E-10</v>
      </c>
    </row>
    <row r="120" spans="2:17" x14ac:dyDescent="0.25">
      <c r="B120" s="21">
        <f t="shared" si="29"/>
        <v>1.584452641983925E-4</v>
      </c>
      <c r="C120" s="18">
        <f t="shared" si="30"/>
        <v>1.5844526419839253E-4</v>
      </c>
      <c r="D120" s="18">
        <f t="shared" si="31"/>
        <v>1.584452641983925E-4</v>
      </c>
      <c r="E120">
        <f t="shared" si="32"/>
        <v>4.6609784476459026E-8</v>
      </c>
      <c r="F120">
        <f t="shared" si="38"/>
        <v>-9.4369170255959034E-9</v>
      </c>
      <c r="G120">
        <f t="shared" si="39"/>
        <v>4.6609784476459026E-8</v>
      </c>
      <c r="L120" s="7">
        <f t="shared" si="33"/>
        <v>4.9720262030229161E-2</v>
      </c>
      <c r="M120" s="7">
        <f t="shared" si="34"/>
        <v>4.9720262030229168E-2</v>
      </c>
      <c r="N120" s="20">
        <f t="shared" si="28"/>
        <v>4.9720262030229168E-2</v>
      </c>
      <c r="O120">
        <f t="shared" si="35"/>
        <v>5.8207660913467407E-10</v>
      </c>
      <c r="P120">
        <f t="shared" si="36"/>
        <v>-3.4924596548080444E-10</v>
      </c>
      <c r="Q120">
        <f t="shared" si="37"/>
        <v>-3.4924596548080444E-10</v>
      </c>
    </row>
    <row r="121" spans="2:17" x14ac:dyDescent="0.25">
      <c r="B121" s="21">
        <f t="shared" si="29"/>
        <v>1.584452641983925E-4</v>
      </c>
      <c r="C121" s="18">
        <f t="shared" si="30"/>
        <v>1.5844526419839253E-4</v>
      </c>
      <c r="D121" s="18">
        <f t="shared" si="31"/>
        <v>1.584452641983925E-4</v>
      </c>
      <c r="E121">
        <f t="shared" si="32"/>
        <v>4.6609784476459026E-8</v>
      </c>
      <c r="F121">
        <f t="shared" si="38"/>
        <v>-9.4369170255959034E-9</v>
      </c>
      <c r="G121">
        <f t="shared" si="39"/>
        <v>4.6609784476459026E-8</v>
      </c>
      <c r="L121" s="7">
        <f t="shared" si="33"/>
        <v>4.9720262030229161E-2</v>
      </c>
      <c r="M121" s="7">
        <f t="shared" si="34"/>
        <v>4.9720262030229168E-2</v>
      </c>
      <c r="N121" s="20">
        <f t="shared" si="28"/>
        <v>4.9720262030229168E-2</v>
      </c>
      <c r="O121">
        <f t="shared" si="35"/>
        <v>5.8207660913467407E-10</v>
      </c>
      <c r="P121">
        <f t="shared" si="36"/>
        <v>-3.4924596548080444E-10</v>
      </c>
      <c r="Q121">
        <f t="shared" si="37"/>
        <v>-3.4924596548080444E-10</v>
      </c>
    </row>
    <row r="122" spans="2:17" x14ac:dyDescent="0.25">
      <c r="B122" s="21">
        <f t="shared" si="29"/>
        <v>1.584452641983925E-4</v>
      </c>
      <c r="C122" s="18">
        <f t="shared" si="30"/>
        <v>1.5844526419839253E-4</v>
      </c>
      <c r="D122" s="18">
        <f t="shared" si="31"/>
        <v>1.584452641983925E-4</v>
      </c>
      <c r="E122">
        <f t="shared" si="32"/>
        <v>4.6609784476459026E-8</v>
      </c>
      <c r="F122">
        <f t="shared" si="38"/>
        <v>-9.4369170255959034E-9</v>
      </c>
      <c r="G122">
        <f t="shared" si="39"/>
        <v>4.6609784476459026E-8</v>
      </c>
      <c r="L122" s="7">
        <f t="shared" si="33"/>
        <v>4.9720262030229161E-2</v>
      </c>
      <c r="M122" s="7">
        <f t="shared" si="34"/>
        <v>4.9720262030229168E-2</v>
      </c>
      <c r="N122" s="20">
        <f t="shared" si="28"/>
        <v>4.9720262030229168E-2</v>
      </c>
      <c r="O122">
        <f t="shared" si="35"/>
        <v>5.8207660913467407E-10</v>
      </c>
      <c r="P122">
        <f t="shared" si="36"/>
        <v>-3.4924596548080444E-10</v>
      </c>
      <c r="Q122">
        <f t="shared" si="37"/>
        <v>-3.4924596548080444E-10</v>
      </c>
    </row>
    <row r="123" spans="2:17" x14ac:dyDescent="0.25">
      <c r="B123" s="21">
        <f t="shared" si="29"/>
        <v>1.584452641983925E-4</v>
      </c>
      <c r="C123" s="18">
        <f t="shared" si="30"/>
        <v>1.5844526419839253E-4</v>
      </c>
      <c r="D123" s="18">
        <f t="shared" si="31"/>
        <v>1.584452641983925E-4</v>
      </c>
      <c r="E123">
        <f t="shared" si="32"/>
        <v>4.6609784476459026E-8</v>
      </c>
      <c r="F123">
        <f t="shared" si="38"/>
        <v>-9.4369170255959034E-9</v>
      </c>
      <c r="G123">
        <f t="shared" si="39"/>
        <v>4.6609784476459026E-8</v>
      </c>
      <c r="L123" s="7">
        <f t="shared" si="33"/>
        <v>4.9720262030229161E-2</v>
      </c>
      <c r="M123" s="7">
        <f t="shared" si="34"/>
        <v>4.9720262030229168E-2</v>
      </c>
      <c r="N123" s="20">
        <f t="shared" si="28"/>
        <v>4.9720262030229168E-2</v>
      </c>
      <c r="O123">
        <f t="shared" si="35"/>
        <v>5.8207660913467407E-10</v>
      </c>
      <c r="P123">
        <f t="shared" si="36"/>
        <v>-3.4924596548080444E-10</v>
      </c>
      <c r="Q123">
        <f t="shared" si="37"/>
        <v>-3.4924596548080444E-10</v>
      </c>
    </row>
    <row r="124" spans="2:17" x14ac:dyDescent="0.25">
      <c r="B124" s="21">
        <f t="shared" si="29"/>
        <v>1.584452641983925E-4</v>
      </c>
      <c r="C124" s="18">
        <f t="shared" si="30"/>
        <v>1.5844526419839253E-4</v>
      </c>
      <c r="D124" s="18">
        <f t="shared" si="31"/>
        <v>1.584452641983925E-4</v>
      </c>
      <c r="E124">
        <f t="shared" si="32"/>
        <v>4.6609784476459026E-8</v>
      </c>
      <c r="F124">
        <f t="shared" si="38"/>
        <v>-9.4369170255959034E-9</v>
      </c>
      <c r="G124">
        <f t="shared" si="39"/>
        <v>4.6609784476459026E-8</v>
      </c>
      <c r="L124" s="7">
        <f t="shared" si="33"/>
        <v>4.9720262030229161E-2</v>
      </c>
      <c r="M124" s="7">
        <f t="shared" si="34"/>
        <v>4.9720262030229168E-2</v>
      </c>
      <c r="N124" s="20">
        <f t="shared" si="28"/>
        <v>4.9720262030229168E-2</v>
      </c>
      <c r="O124">
        <f t="shared" si="35"/>
        <v>5.8207660913467407E-10</v>
      </c>
      <c r="P124">
        <f t="shared" si="36"/>
        <v>-3.4924596548080444E-10</v>
      </c>
      <c r="Q124">
        <f t="shared" si="37"/>
        <v>-3.4924596548080444E-10</v>
      </c>
    </row>
    <row r="125" spans="2:17" x14ac:dyDescent="0.25">
      <c r="B125" s="21">
        <f t="shared" si="29"/>
        <v>1.584452641983925E-4</v>
      </c>
      <c r="C125" s="18">
        <f t="shared" si="30"/>
        <v>1.5844526419839253E-4</v>
      </c>
      <c r="D125" s="18">
        <f t="shared" si="31"/>
        <v>1.584452641983925E-4</v>
      </c>
      <c r="E125">
        <f t="shared" si="32"/>
        <v>4.6609784476459026E-8</v>
      </c>
      <c r="F125">
        <f t="shared" si="38"/>
        <v>-9.4369170255959034E-9</v>
      </c>
      <c r="G125">
        <f t="shared" si="39"/>
        <v>4.6609784476459026E-8</v>
      </c>
      <c r="L125" s="7">
        <f t="shared" si="33"/>
        <v>4.9720262030229161E-2</v>
      </c>
      <c r="M125" s="7">
        <f t="shared" si="34"/>
        <v>4.9720262030229168E-2</v>
      </c>
      <c r="N125" s="20">
        <f t="shared" si="28"/>
        <v>4.9720262030229168E-2</v>
      </c>
      <c r="O125">
        <f t="shared" si="35"/>
        <v>5.8207660913467407E-10</v>
      </c>
      <c r="P125">
        <f t="shared" si="36"/>
        <v>-3.4924596548080444E-10</v>
      </c>
      <c r="Q125">
        <f t="shared" si="37"/>
        <v>-3.4924596548080444E-10</v>
      </c>
    </row>
    <row r="126" spans="2:17" x14ac:dyDescent="0.25">
      <c r="B126" s="21">
        <f t="shared" si="29"/>
        <v>1.584452641983925E-4</v>
      </c>
      <c r="C126" s="18">
        <f t="shared" si="30"/>
        <v>1.5844526419839253E-4</v>
      </c>
      <c r="D126" s="18">
        <f t="shared" si="31"/>
        <v>1.584452641983925E-4</v>
      </c>
      <c r="E126">
        <f t="shared" si="32"/>
        <v>4.6609784476459026E-8</v>
      </c>
      <c r="F126">
        <f t="shared" si="38"/>
        <v>-9.4369170255959034E-9</v>
      </c>
      <c r="G126">
        <f t="shared" si="39"/>
        <v>4.6609784476459026E-8</v>
      </c>
      <c r="L126" s="7">
        <f t="shared" si="33"/>
        <v>4.9720262030229161E-2</v>
      </c>
      <c r="M126" s="7">
        <f t="shared" si="34"/>
        <v>4.9720262030229168E-2</v>
      </c>
      <c r="N126" s="20">
        <f t="shared" si="28"/>
        <v>4.9720262030229168E-2</v>
      </c>
      <c r="O126">
        <f t="shared" si="35"/>
        <v>5.8207660913467407E-10</v>
      </c>
      <c r="P126">
        <f t="shared" si="36"/>
        <v>-3.4924596548080444E-10</v>
      </c>
      <c r="Q126">
        <f t="shared" si="37"/>
        <v>-3.4924596548080444E-10</v>
      </c>
    </row>
    <row r="127" spans="2:17" x14ac:dyDescent="0.25">
      <c r="B127" s="21">
        <f t="shared" si="29"/>
        <v>1.584452641983925E-4</v>
      </c>
      <c r="C127" s="18">
        <f t="shared" si="30"/>
        <v>1.5844526419839253E-4</v>
      </c>
      <c r="D127" s="18">
        <f t="shared" si="31"/>
        <v>1.584452641983925E-4</v>
      </c>
      <c r="E127">
        <f t="shared" si="32"/>
        <v>4.6609784476459026E-8</v>
      </c>
      <c r="F127">
        <f t="shared" si="38"/>
        <v>-9.4369170255959034E-9</v>
      </c>
      <c r="G127">
        <f t="shared" si="39"/>
        <v>4.6609784476459026E-8</v>
      </c>
      <c r="L127" s="7">
        <f t="shared" si="33"/>
        <v>4.9720262030229161E-2</v>
      </c>
      <c r="M127" s="7">
        <f t="shared" si="34"/>
        <v>4.9720262030229168E-2</v>
      </c>
      <c r="N127" s="20">
        <f t="shared" si="28"/>
        <v>4.9720262030229168E-2</v>
      </c>
      <c r="O127">
        <f t="shared" si="35"/>
        <v>5.8207660913467407E-10</v>
      </c>
      <c r="P127">
        <f t="shared" si="36"/>
        <v>-3.4924596548080444E-10</v>
      </c>
      <c r="Q127">
        <f t="shared" si="37"/>
        <v>-3.4924596548080444E-10</v>
      </c>
    </row>
    <row r="128" spans="2:17" x14ac:dyDescent="0.25">
      <c r="B128" s="21">
        <f t="shared" si="29"/>
        <v>1.584452641983925E-4</v>
      </c>
      <c r="C128" s="18">
        <f t="shared" si="30"/>
        <v>1.5844526419839253E-4</v>
      </c>
      <c r="D128" s="18">
        <f t="shared" si="31"/>
        <v>1.584452641983925E-4</v>
      </c>
      <c r="E128">
        <f t="shared" si="32"/>
        <v>4.6609784476459026E-8</v>
      </c>
      <c r="F128">
        <f t="shared" si="38"/>
        <v>-9.4369170255959034E-9</v>
      </c>
      <c r="G128">
        <f t="shared" si="39"/>
        <v>4.6609784476459026E-8</v>
      </c>
      <c r="L128" s="7">
        <f t="shared" si="33"/>
        <v>4.9720262030229161E-2</v>
      </c>
      <c r="M128" s="7">
        <f t="shared" si="34"/>
        <v>4.9720262030229168E-2</v>
      </c>
      <c r="N128" s="20">
        <f t="shared" si="28"/>
        <v>4.9720262030229168E-2</v>
      </c>
      <c r="O128">
        <f t="shared" si="35"/>
        <v>5.8207660913467407E-10</v>
      </c>
      <c r="P128">
        <f t="shared" si="36"/>
        <v>-3.4924596548080444E-10</v>
      </c>
      <c r="Q128">
        <f t="shared" si="37"/>
        <v>-3.4924596548080444E-10</v>
      </c>
    </row>
    <row r="129" spans="2:17" x14ac:dyDescent="0.25">
      <c r="B129" s="21">
        <f t="shared" si="29"/>
        <v>1.584452641983925E-4</v>
      </c>
      <c r="C129" s="18">
        <f t="shared" si="30"/>
        <v>1.5844526419839253E-4</v>
      </c>
      <c r="D129" s="18">
        <f t="shared" si="31"/>
        <v>1.584452641983925E-4</v>
      </c>
      <c r="E129">
        <f t="shared" si="32"/>
        <v>4.6609784476459026E-8</v>
      </c>
      <c r="F129">
        <f t="shared" si="38"/>
        <v>-9.4369170255959034E-9</v>
      </c>
      <c r="G129">
        <f t="shared" si="39"/>
        <v>4.6609784476459026E-8</v>
      </c>
      <c r="L129" s="7">
        <f t="shared" si="33"/>
        <v>4.9720262030229161E-2</v>
      </c>
      <c r="M129" s="7">
        <f t="shared" si="34"/>
        <v>4.9720262030229168E-2</v>
      </c>
      <c r="N129" s="20">
        <f t="shared" si="28"/>
        <v>4.9720262030229168E-2</v>
      </c>
      <c r="O129">
        <f t="shared" si="35"/>
        <v>5.8207660913467407E-10</v>
      </c>
      <c r="P129">
        <f t="shared" si="36"/>
        <v>-3.4924596548080444E-10</v>
      </c>
      <c r="Q129">
        <f t="shared" si="37"/>
        <v>-3.4924596548080444E-10</v>
      </c>
    </row>
    <row r="130" spans="2:17" x14ac:dyDescent="0.25">
      <c r="B130" s="21">
        <f t="shared" si="29"/>
        <v>1.584452641983925E-4</v>
      </c>
      <c r="C130" s="18">
        <f t="shared" si="30"/>
        <v>1.5844526419839253E-4</v>
      </c>
      <c r="D130" s="18">
        <f t="shared" si="31"/>
        <v>1.584452641983925E-4</v>
      </c>
      <c r="E130">
        <f t="shared" si="32"/>
        <v>4.6609784476459026E-8</v>
      </c>
      <c r="F130">
        <f t="shared" si="38"/>
        <v>-9.4369170255959034E-9</v>
      </c>
      <c r="G130">
        <f t="shared" si="39"/>
        <v>4.6609784476459026E-8</v>
      </c>
      <c r="L130" s="7">
        <f t="shared" si="33"/>
        <v>4.9720262030229161E-2</v>
      </c>
      <c r="M130" s="7">
        <f t="shared" si="34"/>
        <v>4.9720262030229168E-2</v>
      </c>
      <c r="N130" s="20">
        <f t="shared" si="28"/>
        <v>4.9720262030229168E-2</v>
      </c>
      <c r="O130">
        <f t="shared" si="35"/>
        <v>5.8207660913467407E-10</v>
      </c>
      <c r="P130">
        <f t="shared" si="36"/>
        <v>-3.4924596548080444E-10</v>
      </c>
      <c r="Q130">
        <f t="shared" si="37"/>
        <v>-3.4924596548080444E-10</v>
      </c>
    </row>
    <row r="131" spans="2:17" x14ac:dyDescent="0.25">
      <c r="B131" s="21">
        <f t="shared" si="29"/>
        <v>1.584452641983925E-4</v>
      </c>
      <c r="C131" s="18">
        <f t="shared" si="30"/>
        <v>1.5844526419839253E-4</v>
      </c>
      <c r="D131" s="18">
        <f t="shared" si="31"/>
        <v>1.584452641983925E-4</v>
      </c>
      <c r="E131">
        <f t="shared" si="32"/>
        <v>4.6609784476459026E-8</v>
      </c>
      <c r="F131">
        <f t="shared" si="38"/>
        <v>-9.4369170255959034E-9</v>
      </c>
      <c r="G131">
        <f t="shared" si="39"/>
        <v>4.6609784476459026E-8</v>
      </c>
      <c r="L131" s="7">
        <f t="shared" si="33"/>
        <v>4.9720262030229161E-2</v>
      </c>
      <c r="M131" s="7">
        <f t="shared" si="34"/>
        <v>4.9720262030229168E-2</v>
      </c>
      <c r="N131" s="20">
        <f t="shared" si="28"/>
        <v>4.9720262030229168E-2</v>
      </c>
      <c r="O131">
        <f t="shared" si="35"/>
        <v>5.8207660913467407E-10</v>
      </c>
      <c r="P131">
        <f t="shared" si="36"/>
        <v>-3.4924596548080444E-10</v>
      </c>
      <c r="Q131">
        <f t="shared" si="37"/>
        <v>-3.4924596548080444E-10</v>
      </c>
    </row>
    <row r="132" spans="2:17" x14ac:dyDescent="0.25">
      <c r="B132" s="21">
        <f t="shared" si="29"/>
        <v>1.584452641983925E-4</v>
      </c>
      <c r="C132" s="18">
        <f t="shared" si="30"/>
        <v>1.5844526419839253E-4</v>
      </c>
      <c r="D132" s="18">
        <f t="shared" si="31"/>
        <v>1.584452641983925E-4</v>
      </c>
      <c r="E132">
        <f t="shared" si="32"/>
        <v>4.6609784476459026E-8</v>
      </c>
      <c r="F132">
        <f t="shared" si="38"/>
        <v>-9.4369170255959034E-9</v>
      </c>
      <c r="G132">
        <f t="shared" si="39"/>
        <v>4.6609784476459026E-8</v>
      </c>
      <c r="L132" s="7">
        <f t="shared" si="33"/>
        <v>4.9720262030229161E-2</v>
      </c>
      <c r="M132" s="7">
        <f t="shared" si="34"/>
        <v>4.9720262030229168E-2</v>
      </c>
      <c r="N132" s="20">
        <f t="shared" si="28"/>
        <v>4.9720262030229168E-2</v>
      </c>
      <c r="O132">
        <f t="shared" si="35"/>
        <v>5.8207660913467407E-10</v>
      </c>
      <c r="P132">
        <f t="shared" si="36"/>
        <v>-3.4924596548080444E-10</v>
      </c>
      <c r="Q132">
        <f t="shared" si="37"/>
        <v>-3.4924596548080444E-10</v>
      </c>
    </row>
    <row r="133" spans="2:17" x14ac:dyDescent="0.25">
      <c r="B133" s="21">
        <f t="shared" si="29"/>
        <v>1.584452641983925E-4</v>
      </c>
      <c r="C133" s="18">
        <f t="shared" si="30"/>
        <v>1.5844526419839253E-4</v>
      </c>
      <c r="D133" s="18">
        <f t="shared" si="31"/>
        <v>1.584452641983925E-4</v>
      </c>
      <c r="E133">
        <f t="shared" si="32"/>
        <v>4.6609784476459026E-8</v>
      </c>
      <c r="F133">
        <f t="shared" si="38"/>
        <v>-9.4369170255959034E-9</v>
      </c>
      <c r="G133">
        <f t="shared" si="39"/>
        <v>4.6609784476459026E-8</v>
      </c>
      <c r="L133" s="7">
        <f t="shared" si="33"/>
        <v>4.9720262030229161E-2</v>
      </c>
      <c r="M133" s="7">
        <f t="shared" si="34"/>
        <v>4.9720262030229168E-2</v>
      </c>
      <c r="N133" s="20">
        <f t="shared" si="28"/>
        <v>4.9720262030229168E-2</v>
      </c>
      <c r="O133">
        <f t="shared" si="35"/>
        <v>5.8207660913467407E-10</v>
      </c>
      <c r="P133">
        <f t="shared" si="36"/>
        <v>-3.4924596548080444E-10</v>
      </c>
      <c r="Q133">
        <f t="shared" si="37"/>
        <v>-3.4924596548080444E-10</v>
      </c>
    </row>
    <row r="134" spans="2:17" x14ac:dyDescent="0.25">
      <c r="B134" s="21">
        <f t="shared" si="29"/>
        <v>1.584452641983925E-4</v>
      </c>
      <c r="C134" s="18">
        <f t="shared" si="30"/>
        <v>1.5844526419839253E-4</v>
      </c>
      <c r="D134" s="18">
        <f t="shared" si="31"/>
        <v>1.584452641983925E-4</v>
      </c>
      <c r="E134">
        <f t="shared" si="32"/>
        <v>4.6609784476459026E-8</v>
      </c>
      <c r="F134">
        <f t="shared" si="38"/>
        <v>-9.4369170255959034E-9</v>
      </c>
      <c r="G134">
        <f t="shared" si="39"/>
        <v>4.6609784476459026E-8</v>
      </c>
      <c r="L134" s="7">
        <f t="shared" si="33"/>
        <v>4.9720262030229161E-2</v>
      </c>
      <c r="M134" s="7">
        <f t="shared" si="34"/>
        <v>4.9720262030229168E-2</v>
      </c>
      <c r="N134" s="20">
        <f t="shared" si="28"/>
        <v>4.9720262030229168E-2</v>
      </c>
      <c r="O134">
        <f t="shared" si="35"/>
        <v>5.8207660913467407E-10</v>
      </c>
      <c r="P134">
        <f t="shared" si="36"/>
        <v>-3.4924596548080444E-10</v>
      </c>
      <c r="Q134">
        <f t="shared" si="37"/>
        <v>-3.4924596548080444E-10</v>
      </c>
    </row>
    <row r="135" spans="2:17" x14ac:dyDescent="0.25">
      <c r="B135" s="21">
        <f t="shared" si="29"/>
        <v>1.584452641983925E-4</v>
      </c>
      <c r="C135" s="18">
        <f t="shared" si="30"/>
        <v>1.5844526419839253E-4</v>
      </c>
      <c r="D135" s="18">
        <f t="shared" si="31"/>
        <v>1.584452641983925E-4</v>
      </c>
      <c r="E135">
        <f t="shared" si="32"/>
        <v>4.6609784476459026E-8</v>
      </c>
      <c r="F135">
        <f t="shared" si="38"/>
        <v>-9.4369170255959034E-9</v>
      </c>
      <c r="G135">
        <f t="shared" si="39"/>
        <v>4.6609784476459026E-8</v>
      </c>
      <c r="L135" s="7">
        <f t="shared" si="33"/>
        <v>4.9720262030229161E-2</v>
      </c>
      <c r="M135" s="7">
        <f t="shared" si="34"/>
        <v>4.9720262030229168E-2</v>
      </c>
      <c r="N135" s="20">
        <f t="shared" si="28"/>
        <v>4.9720262030229168E-2</v>
      </c>
      <c r="O135">
        <f t="shared" si="35"/>
        <v>5.8207660913467407E-10</v>
      </c>
      <c r="P135">
        <f t="shared" si="36"/>
        <v>-3.4924596548080444E-10</v>
      </c>
      <c r="Q135">
        <f t="shared" si="37"/>
        <v>-3.4924596548080444E-10</v>
      </c>
    </row>
    <row r="136" spans="2:17" x14ac:dyDescent="0.25">
      <c r="B136" s="21">
        <f t="shared" si="29"/>
        <v>1.584452641983925E-4</v>
      </c>
      <c r="C136" s="18">
        <f t="shared" si="30"/>
        <v>1.5844526419839253E-4</v>
      </c>
      <c r="D136" s="18">
        <f t="shared" si="31"/>
        <v>1.584452641983925E-4</v>
      </c>
      <c r="E136">
        <f t="shared" si="32"/>
        <v>4.6609784476459026E-8</v>
      </c>
      <c r="F136">
        <f t="shared" si="38"/>
        <v>-9.4369170255959034E-9</v>
      </c>
      <c r="G136">
        <f t="shared" si="39"/>
        <v>4.6609784476459026E-8</v>
      </c>
      <c r="L136" s="7">
        <f t="shared" si="33"/>
        <v>4.9720262030229161E-2</v>
      </c>
      <c r="M136" s="7">
        <f t="shared" si="34"/>
        <v>4.9720262030229168E-2</v>
      </c>
      <c r="N136" s="20">
        <f t="shared" si="28"/>
        <v>4.9720262030229168E-2</v>
      </c>
      <c r="O136">
        <f t="shared" si="35"/>
        <v>5.8207660913467407E-10</v>
      </c>
      <c r="P136">
        <f t="shared" si="36"/>
        <v>-3.4924596548080444E-10</v>
      </c>
      <c r="Q136">
        <f t="shared" si="37"/>
        <v>-3.4924596548080444E-10</v>
      </c>
    </row>
    <row r="137" spans="2:17" x14ac:dyDescent="0.25">
      <c r="B137" s="21">
        <f t="shared" si="29"/>
        <v>1.584452641983925E-4</v>
      </c>
      <c r="C137" s="18">
        <f t="shared" si="30"/>
        <v>1.5844526419839253E-4</v>
      </c>
      <c r="D137" s="18">
        <f t="shared" si="31"/>
        <v>1.584452641983925E-4</v>
      </c>
      <c r="E137">
        <f t="shared" si="32"/>
        <v>4.6609784476459026E-8</v>
      </c>
      <c r="F137">
        <f t="shared" si="38"/>
        <v>-9.4369170255959034E-9</v>
      </c>
      <c r="G137">
        <f t="shared" si="39"/>
        <v>4.6609784476459026E-8</v>
      </c>
      <c r="L137" s="7">
        <f t="shared" si="33"/>
        <v>4.9720262030229161E-2</v>
      </c>
      <c r="M137" s="7">
        <f t="shared" si="34"/>
        <v>4.9720262030229168E-2</v>
      </c>
      <c r="N137" s="20">
        <f t="shared" si="28"/>
        <v>4.9720262030229168E-2</v>
      </c>
      <c r="O137">
        <f t="shared" si="35"/>
        <v>5.8207660913467407E-10</v>
      </c>
      <c r="P137">
        <f t="shared" si="36"/>
        <v>-3.4924596548080444E-10</v>
      </c>
      <c r="Q137">
        <f t="shared" si="37"/>
        <v>-3.4924596548080444E-10</v>
      </c>
    </row>
    <row r="138" spans="2:17" x14ac:dyDescent="0.25">
      <c r="B138" s="21">
        <f t="shared" si="29"/>
        <v>1.584452641983925E-4</v>
      </c>
      <c r="C138" s="18">
        <f t="shared" si="30"/>
        <v>1.5844526419839253E-4</v>
      </c>
      <c r="D138" s="18">
        <f t="shared" si="31"/>
        <v>1.584452641983925E-4</v>
      </c>
      <c r="E138">
        <f t="shared" si="32"/>
        <v>4.6609784476459026E-8</v>
      </c>
      <c r="F138">
        <f t="shared" si="38"/>
        <v>-9.4369170255959034E-9</v>
      </c>
      <c r="G138">
        <f t="shared" si="39"/>
        <v>4.6609784476459026E-8</v>
      </c>
      <c r="L138" s="7">
        <f t="shared" si="33"/>
        <v>4.9720262030229161E-2</v>
      </c>
      <c r="M138" s="7">
        <f t="shared" si="34"/>
        <v>4.9720262030229168E-2</v>
      </c>
      <c r="N138" s="20">
        <f t="shared" si="28"/>
        <v>4.9720262030229168E-2</v>
      </c>
      <c r="O138">
        <f t="shared" si="35"/>
        <v>5.8207660913467407E-10</v>
      </c>
      <c r="P138">
        <f t="shared" si="36"/>
        <v>-3.4924596548080444E-10</v>
      </c>
      <c r="Q138">
        <f t="shared" si="37"/>
        <v>-3.4924596548080444E-10</v>
      </c>
    </row>
    <row r="139" spans="2:17" x14ac:dyDescent="0.25">
      <c r="B139" s="21">
        <f t="shared" si="29"/>
        <v>1.584452641983925E-4</v>
      </c>
      <c r="C139" s="18">
        <f t="shared" si="30"/>
        <v>1.5844526419839253E-4</v>
      </c>
      <c r="D139" s="18">
        <f t="shared" si="31"/>
        <v>1.584452641983925E-4</v>
      </c>
      <c r="E139">
        <f t="shared" si="32"/>
        <v>4.6609784476459026E-8</v>
      </c>
      <c r="F139">
        <f t="shared" si="38"/>
        <v>-9.4369170255959034E-9</v>
      </c>
      <c r="G139">
        <f t="shared" si="39"/>
        <v>4.6609784476459026E-8</v>
      </c>
      <c r="L139" s="7">
        <f t="shared" si="33"/>
        <v>4.9720262030229161E-2</v>
      </c>
      <c r="M139" s="7">
        <f t="shared" si="34"/>
        <v>4.9720262030229168E-2</v>
      </c>
      <c r="N139" s="20">
        <f t="shared" si="28"/>
        <v>4.9720262030229168E-2</v>
      </c>
      <c r="O139">
        <f t="shared" si="35"/>
        <v>5.8207660913467407E-10</v>
      </c>
      <c r="P139">
        <f t="shared" si="36"/>
        <v>-3.4924596548080444E-10</v>
      </c>
      <c r="Q139">
        <f t="shared" si="37"/>
        <v>-3.4924596548080444E-10</v>
      </c>
    </row>
    <row r="140" spans="2:17" x14ac:dyDescent="0.25">
      <c r="B140" s="21">
        <f t="shared" si="29"/>
        <v>1.584452641983925E-4</v>
      </c>
      <c r="C140" s="18">
        <f t="shared" si="30"/>
        <v>1.5844526419839253E-4</v>
      </c>
      <c r="D140" s="18">
        <f t="shared" si="31"/>
        <v>1.584452641983925E-4</v>
      </c>
      <c r="E140">
        <f t="shared" si="32"/>
        <v>4.6609784476459026E-8</v>
      </c>
      <c r="F140">
        <f t="shared" si="38"/>
        <v>-9.4369170255959034E-9</v>
      </c>
      <c r="G140">
        <f t="shared" si="39"/>
        <v>4.6609784476459026E-8</v>
      </c>
      <c r="L140" s="7">
        <f t="shared" si="33"/>
        <v>4.9720262030229161E-2</v>
      </c>
      <c r="M140" s="7">
        <f t="shared" si="34"/>
        <v>4.9720262030229168E-2</v>
      </c>
      <c r="N140" s="20">
        <f t="shared" si="28"/>
        <v>4.9720262030229168E-2</v>
      </c>
      <c r="O140">
        <f t="shared" si="35"/>
        <v>5.8207660913467407E-10</v>
      </c>
      <c r="P140">
        <f t="shared" si="36"/>
        <v>-3.4924596548080444E-10</v>
      </c>
      <c r="Q140">
        <f t="shared" si="37"/>
        <v>-3.4924596548080444E-10</v>
      </c>
    </row>
    <row r="141" spans="2:17" x14ac:dyDescent="0.25">
      <c r="B141" s="21">
        <f t="shared" si="29"/>
        <v>1.584452641983925E-4</v>
      </c>
      <c r="C141" s="18">
        <f t="shared" si="30"/>
        <v>1.5844526419839253E-4</v>
      </c>
      <c r="D141" s="18">
        <f t="shared" si="31"/>
        <v>1.584452641983925E-4</v>
      </c>
      <c r="E141">
        <f t="shared" si="32"/>
        <v>4.6609784476459026E-8</v>
      </c>
      <c r="F141">
        <f t="shared" si="38"/>
        <v>-9.4369170255959034E-9</v>
      </c>
      <c r="G141">
        <f t="shared" si="39"/>
        <v>4.6609784476459026E-8</v>
      </c>
      <c r="L141" s="7">
        <f t="shared" si="33"/>
        <v>4.9720262030229161E-2</v>
      </c>
      <c r="M141" s="7">
        <f t="shared" si="34"/>
        <v>4.9720262030229168E-2</v>
      </c>
      <c r="N141" s="20">
        <f t="shared" si="28"/>
        <v>4.9720262030229168E-2</v>
      </c>
      <c r="O141">
        <f t="shared" si="35"/>
        <v>5.8207660913467407E-10</v>
      </c>
      <c r="P141">
        <f t="shared" si="36"/>
        <v>-3.4924596548080444E-10</v>
      </c>
      <c r="Q141">
        <f t="shared" si="37"/>
        <v>-3.4924596548080444E-10</v>
      </c>
    </row>
    <row r="142" spans="2:17" x14ac:dyDescent="0.25">
      <c r="B142" s="21">
        <f t="shared" si="29"/>
        <v>1.584452641983925E-4</v>
      </c>
      <c r="C142" s="18">
        <f t="shared" si="30"/>
        <v>1.5844526419839253E-4</v>
      </c>
      <c r="D142" s="18">
        <f t="shared" si="31"/>
        <v>1.584452641983925E-4</v>
      </c>
      <c r="E142">
        <f t="shared" si="32"/>
        <v>4.6609784476459026E-8</v>
      </c>
      <c r="F142">
        <f t="shared" si="38"/>
        <v>-9.4369170255959034E-9</v>
      </c>
      <c r="G142">
        <f t="shared" si="39"/>
        <v>4.6609784476459026E-8</v>
      </c>
      <c r="L142" s="7">
        <f t="shared" si="33"/>
        <v>4.9720262030229161E-2</v>
      </c>
      <c r="M142" s="7">
        <f t="shared" si="34"/>
        <v>4.9720262030229168E-2</v>
      </c>
      <c r="N142" s="20">
        <f t="shared" si="28"/>
        <v>4.9720262030229168E-2</v>
      </c>
      <c r="O142">
        <f t="shared" si="35"/>
        <v>5.8207660913467407E-10</v>
      </c>
      <c r="P142">
        <f t="shared" si="36"/>
        <v>-3.4924596548080444E-10</v>
      </c>
      <c r="Q142">
        <f t="shared" si="37"/>
        <v>-3.4924596548080444E-10</v>
      </c>
    </row>
    <row r="143" spans="2:17" x14ac:dyDescent="0.25">
      <c r="B143" s="21">
        <f t="shared" si="29"/>
        <v>1.584452641983925E-4</v>
      </c>
      <c r="C143" s="18">
        <f t="shared" si="30"/>
        <v>1.5844526419839253E-4</v>
      </c>
      <c r="D143" s="18">
        <f t="shared" si="31"/>
        <v>1.584452641983925E-4</v>
      </c>
      <c r="E143">
        <f t="shared" si="32"/>
        <v>4.6609784476459026E-8</v>
      </c>
      <c r="F143">
        <f t="shared" si="38"/>
        <v>-9.4369170255959034E-9</v>
      </c>
      <c r="G143">
        <f t="shared" si="39"/>
        <v>4.6609784476459026E-8</v>
      </c>
      <c r="L143" s="7">
        <f t="shared" si="33"/>
        <v>4.9720262030229161E-2</v>
      </c>
      <c r="M143" s="7">
        <f t="shared" si="34"/>
        <v>4.9720262030229168E-2</v>
      </c>
      <c r="N143" s="20">
        <f t="shared" si="28"/>
        <v>4.9720262030229168E-2</v>
      </c>
      <c r="O143">
        <f t="shared" si="35"/>
        <v>5.8207660913467407E-10</v>
      </c>
      <c r="P143">
        <f t="shared" si="36"/>
        <v>-3.4924596548080444E-10</v>
      </c>
      <c r="Q143">
        <f t="shared" si="37"/>
        <v>-3.4924596548080444E-10</v>
      </c>
    </row>
    <row r="144" spans="2:17" x14ac:dyDescent="0.25">
      <c r="B144" s="21">
        <f t="shared" si="29"/>
        <v>1.584452641983925E-4</v>
      </c>
      <c r="C144" s="18">
        <f t="shared" si="30"/>
        <v>1.5844526419839253E-4</v>
      </c>
      <c r="D144" s="18">
        <f t="shared" si="31"/>
        <v>1.584452641983925E-4</v>
      </c>
      <c r="E144">
        <f t="shared" si="32"/>
        <v>4.6609784476459026E-8</v>
      </c>
      <c r="F144">
        <f t="shared" si="38"/>
        <v>-9.4369170255959034E-9</v>
      </c>
      <c r="G144">
        <f t="shared" si="39"/>
        <v>4.6609784476459026E-8</v>
      </c>
      <c r="L144" s="7">
        <f t="shared" si="33"/>
        <v>4.9720262030229161E-2</v>
      </c>
      <c r="M144" s="7">
        <f t="shared" si="34"/>
        <v>4.9720262030229168E-2</v>
      </c>
      <c r="N144" s="20">
        <f t="shared" si="28"/>
        <v>4.9720262030229168E-2</v>
      </c>
      <c r="O144">
        <f t="shared" si="35"/>
        <v>5.8207660913467407E-10</v>
      </c>
      <c r="P144">
        <f t="shared" si="36"/>
        <v>-3.4924596548080444E-10</v>
      </c>
      <c r="Q144">
        <f t="shared" si="37"/>
        <v>-3.4924596548080444E-10</v>
      </c>
    </row>
    <row r="145" spans="2:17" x14ac:dyDescent="0.25">
      <c r="B145" s="21">
        <f t="shared" si="29"/>
        <v>1.584452641983925E-4</v>
      </c>
      <c r="C145" s="18">
        <f t="shared" si="30"/>
        <v>1.5844526419839253E-4</v>
      </c>
      <c r="D145" s="18">
        <f t="shared" si="31"/>
        <v>1.584452641983925E-4</v>
      </c>
      <c r="E145">
        <f t="shared" si="32"/>
        <v>4.6609784476459026E-8</v>
      </c>
      <c r="F145">
        <f t="shared" si="38"/>
        <v>-9.4369170255959034E-9</v>
      </c>
      <c r="G145">
        <f t="shared" si="39"/>
        <v>4.6609784476459026E-8</v>
      </c>
      <c r="L145" s="7">
        <f t="shared" si="33"/>
        <v>4.9720262030229161E-2</v>
      </c>
      <c r="M145" s="7">
        <f t="shared" si="34"/>
        <v>4.9720262030229168E-2</v>
      </c>
      <c r="N145" s="20">
        <f t="shared" si="28"/>
        <v>4.9720262030229168E-2</v>
      </c>
      <c r="O145">
        <f t="shared" si="35"/>
        <v>5.8207660913467407E-10</v>
      </c>
      <c r="P145">
        <f t="shared" si="36"/>
        <v>-3.4924596548080444E-10</v>
      </c>
      <c r="Q145">
        <f t="shared" si="37"/>
        <v>-3.4924596548080444E-10</v>
      </c>
    </row>
    <row r="146" spans="2:17" x14ac:dyDescent="0.25">
      <c r="B146" s="21">
        <f t="shared" si="29"/>
        <v>1.584452641983925E-4</v>
      </c>
      <c r="C146" s="18">
        <f t="shared" si="30"/>
        <v>1.5844526419839253E-4</v>
      </c>
      <c r="D146" s="18">
        <f t="shared" si="31"/>
        <v>1.584452641983925E-4</v>
      </c>
      <c r="E146">
        <f t="shared" si="32"/>
        <v>4.6609784476459026E-8</v>
      </c>
      <c r="F146">
        <f t="shared" si="38"/>
        <v>-9.4369170255959034E-9</v>
      </c>
      <c r="G146">
        <f t="shared" si="39"/>
        <v>4.6609784476459026E-8</v>
      </c>
      <c r="L146" s="7">
        <f t="shared" si="33"/>
        <v>4.9720262030229161E-2</v>
      </c>
      <c r="M146" s="7">
        <f t="shared" si="34"/>
        <v>4.9720262030229168E-2</v>
      </c>
      <c r="N146" s="20">
        <f t="shared" si="28"/>
        <v>4.9720262030229168E-2</v>
      </c>
      <c r="O146">
        <f t="shared" si="35"/>
        <v>5.8207660913467407E-10</v>
      </c>
      <c r="P146">
        <f t="shared" si="36"/>
        <v>-3.4924596548080444E-10</v>
      </c>
      <c r="Q146">
        <f t="shared" si="37"/>
        <v>-3.4924596548080444E-10</v>
      </c>
    </row>
    <row r="147" spans="2:17" x14ac:dyDescent="0.25">
      <c r="B147" s="21">
        <f t="shared" si="29"/>
        <v>1.584452641983925E-4</v>
      </c>
      <c r="C147" s="18">
        <f t="shared" si="30"/>
        <v>1.5844526419839253E-4</v>
      </c>
      <c r="D147" s="18">
        <f t="shared" si="31"/>
        <v>1.584452641983925E-4</v>
      </c>
      <c r="E147">
        <f t="shared" si="32"/>
        <v>4.6609784476459026E-8</v>
      </c>
      <c r="F147">
        <f t="shared" si="38"/>
        <v>-9.4369170255959034E-9</v>
      </c>
      <c r="G147">
        <f t="shared" si="39"/>
        <v>4.6609784476459026E-8</v>
      </c>
      <c r="L147" s="7">
        <f t="shared" si="33"/>
        <v>4.9720262030229161E-2</v>
      </c>
      <c r="M147" s="7">
        <f t="shared" si="34"/>
        <v>4.9720262030229168E-2</v>
      </c>
      <c r="N147" s="20">
        <f t="shared" si="28"/>
        <v>4.9720262030229168E-2</v>
      </c>
      <c r="O147">
        <f t="shared" si="35"/>
        <v>5.8207660913467407E-10</v>
      </c>
      <c r="P147">
        <f t="shared" si="36"/>
        <v>-3.4924596548080444E-10</v>
      </c>
      <c r="Q147">
        <f t="shared" si="37"/>
        <v>-3.4924596548080444E-10</v>
      </c>
    </row>
    <row r="148" spans="2:17" x14ac:dyDescent="0.25">
      <c r="B148" s="21">
        <f t="shared" si="29"/>
        <v>1.584452641983925E-4</v>
      </c>
      <c r="C148" s="18">
        <f t="shared" si="30"/>
        <v>1.5844526419839253E-4</v>
      </c>
      <c r="D148" s="18">
        <f t="shared" si="31"/>
        <v>1.584452641983925E-4</v>
      </c>
      <c r="E148">
        <f t="shared" si="32"/>
        <v>4.6609784476459026E-8</v>
      </c>
      <c r="F148">
        <f t="shared" si="38"/>
        <v>-9.4369170255959034E-9</v>
      </c>
      <c r="G148">
        <f t="shared" si="39"/>
        <v>4.6609784476459026E-8</v>
      </c>
      <c r="L148" s="7">
        <f t="shared" si="33"/>
        <v>4.9720262030229161E-2</v>
      </c>
      <c r="M148" s="7">
        <f t="shared" si="34"/>
        <v>4.9720262030229168E-2</v>
      </c>
      <c r="N148" s="20">
        <f t="shared" si="28"/>
        <v>4.9720262030229168E-2</v>
      </c>
      <c r="O148">
        <f t="shared" si="35"/>
        <v>5.8207660913467407E-10</v>
      </c>
      <c r="P148">
        <f t="shared" si="36"/>
        <v>-3.4924596548080444E-10</v>
      </c>
      <c r="Q148">
        <f t="shared" si="37"/>
        <v>-3.4924596548080444E-10</v>
      </c>
    </row>
    <row r="149" spans="2:17" x14ac:dyDescent="0.25">
      <c r="B149" s="21">
        <f t="shared" si="29"/>
        <v>1.584452641983925E-4</v>
      </c>
      <c r="C149" s="18">
        <f t="shared" si="30"/>
        <v>1.5844526419839253E-4</v>
      </c>
      <c r="D149" s="18">
        <f t="shared" si="31"/>
        <v>1.584452641983925E-4</v>
      </c>
      <c r="E149">
        <f t="shared" si="32"/>
        <v>4.6609784476459026E-8</v>
      </c>
      <c r="F149">
        <f t="shared" si="38"/>
        <v>-9.4369170255959034E-9</v>
      </c>
      <c r="G149">
        <f t="shared" si="39"/>
        <v>4.6609784476459026E-8</v>
      </c>
      <c r="L149" s="7">
        <f t="shared" si="33"/>
        <v>4.9720262030229161E-2</v>
      </c>
      <c r="M149" s="7">
        <f t="shared" si="34"/>
        <v>4.9720262030229168E-2</v>
      </c>
      <c r="N149" s="20">
        <f t="shared" si="28"/>
        <v>4.9720262030229168E-2</v>
      </c>
      <c r="O149">
        <f t="shared" si="35"/>
        <v>5.8207660913467407E-10</v>
      </c>
      <c r="P149">
        <f t="shared" si="36"/>
        <v>-3.4924596548080444E-10</v>
      </c>
      <c r="Q149">
        <f t="shared" si="37"/>
        <v>-3.4924596548080444E-10</v>
      </c>
    </row>
    <row r="150" spans="2:17" x14ac:dyDescent="0.25">
      <c r="B150" s="21">
        <f t="shared" si="29"/>
        <v>1.584452641983925E-4</v>
      </c>
      <c r="C150" s="18">
        <f t="shared" si="30"/>
        <v>1.5844526419839253E-4</v>
      </c>
      <c r="D150" s="18">
        <f t="shared" si="31"/>
        <v>1.584452641983925E-4</v>
      </c>
      <c r="E150">
        <f t="shared" si="32"/>
        <v>4.6609784476459026E-8</v>
      </c>
      <c r="F150">
        <f t="shared" si="38"/>
        <v>-9.4369170255959034E-9</v>
      </c>
      <c r="G150">
        <f t="shared" si="39"/>
        <v>4.6609784476459026E-8</v>
      </c>
      <c r="L150" s="7">
        <f t="shared" si="33"/>
        <v>4.9720262030229161E-2</v>
      </c>
      <c r="M150" s="7">
        <f t="shared" si="34"/>
        <v>4.9720262030229168E-2</v>
      </c>
      <c r="N150" s="20">
        <f t="shared" si="28"/>
        <v>4.9720262030229168E-2</v>
      </c>
      <c r="O150">
        <f t="shared" si="35"/>
        <v>5.8207660913467407E-10</v>
      </c>
      <c r="P150">
        <f t="shared" si="36"/>
        <v>-3.4924596548080444E-10</v>
      </c>
      <c r="Q150">
        <f t="shared" si="37"/>
        <v>-3.4924596548080444E-10</v>
      </c>
    </row>
    <row r="151" spans="2:17" x14ac:dyDescent="0.25">
      <c r="B151" s="21">
        <f t="shared" si="29"/>
        <v>1.584452641983925E-4</v>
      </c>
      <c r="C151" s="18">
        <f t="shared" si="30"/>
        <v>1.5844526419839253E-4</v>
      </c>
      <c r="D151" s="18">
        <f t="shared" si="31"/>
        <v>1.584452641983925E-4</v>
      </c>
      <c r="E151">
        <f t="shared" si="32"/>
        <v>4.6609784476459026E-8</v>
      </c>
      <c r="F151">
        <f t="shared" si="38"/>
        <v>-9.4369170255959034E-9</v>
      </c>
      <c r="G151">
        <f t="shared" si="39"/>
        <v>4.6609784476459026E-8</v>
      </c>
      <c r="L151" s="7">
        <f t="shared" si="33"/>
        <v>4.9720262030229161E-2</v>
      </c>
      <c r="M151" s="7">
        <f t="shared" si="34"/>
        <v>4.9720262030229168E-2</v>
      </c>
      <c r="N151" s="20">
        <f t="shared" si="28"/>
        <v>4.9720262030229168E-2</v>
      </c>
      <c r="O151">
        <f t="shared" si="35"/>
        <v>5.8207660913467407E-10</v>
      </c>
      <c r="P151">
        <f t="shared" si="36"/>
        <v>-3.4924596548080444E-10</v>
      </c>
      <c r="Q151">
        <f t="shared" si="37"/>
        <v>-3.4924596548080444E-10</v>
      </c>
    </row>
    <row r="152" spans="2:17" x14ac:dyDescent="0.25">
      <c r="B152" s="21">
        <f t="shared" si="29"/>
        <v>1.584452641983925E-4</v>
      </c>
      <c r="C152" s="18">
        <f t="shared" si="30"/>
        <v>1.5844526419839253E-4</v>
      </c>
      <c r="D152" s="18">
        <f t="shared" si="31"/>
        <v>1.584452641983925E-4</v>
      </c>
      <c r="E152">
        <f t="shared" si="32"/>
        <v>4.6609784476459026E-8</v>
      </c>
      <c r="F152">
        <f t="shared" si="38"/>
        <v>-9.4369170255959034E-9</v>
      </c>
      <c r="G152">
        <f t="shared" si="39"/>
        <v>4.6609784476459026E-8</v>
      </c>
      <c r="L152" s="7">
        <f t="shared" si="33"/>
        <v>4.9720262030229161E-2</v>
      </c>
      <c r="M152" s="7">
        <f t="shared" si="34"/>
        <v>4.9720262030229168E-2</v>
      </c>
      <c r="N152" s="20">
        <f t="shared" si="28"/>
        <v>4.9720262030229168E-2</v>
      </c>
      <c r="O152">
        <f t="shared" si="35"/>
        <v>5.8207660913467407E-10</v>
      </c>
      <c r="P152">
        <f t="shared" si="36"/>
        <v>-3.4924596548080444E-10</v>
      </c>
      <c r="Q152">
        <f t="shared" si="37"/>
        <v>-3.4924596548080444E-10</v>
      </c>
    </row>
    <row r="153" spans="2:17" x14ac:dyDescent="0.25">
      <c r="B153" s="21">
        <f t="shared" si="29"/>
        <v>1.584452641983925E-4</v>
      </c>
      <c r="C153" s="18">
        <f t="shared" si="30"/>
        <v>1.5844526419839253E-4</v>
      </c>
      <c r="D153" s="18">
        <f t="shared" si="31"/>
        <v>1.584452641983925E-4</v>
      </c>
      <c r="E153">
        <f t="shared" si="32"/>
        <v>4.6609784476459026E-8</v>
      </c>
      <c r="F153">
        <f t="shared" si="38"/>
        <v>-9.4369170255959034E-9</v>
      </c>
      <c r="G153">
        <f t="shared" si="39"/>
        <v>4.6609784476459026E-8</v>
      </c>
      <c r="L153" s="7">
        <f t="shared" si="33"/>
        <v>4.9720262030229161E-2</v>
      </c>
      <c r="M153" s="7">
        <f t="shared" si="34"/>
        <v>4.9720262030229168E-2</v>
      </c>
      <c r="N153" s="20">
        <f t="shared" ref="N153:N216" si="40">(L153+M153)/2</f>
        <v>4.9720262030229168E-2</v>
      </c>
      <c r="O153">
        <f t="shared" si="35"/>
        <v>5.8207660913467407E-10</v>
      </c>
      <c r="P153">
        <f t="shared" si="36"/>
        <v>-3.4924596548080444E-10</v>
      </c>
      <c r="Q153">
        <f t="shared" si="37"/>
        <v>-3.4924596548080444E-10</v>
      </c>
    </row>
    <row r="154" spans="2:17" x14ac:dyDescent="0.25">
      <c r="B154" s="21">
        <f t="shared" ref="B154:B217" si="41">IF(E153*G153&lt;0,B153,D153)</f>
        <v>1.584452641983925E-4</v>
      </c>
      <c r="C154" s="18">
        <f t="shared" ref="C154:C217" si="42">IF(F153*G153&lt;0,C153,D153)</f>
        <v>1.5844526419839253E-4</v>
      </c>
      <c r="D154" s="18">
        <f t="shared" ref="D154:D217" si="43">(B154+C154)/2</f>
        <v>1.584452641983925E-4</v>
      </c>
      <c r="E154">
        <f t="shared" ref="E154:E217" si="44">IF($G$8 = "Future Value",$C$5-($D$5*(((1+B154)^($F$5*$G$5)-1)/B154)),$H$5-$D$5*((1-(1+B154)^(-1*$F$5*$G$5))/B154))</f>
        <v>4.6609784476459026E-8</v>
      </c>
      <c r="F154">
        <f t="shared" si="38"/>
        <v>-9.4369170255959034E-9</v>
      </c>
      <c r="G154">
        <f t="shared" si="39"/>
        <v>4.6609784476459026E-8</v>
      </c>
      <c r="L154" s="7">
        <f t="shared" ref="L154:L217" si="45">IF(O153*Q153&lt;0,L153,N153)</f>
        <v>4.9720262030229161E-2</v>
      </c>
      <c r="M154" s="7">
        <f t="shared" ref="M154:M217" si="46">IF(P153*Q153&lt;0,M153,N153)</f>
        <v>4.9720262030229168E-2</v>
      </c>
      <c r="N154" s="20">
        <f t="shared" si="40"/>
        <v>4.9720262030229168E-2</v>
      </c>
      <c r="O154">
        <f t="shared" ref="O154:O217" si="47">IF($Q$8 = "Future Value",$M$5-($N$5*(1+L154)*(((1+L154)^($P$5*$Q$5)-1)/L154)),$R$5-$N$5*(1+L154)*((1-(1+L154)^(-1*$P$5*$Q$5))/L154))</f>
        <v>5.8207660913467407E-10</v>
      </c>
      <c r="P154">
        <f t="shared" ref="P154:P217" si="48">IF($Q$8 = "Future Value",$M$5-($N$5*(1+M154)*(((1+M154)^($P$5*$Q$5)-1)/M154)),$R$5-$N$5*(1+M154)*((1-(1+M154)^(-1*$P$5*$Q$5))/M154))</f>
        <v>-3.4924596548080444E-10</v>
      </c>
      <c r="Q154">
        <f t="shared" ref="Q154:Q217" si="49">IF($Q$8 = "Future Value",$M$5-($N$5*(1+N154)*(((1+N154)^($P$5*$Q$5)-1)/N154)),$R$5-$N$5*(1+N154)*((1-(1+N154)^(-1*$P$5*$Q$5))/N154))</f>
        <v>-3.4924596548080444E-10</v>
      </c>
    </row>
    <row r="155" spans="2:17" x14ac:dyDescent="0.25">
      <c r="B155" s="21">
        <f t="shared" si="41"/>
        <v>1.584452641983925E-4</v>
      </c>
      <c r="C155" s="18">
        <f t="shared" si="42"/>
        <v>1.5844526419839253E-4</v>
      </c>
      <c r="D155" s="18">
        <f t="shared" si="43"/>
        <v>1.584452641983925E-4</v>
      </c>
      <c r="E155">
        <f t="shared" si="44"/>
        <v>4.6609784476459026E-8</v>
      </c>
      <c r="F155">
        <f t="shared" ref="F155:F218" si="50">IF($G$8 = "Future Value",$C$5-($D$5*(((1+C155)^($F$5*$G$5)-1)/C155)),$H$5-$D$5*((1-(1+C155)^(-1*$F$5*$G$5))/C155))</f>
        <v>-9.4369170255959034E-9</v>
      </c>
      <c r="G155">
        <f t="shared" ref="G155:G218" si="51">IF($G$8 = "Future Value",$C$5-($D$5*(((1+D155)^($F$5*$G$5)-1)/D155)),$H$5-$D$5*((1-(1+D155)^(-1*$F$5*$G$5))/D155))</f>
        <v>4.6609784476459026E-8</v>
      </c>
      <c r="L155" s="7">
        <f t="shared" si="45"/>
        <v>4.9720262030229161E-2</v>
      </c>
      <c r="M155" s="7">
        <f t="shared" si="46"/>
        <v>4.9720262030229168E-2</v>
      </c>
      <c r="N155" s="20">
        <f t="shared" si="40"/>
        <v>4.9720262030229168E-2</v>
      </c>
      <c r="O155">
        <f t="shared" si="47"/>
        <v>5.8207660913467407E-10</v>
      </c>
      <c r="P155">
        <f t="shared" si="48"/>
        <v>-3.4924596548080444E-10</v>
      </c>
      <c r="Q155">
        <f t="shared" si="49"/>
        <v>-3.4924596548080444E-10</v>
      </c>
    </row>
    <row r="156" spans="2:17" x14ac:dyDescent="0.25">
      <c r="B156" s="21">
        <f t="shared" si="41"/>
        <v>1.584452641983925E-4</v>
      </c>
      <c r="C156" s="18">
        <f t="shared" si="42"/>
        <v>1.5844526419839253E-4</v>
      </c>
      <c r="D156" s="18">
        <f t="shared" si="43"/>
        <v>1.584452641983925E-4</v>
      </c>
      <c r="E156">
        <f t="shared" si="44"/>
        <v>4.6609784476459026E-8</v>
      </c>
      <c r="F156">
        <f t="shared" si="50"/>
        <v>-9.4369170255959034E-9</v>
      </c>
      <c r="G156">
        <f t="shared" si="51"/>
        <v>4.6609784476459026E-8</v>
      </c>
      <c r="L156" s="7">
        <f t="shared" si="45"/>
        <v>4.9720262030229161E-2</v>
      </c>
      <c r="M156" s="7">
        <f t="shared" si="46"/>
        <v>4.9720262030229168E-2</v>
      </c>
      <c r="N156" s="20">
        <f t="shared" si="40"/>
        <v>4.9720262030229168E-2</v>
      </c>
      <c r="O156">
        <f t="shared" si="47"/>
        <v>5.8207660913467407E-10</v>
      </c>
      <c r="P156">
        <f t="shared" si="48"/>
        <v>-3.4924596548080444E-10</v>
      </c>
      <c r="Q156">
        <f t="shared" si="49"/>
        <v>-3.4924596548080444E-10</v>
      </c>
    </row>
    <row r="157" spans="2:17" x14ac:dyDescent="0.25">
      <c r="B157" s="21">
        <f t="shared" si="41"/>
        <v>1.584452641983925E-4</v>
      </c>
      <c r="C157" s="18">
        <f t="shared" si="42"/>
        <v>1.5844526419839253E-4</v>
      </c>
      <c r="D157" s="18">
        <f t="shared" si="43"/>
        <v>1.584452641983925E-4</v>
      </c>
      <c r="E157">
        <f t="shared" si="44"/>
        <v>4.6609784476459026E-8</v>
      </c>
      <c r="F157">
        <f t="shared" si="50"/>
        <v>-9.4369170255959034E-9</v>
      </c>
      <c r="G157">
        <f t="shared" si="51"/>
        <v>4.6609784476459026E-8</v>
      </c>
      <c r="L157" s="7">
        <f t="shared" si="45"/>
        <v>4.9720262030229161E-2</v>
      </c>
      <c r="M157" s="7">
        <f t="shared" si="46"/>
        <v>4.9720262030229168E-2</v>
      </c>
      <c r="N157" s="20">
        <f t="shared" si="40"/>
        <v>4.9720262030229168E-2</v>
      </c>
      <c r="O157">
        <f t="shared" si="47"/>
        <v>5.8207660913467407E-10</v>
      </c>
      <c r="P157">
        <f t="shared" si="48"/>
        <v>-3.4924596548080444E-10</v>
      </c>
      <c r="Q157">
        <f t="shared" si="49"/>
        <v>-3.4924596548080444E-10</v>
      </c>
    </row>
    <row r="158" spans="2:17" x14ac:dyDescent="0.25">
      <c r="B158" s="21">
        <f t="shared" si="41"/>
        <v>1.584452641983925E-4</v>
      </c>
      <c r="C158" s="18">
        <f t="shared" si="42"/>
        <v>1.5844526419839253E-4</v>
      </c>
      <c r="D158" s="18">
        <f t="shared" si="43"/>
        <v>1.584452641983925E-4</v>
      </c>
      <c r="E158">
        <f t="shared" si="44"/>
        <v>4.6609784476459026E-8</v>
      </c>
      <c r="F158">
        <f t="shared" si="50"/>
        <v>-9.4369170255959034E-9</v>
      </c>
      <c r="G158">
        <f t="shared" si="51"/>
        <v>4.6609784476459026E-8</v>
      </c>
      <c r="L158" s="7">
        <f t="shared" si="45"/>
        <v>4.9720262030229161E-2</v>
      </c>
      <c r="M158" s="7">
        <f t="shared" si="46"/>
        <v>4.9720262030229168E-2</v>
      </c>
      <c r="N158" s="20">
        <f t="shared" si="40"/>
        <v>4.9720262030229168E-2</v>
      </c>
      <c r="O158">
        <f t="shared" si="47"/>
        <v>5.8207660913467407E-10</v>
      </c>
      <c r="P158">
        <f t="shared" si="48"/>
        <v>-3.4924596548080444E-10</v>
      </c>
      <c r="Q158">
        <f t="shared" si="49"/>
        <v>-3.4924596548080444E-10</v>
      </c>
    </row>
    <row r="159" spans="2:17" x14ac:dyDescent="0.25">
      <c r="B159" s="21">
        <f t="shared" si="41"/>
        <v>1.584452641983925E-4</v>
      </c>
      <c r="C159" s="18">
        <f t="shared" si="42"/>
        <v>1.5844526419839253E-4</v>
      </c>
      <c r="D159" s="18">
        <f t="shared" si="43"/>
        <v>1.584452641983925E-4</v>
      </c>
      <c r="E159">
        <f t="shared" si="44"/>
        <v>4.6609784476459026E-8</v>
      </c>
      <c r="F159">
        <f t="shared" si="50"/>
        <v>-9.4369170255959034E-9</v>
      </c>
      <c r="G159">
        <f t="shared" si="51"/>
        <v>4.6609784476459026E-8</v>
      </c>
      <c r="L159" s="7">
        <f t="shared" si="45"/>
        <v>4.9720262030229161E-2</v>
      </c>
      <c r="M159" s="7">
        <f t="shared" si="46"/>
        <v>4.9720262030229168E-2</v>
      </c>
      <c r="N159" s="20">
        <f t="shared" si="40"/>
        <v>4.9720262030229168E-2</v>
      </c>
      <c r="O159">
        <f t="shared" si="47"/>
        <v>5.8207660913467407E-10</v>
      </c>
      <c r="P159">
        <f t="shared" si="48"/>
        <v>-3.4924596548080444E-10</v>
      </c>
      <c r="Q159">
        <f t="shared" si="49"/>
        <v>-3.4924596548080444E-10</v>
      </c>
    </row>
    <row r="160" spans="2:17" x14ac:dyDescent="0.25">
      <c r="B160" s="21">
        <f t="shared" si="41"/>
        <v>1.584452641983925E-4</v>
      </c>
      <c r="C160" s="18">
        <f t="shared" si="42"/>
        <v>1.5844526419839253E-4</v>
      </c>
      <c r="D160" s="18">
        <f t="shared" si="43"/>
        <v>1.584452641983925E-4</v>
      </c>
      <c r="E160">
        <f t="shared" si="44"/>
        <v>4.6609784476459026E-8</v>
      </c>
      <c r="F160">
        <f t="shared" si="50"/>
        <v>-9.4369170255959034E-9</v>
      </c>
      <c r="G160">
        <f t="shared" si="51"/>
        <v>4.6609784476459026E-8</v>
      </c>
      <c r="L160" s="7">
        <f t="shared" si="45"/>
        <v>4.9720262030229161E-2</v>
      </c>
      <c r="M160" s="7">
        <f t="shared" si="46"/>
        <v>4.9720262030229168E-2</v>
      </c>
      <c r="N160" s="20">
        <f t="shared" si="40"/>
        <v>4.9720262030229168E-2</v>
      </c>
      <c r="O160">
        <f t="shared" si="47"/>
        <v>5.8207660913467407E-10</v>
      </c>
      <c r="P160">
        <f t="shared" si="48"/>
        <v>-3.4924596548080444E-10</v>
      </c>
      <c r="Q160">
        <f t="shared" si="49"/>
        <v>-3.4924596548080444E-10</v>
      </c>
    </row>
    <row r="161" spans="2:17" x14ac:dyDescent="0.25">
      <c r="B161" s="21">
        <f t="shared" si="41"/>
        <v>1.584452641983925E-4</v>
      </c>
      <c r="C161" s="18">
        <f t="shared" si="42"/>
        <v>1.5844526419839253E-4</v>
      </c>
      <c r="D161" s="18">
        <f t="shared" si="43"/>
        <v>1.584452641983925E-4</v>
      </c>
      <c r="E161">
        <f t="shared" si="44"/>
        <v>4.6609784476459026E-8</v>
      </c>
      <c r="F161">
        <f t="shared" si="50"/>
        <v>-9.4369170255959034E-9</v>
      </c>
      <c r="G161">
        <f t="shared" si="51"/>
        <v>4.6609784476459026E-8</v>
      </c>
      <c r="L161" s="7">
        <f t="shared" si="45"/>
        <v>4.9720262030229161E-2</v>
      </c>
      <c r="M161" s="7">
        <f t="shared" si="46"/>
        <v>4.9720262030229168E-2</v>
      </c>
      <c r="N161" s="20">
        <f t="shared" si="40"/>
        <v>4.9720262030229168E-2</v>
      </c>
      <c r="O161">
        <f t="shared" si="47"/>
        <v>5.8207660913467407E-10</v>
      </c>
      <c r="P161">
        <f t="shared" si="48"/>
        <v>-3.4924596548080444E-10</v>
      </c>
      <c r="Q161">
        <f t="shared" si="49"/>
        <v>-3.4924596548080444E-10</v>
      </c>
    </row>
    <row r="162" spans="2:17" x14ac:dyDescent="0.25">
      <c r="B162" s="21">
        <f t="shared" si="41"/>
        <v>1.584452641983925E-4</v>
      </c>
      <c r="C162" s="18">
        <f t="shared" si="42"/>
        <v>1.5844526419839253E-4</v>
      </c>
      <c r="D162" s="18">
        <f t="shared" si="43"/>
        <v>1.584452641983925E-4</v>
      </c>
      <c r="E162">
        <f t="shared" si="44"/>
        <v>4.6609784476459026E-8</v>
      </c>
      <c r="F162">
        <f t="shared" si="50"/>
        <v>-9.4369170255959034E-9</v>
      </c>
      <c r="G162">
        <f t="shared" si="51"/>
        <v>4.6609784476459026E-8</v>
      </c>
      <c r="L162" s="7">
        <f t="shared" si="45"/>
        <v>4.9720262030229161E-2</v>
      </c>
      <c r="M162" s="7">
        <f t="shared" si="46"/>
        <v>4.9720262030229168E-2</v>
      </c>
      <c r="N162" s="20">
        <f t="shared" si="40"/>
        <v>4.9720262030229168E-2</v>
      </c>
      <c r="O162">
        <f t="shared" si="47"/>
        <v>5.8207660913467407E-10</v>
      </c>
      <c r="P162">
        <f t="shared" si="48"/>
        <v>-3.4924596548080444E-10</v>
      </c>
      <c r="Q162">
        <f t="shared" si="49"/>
        <v>-3.4924596548080444E-10</v>
      </c>
    </row>
    <row r="163" spans="2:17" x14ac:dyDescent="0.25">
      <c r="B163" s="21">
        <f t="shared" si="41"/>
        <v>1.584452641983925E-4</v>
      </c>
      <c r="C163" s="18">
        <f t="shared" si="42"/>
        <v>1.5844526419839253E-4</v>
      </c>
      <c r="D163" s="18">
        <f t="shared" si="43"/>
        <v>1.584452641983925E-4</v>
      </c>
      <c r="E163">
        <f t="shared" si="44"/>
        <v>4.6609784476459026E-8</v>
      </c>
      <c r="F163">
        <f t="shared" si="50"/>
        <v>-9.4369170255959034E-9</v>
      </c>
      <c r="G163">
        <f t="shared" si="51"/>
        <v>4.6609784476459026E-8</v>
      </c>
      <c r="L163" s="7">
        <f t="shared" si="45"/>
        <v>4.9720262030229161E-2</v>
      </c>
      <c r="M163" s="7">
        <f t="shared" si="46"/>
        <v>4.9720262030229168E-2</v>
      </c>
      <c r="N163" s="20">
        <f t="shared" si="40"/>
        <v>4.9720262030229168E-2</v>
      </c>
      <c r="O163">
        <f t="shared" si="47"/>
        <v>5.8207660913467407E-10</v>
      </c>
      <c r="P163">
        <f t="shared" si="48"/>
        <v>-3.4924596548080444E-10</v>
      </c>
      <c r="Q163">
        <f t="shared" si="49"/>
        <v>-3.4924596548080444E-10</v>
      </c>
    </row>
    <row r="164" spans="2:17" x14ac:dyDescent="0.25">
      <c r="B164" s="21">
        <f t="shared" si="41"/>
        <v>1.584452641983925E-4</v>
      </c>
      <c r="C164" s="18">
        <f t="shared" si="42"/>
        <v>1.5844526419839253E-4</v>
      </c>
      <c r="D164" s="18">
        <f t="shared" si="43"/>
        <v>1.584452641983925E-4</v>
      </c>
      <c r="E164">
        <f t="shared" si="44"/>
        <v>4.6609784476459026E-8</v>
      </c>
      <c r="F164">
        <f t="shared" si="50"/>
        <v>-9.4369170255959034E-9</v>
      </c>
      <c r="G164">
        <f t="shared" si="51"/>
        <v>4.6609784476459026E-8</v>
      </c>
      <c r="L164" s="7">
        <f t="shared" si="45"/>
        <v>4.9720262030229161E-2</v>
      </c>
      <c r="M164" s="7">
        <f t="shared" si="46"/>
        <v>4.9720262030229168E-2</v>
      </c>
      <c r="N164" s="20">
        <f t="shared" si="40"/>
        <v>4.9720262030229168E-2</v>
      </c>
      <c r="O164">
        <f t="shared" si="47"/>
        <v>5.8207660913467407E-10</v>
      </c>
      <c r="P164">
        <f t="shared" si="48"/>
        <v>-3.4924596548080444E-10</v>
      </c>
      <c r="Q164">
        <f t="shared" si="49"/>
        <v>-3.4924596548080444E-10</v>
      </c>
    </row>
    <row r="165" spans="2:17" x14ac:dyDescent="0.25">
      <c r="B165" s="21">
        <f t="shared" si="41"/>
        <v>1.584452641983925E-4</v>
      </c>
      <c r="C165" s="18">
        <f t="shared" si="42"/>
        <v>1.5844526419839253E-4</v>
      </c>
      <c r="D165" s="18">
        <f t="shared" si="43"/>
        <v>1.584452641983925E-4</v>
      </c>
      <c r="E165">
        <f t="shared" si="44"/>
        <v>4.6609784476459026E-8</v>
      </c>
      <c r="F165">
        <f t="shared" si="50"/>
        <v>-9.4369170255959034E-9</v>
      </c>
      <c r="G165">
        <f t="shared" si="51"/>
        <v>4.6609784476459026E-8</v>
      </c>
      <c r="L165" s="7">
        <f t="shared" si="45"/>
        <v>4.9720262030229161E-2</v>
      </c>
      <c r="M165" s="7">
        <f t="shared" si="46"/>
        <v>4.9720262030229168E-2</v>
      </c>
      <c r="N165" s="20">
        <f t="shared" si="40"/>
        <v>4.9720262030229168E-2</v>
      </c>
      <c r="O165">
        <f t="shared" si="47"/>
        <v>5.8207660913467407E-10</v>
      </c>
      <c r="P165">
        <f t="shared" si="48"/>
        <v>-3.4924596548080444E-10</v>
      </c>
      <c r="Q165">
        <f t="shared" si="49"/>
        <v>-3.4924596548080444E-10</v>
      </c>
    </row>
    <row r="166" spans="2:17" x14ac:dyDescent="0.25">
      <c r="B166" s="21">
        <f t="shared" si="41"/>
        <v>1.584452641983925E-4</v>
      </c>
      <c r="C166" s="18">
        <f t="shared" si="42"/>
        <v>1.5844526419839253E-4</v>
      </c>
      <c r="D166" s="18">
        <f t="shared" si="43"/>
        <v>1.584452641983925E-4</v>
      </c>
      <c r="E166">
        <f t="shared" si="44"/>
        <v>4.6609784476459026E-8</v>
      </c>
      <c r="F166">
        <f t="shared" si="50"/>
        <v>-9.4369170255959034E-9</v>
      </c>
      <c r="G166">
        <f t="shared" si="51"/>
        <v>4.6609784476459026E-8</v>
      </c>
      <c r="L166" s="7">
        <f t="shared" si="45"/>
        <v>4.9720262030229161E-2</v>
      </c>
      <c r="M166" s="7">
        <f t="shared" si="46"/>
        <v>4.9720262030229168E-2</v>
      </c>
      <c r="N166" s="20">
        <f t="shared" si="40"/>
        <v>4.9720262030229168E-2</v>
      </c>
      <c r="O166">
        <f t="shared" si="47"/>
        <v>5.8207660913467407E-10</v>
      </c>
      <c r="P166">
        <f t="shared" si="48"/>
        <v>-3.4924596548080444E-10</v>
      </c>
      <c r="Q166">
        <f t="shared" si="49"/>
        <v>-3.4924596548080444E-10</v>
      </c>
    </row>
    <row r="167" spans="2:17" x14ac:dyDescent="0.25">
      <c r="B167" s="21">
        <f t="shared" si="41"/>
        <v>1.584452641983925E-4</v>
      </c>
      <c r="C167" s="18">
        <f t="shared" si="42"/>
        <v>1.5844526419839253E-4</v>
      </c>
      <c r="D167" s="18">
        <f t="shared" si="43"/>
        <v>1.584452641983925E-4</v>
      </c>
      <c r="E167">
        <f t="shared" si="44"/>
        <v>4.6609784476459026E-8</v>
      </c>
      <c r="F167">
        <f t="shared" si="50"/>
        <v>-9.4369170255959034E-9</v>
      </c>
      <c r="G167">
        <f t="shared" si="51"/>
        <v>4.6609784476459026E-8</v>
      </c>
      <c r="L167" s="7">
        <f t="shared" si="45"/>
        <v>4.9720262030229161E-2</v>
      </c>
      <c r="M167" s="7">
        <f t="shared" si="46"/>
        <v>4.9720262030229168E-2</v>
      </c>
      <c r="N167" s="20">
        <f t="shared" si="40"/>
        <v>4.9720262030229168E-2</v>
      </c>
      <c r="O167">
        <f t="shared" si="47"/>
        <v>5.8207660913467407E-10</v>
      </c>
      <c r="P167">
        <f t="shared" si="48"/>
        <v>-3.4924596548080444E-10</v>
      </c>
      <c r="Q167">
        <f t="shared" si="49"/>
        <v>-3.4924596548080444E-10</v>
      </c>
    </row>
    <row r="168" spans="2:17" x14ac:dyDescent="0.25">
      <c r="B168" s="21">
        <f t="shared" si="41"/>
        <v>1.584452641983925E-4</v>
      </c>
      <c r="C168" s="18">
        <f t="shared" si="42"/>
        <v>1.5844526419839253E-4</v>
      </c>
      <c r="D168" s="18">
        <f t="shared" si="43"/>
        <v>1.584452641983925E-4</v>
      </c>
      <c r="E168">
        <f t="shared" si="44"/>
        <v>4.6609784476459026E-8</v>
      </c>
      <c r="F168">
        <f t="shared" si="50"/>
        <v>-9.4369170255959034E-9</v>
      </c>
      <c r="G168">
        <f t="shared" si="51"/>
        <v>4.6609784476459026E-8</v>
      </c>
      <c r="L168" s="7">
        <f t="shared" si="45"/>
        <v>4.9720262030229161E-2</v>
      </c>
      <c r="M168" s="7">
        <f t="shared" si="46"/>
        <v>4.9720262030229168E-2</v>
      </c>
      <c r="N168" s="20">
        <f t="shared" si="40"/>
        <v>4.9720262030229168E-2</v>
      </c>
      <c r="O168">
        <f t="shared" si="47"/>
        <v>5.8207660913467407E-10</v>
      </c>
      <c r="P168">
        <f t="shared" si="48"/>
        <v>-3.4924596548080444E-10</v>
      </c>
      <c r="Q168">
        <f t="shared" si="49"/>
        <v>-3.4924596548080444E-10</v>
      </c>
    </row>
    <row r="169" spans="2:17" x14ac:dyDescent="0.25">
      <c r="B169" s="21">
        <f t="shared" si="41"/>
        <v>1.584452641983925E-4</v>
      </c>
      <c r="C169" s="18">
        <f t="shared" si="42"/>
        <v>1.5844526419839253E-4</v>
      </c>
      <c r="D169" s="18">
        <f t="shared" si="43"/>
        <v>1.584452641983925E-4</v>
      </c>
      <c r="E169">
        <f t="shared" si="44"/>
        <v>4.6609784476459026E-8</v>
      </c>
      <c r="F169">
        <f t="shared" si="50"/>
        <v>-9.4369170255959034E-9</v>
      </c>
      <c r="G169">
        <f t="shared" si="51"/>
        <v>4.6609784476459026E-8</v>
      </c>
      <c r="L169" s="7">
        <f t="shared" si="45"/>
        <v>4.9720262030229161E-2</v>
      </c>
      <c r="M169" s="7">
        <f t="shared" si="46"/>
        <v>4.9720262030229168E-2</v>
      </c>
      <c r="N169" s="20">
        <f t="shared" si="40"/>
        <v>4.9720262030229168E-2</v>
      </c>
      <c r="O169">
        <f t="shared" si="47"/>
        <v>5.8207660913467407E-10</v>
      </c>
      <c r="P169">
        <f t="shared" si="48"/>
        <v>-3.4924596548080444E-10</v>
      </c>
      <c r="Q169">
        <f t="shared" si="49"/>
        <v>-3.4924596548080444E-10</v>
      </c>
    </row>
    <row r="170" spans="2:17" x14ac:dyDescent="0.25">
      <c r="B170" s="21">
        <f t="shared" si="41"/>
        <v>1.584452641983925E-4</v>
      </c>
      <c r="C170" s="18">
        <f t="shared" si="42"/>
        <v>1.5844526419839253E-4</v>
      </c>
      <c r="D170" s="18">
        <f t="shared" si="43"/>
        <v>1.584452641983925E-4</v>
      </c>
      <c r="E170">
        <f t="shared" si="44"/>
        <v>4.6609784476459026E-8</v>
      </c>
      <c r="F170">
        <f t="shared" si="50"/>
        <v>-9.4369170255959034E-9</v>
      </c>
      <c r="G170">
        <f t="shared" si="51"/>
        <v>4.6609784476459026E-8</v>
      </c>
      <c r="L170" s="7">
        <f t="shared" si="45"/>
        <v>4.9720262030229161E-2</v>
      </c>
      <c r="M170" s="7">
        <f t="shared" si="46"/>
        <v>4.9720262030229168E-2</v>
      </c>
      <c r="N170" s="20">
        <f t="shared" si="40"/>
        <v>4.9720262030229168E-2</v>
      </c>
      <c r="O170">
        <f t="shared" si="47"/>
        <v>5.8207660913467407E-10</v>
      </c>
      <c r="P170">
        <f t="shared" si="48"/>
        <v>-3.4924596548080444E-10</v>
      </c>
      <c r="Q170">
        <f t="shared" si="49"/>
        <v>-3.4924596548080444E-10</v>
      </c>
    </row>
    <row r="171" spans="2:17" x14ac:dyDescent="0.25">
      <c r="B171" s="21">
        <f t="shared" si="41"/>
        <v>1.584452641983925E-4</v>
      </c>
      <c r="C171" s="18">
        <f t="shared" si="42"/>
        <v>1.5844526419839253E-4</v>
      </c>
      <c r="D171" s="18">
        <f t="shared" si="43"/>
        <v>1.584452641983925E-4</v>
      </c>
      <c r="E171">
        <f t="shared" si="44"/>
        <v>4.6609784476459026E-8</v>
      </c>
      <c r="F171">
        <f t="shared" si="50"/>
        <v>-9.4369170255959034E-9</v>
      </c>
      <c r="G171">
        <f t="shared" si="51"/>
        <v>4.6609784476459026E-8</v>
      </c>
      <c r="L171" s="7">
        <f t="shared" si="45"/>
        <v>4.9720262030229161E-2</v>
      </c>
      <c r="M171" s="7">
        <f t="shared" si="46"/>
        <v>4.9720262030229168E-2</v>
      </c>
      <c r="N171" s="20">
        <f t="shared" si="40"/>
        <v>4.9720262030229168E-2</v>
      </c>
      <c r="O171">
        <f t="shared" si="47"/>
        <v>5.8207660913467407E-10</v>
      </c>
      <c r="P171">
        <f t="shared" si="48"/>
        <v>-3.4924596548080444E-10</v>
      </c>
      <c r="Q171">
        <f t="shared" si="49"/>
        <v>-3.4924596548080444E-10</v>
      </c>
    </row>
    <row r="172" spans="2:17" x14ac:dyDescent="0.25">
      <c r="B172" s="21">
        <f t="shared" si="41"/>
        <v>1.584452641983925E-4</v>
      </c>
      <c r="C172" s="18">
        <f t="shared" si="42"/>
        <v>1.5844526419839253E-4</v>
      </c>
      <c r="D172" s="18">
        <f t="shared" si="43"/>
        <v>1.584452641983925E-4</v>
      </c>
      <c r="E172">
        <f t="shared" si="44"/>
        <v>4.6609784476459026E-8</v>
      </c>
      <c r="F172">
        <f t="shared" si="50"/>
        <v>-9.4369170255959034E-9</v>
      </c>
      <c r="G172">
        <f t="shared" si="51"/>
        <v>4.6609784476459026E-8</v>
      </c>
      <c r="L172" s="7">
        <f t="shared" si="45"/>
        <v>4.9720262030229161E-2</v>
      </c>
      <c r="M172" s="7">
        <f t="shared" si="46"/>
        <v>4.9720262030229168E-2</v>
      </c>
      <c r="N172" s="20">
        <f t="shared" si="40"/>
        <v>4.9720262030229168E-2</v>
      </c>
      <c r="O172">
        <f t="shared" si="47"/>
        <v>5.8207660913467407E-10</v>
      </c>
      <c r="P172">
        <f t="shared" si="48"/>
        <v>-3.4924596548080444E-10</v>
      </c>
      <c r="Q172">
        <f t="shared" si="49"/>
        <v>-3.4924596548080444E-10</v>
      </c>
    </row>
    <row r="173" spans="2:17" x14ac:dyDescent="0.25">
      <c r="B173" s="21">
        <f t="shared" si="41"/>
        <v>1.584452641983925E-4</v>
      </c>
      <c r="C173" s="18">
        <f t="shared" si="42"/>
        <v>1.5844526419839253E-4</v>
      </c>
      <c r="D173" s="18">
        <f t="shared" si="43"/>
        <v>1.584452641983925E-4</v>
      </c>
      <c r="E173">
        <f t="shared" si="44"/>
        <v>4.6609784476459026E-8</v>
      </c>
      <c r="F173">
        <f t="shared" si="50"/>
        <v>-9.4369170255959034E-9</v>
      </c>
      <c r="G173">
        <f t="shared" si="51"/>
        <v>4.6609784476459026E-8</v>
      </c>
      <c r="L173" s="7">
        <f t="shared" si="45"/>
        <v>4.9720262030229161E-2</v>
      </c>
      <c r="M173" s="7">
        <f t="shared" si="46"/>
        <v>4.9720262030229168E-2</v>
      </c>
      <c r="N173" s="20">
        <f t="shared" si="40"/>
        <v>4.9720262030229168E-2</v>
      </c>
      <c r="O173">
        <f t="shared" si="47"/>
        <v>5.8207660913467407E-10</v>
      </c>
      <c r="P173">
        <f t="shared" si="48"/>
        <v>-3.4924596548080444E-10</v>
      </c>
      <c r="Q173">
        <f t="shared" si="49"/>
        <v>-3.4924596548080444E-10</v>
      </c>
    </row>
    <row r="174" spans="2:17" x14ac:dyDescent="0.25">
      <c r="B174" s="21">
        <f t="shared" si="41"/>
        <v>1.584452641983925E-4</v>
      </c>
      <c r="C174" s="18">
        <f t="shared" si="42"/>
        <v>1.5844526419839253E-4</v>
      </c>
      <c r="D174" s="18">
        <f t="shared" si="43"/>
        <v>1.584452641983925E-4</v>
      </c>
      <c r="E174">
        <f t="shared" si="44"/>
        <v>4.6609784476459026E-8</v>
      </c>
      <c r="F174">
        <f t="shared" si="50"/>
        <v>-9.4369170255959034E-9</v>
      </c>
      <c r="G174">
        <f t="shared" si="51"/>
        <v>4.6609784476459026E-8</v>
      </c>
      <c r="L174" s="7">
        <f t="shared" si="45"/>
        <v>4.9720262030229161E-2</v>
      </c>
      <c r="M174" s="7">
        <f t="shared" si="46"/>
        <v>4.9720262030229168E-2</v>
      </c>
      <c r="N174" s="20">
        <f t="shared" si="40"/>
        <v>4.9720262030229168E-2</v>
      </c>
      <c r="O174">
        <f t="shared" si="47"/>
        <v>5.8207660913467407E-10</v>
      </c>
      <c r="P174">
        <f t="shared" si="48"/>
        <v>-3.4924596548080444E-10</v>
      </c>
      <c r="Q174">
        <f t="shared" si="49"/>
        <v>-3.4924596548080444E-10</v>
      </c>
    </row>
    <row r="175" spans="2:17" x14ac:dyDescent="0.25">
      <c r="B175" s="21">
        <f t="shared" si="41"/>
        <v>1.584452641983925E-4</v>
      </c>
      <c r="C175" s="18">
        <f t="shared" si="42"/>
        <v>1.5844526419839253E-4</v>
      </c>
      <c r="D175" s="18">
        <f t="shared" si="43"/>
        <v>1.584452641983925E-4</v>
      </c>
      <c r="E175">
        <f t="shared" si="44"/>
        <v>4.6609784476459026E-8</v>
      </c>
      <c r="F175">
        <f t="shared" si="50"/>
        <v>-9.4369170255959034E-9</v>
      </c>
      <c r="G175">
        <f t="shared" si="51"/>
        <v>4.6609784476459026E-8</v>
      </c>
      <c r="L175" s="7">
        <f t="shared" si="45"/>
        <v>4.9720262030229161E-2</v>
      </c>
      <c r="M175" s="7">
        <f t="shared" si="46"/>
        <v>4.9720262030229168E-2</v>
      </c>
      <c r="N175" s="20">
        <f t="shared" si="40"/>
        <v>4.9720262030229168E-2</v>
      </c>
      <c r="O175">
        <f t="shared" si="47"/>
        <v>5.8207660913467407E-10</v>
      </c>
      <c r="P175">
        <f t="shared" si="48"/>
        <v>-3.4924596548080444E-10</v>
      </c>
      <c r="Q175">
        <f t="shared" si="49"/>
        <v>-3.4924596548080444E-10</v>
      </c>
    </row>
    <row r="176" spans="2:17" x14ac:dyDescent="0.25">
      <c r="B176" s="21">
        <f t="shared" si="41"/>
        <v>1.584452641983925E-4</v>
      </c>
      <c r="C176" s="18">
        <f t="shared" si="42"/>
        <v>1.5844526419839253E-4</v>
      </c>
      <c r="D176" s="18">
        <f t="shared" si="43"/>
        <v>1.584452641983925E-4</v>
      </c>
      <c r="E176">
        <f t="shared" si="44"/>
        <v>4.6609784476459026E-8</v>
      </c>
      <c r="F176">
        <f t="shared" si="50"/>
        <v>-9.4369170255959034E-9</v>
      </c>
      <c r="G176">
        <f t="shared" si="51"/>
        <v>4.6609784476459026E-8</v>
      </c>
      <c r="L176" s="7">
        <f t="shared" si="45"/>
        <v>4.9720262030229161E-2</v>
      </c>
      <c r="M176" s="7">
        <f t="shared" si="46"/>
        <v>4.9720262030229168E-2</v>
      </c>
      <c r="N176" s="20">
        <f t="shared" si="40"/>
        <v>4.9720262030229168E-2</v>
      </c>
      <c r="O176">
        <f t="shared" si="47"/>
        <v>5.8207660913467407E-10</v>
      </c>
      <c r="P176">
        <f t="shared" si="48"/>
        <v>-3.4924596548080444E-10</v>
      </c>
      <c r="Q176">
        <f t="shared" si="49"/>
        <v>-3.4924596548080444E-10</v>
      </c>
    </row>
    <row r="177" spans="2:17" x14ac:dyDescent="0.25">
      <c r="B177" s="21">
        <f t="shared" si="41"/>
        <v>1.584452641983925E-4</v>
      </c>
      <c r="C177" s="18">
        <f t="shared" si="42"/>
        <v>1.5844526419839253E-4</v>
      </c>
      <c r="D177" s="18">
        <f t="shared" si="43"/>
        <v>1.584452641983925E-4</v>
      </c>
      <c r="E177">
        <f t="shared" si="44"/>
        <v>4.6609784476459026E-8</v>
      </c>
      <c r="F177">
        <f t="shared" si="50"/>
        <v>-9.4369170255959034E-9</v>
      </c>
      <c r="G177">
        <f t="shared" si="51"/>
        <v>4.6609784476459026E-8</v>
      </c>
      <c r="L177" s="7">
        <f t="shared" si="45"/>
        <v>4.9720262030229161E-2</v>
      </c>
      <c r="M177" s="7">
        <f t="shared" si="46"/>
        <v>4.9720262030229168E-2</v>
      </c>
      <c r="N177" s="20">
        <f t="shared" si="40"/>
        <v>4.9720262030229168E-2</v>
      </c>
      <c r="O177">
        <f t="shared" si="47"/>
        <v>5.8207660913467407E-10</v>
      </c>
      <c r="P177">
        <f t="shared" si="48"/>
        <v>-3.4924596548080444E-10</v>
      </c>
      <c r="Q177">
        <f t="shared" si="49"/>
        <v>-3.4924596548080444E-10</v>
      </c>
    </row>
    <row r="178" spans="2:17" x14ac:dyDescent="0.25">
      <c r="B178" s="21">
        <f t="shared" si="41"/>
        <v>1.584452641983925E-4</v>
      </c>
      <c r="C178" s="18">
        <f t="shared" si="42"/>
        <v>1.5844526419839253E-4</v>
      </c>
      <c r="D178" s="18">
        <f t="shared" si="43"/>
        <v>1.584452641983925E-4</v>
      </c>
      <c r="E178">
        <f t="shared" si="44"/>
        <v>4.6609784476459026E-8</v>
      </c>
      <c r="F178">
        <f t="shared" si="50"/>
        <v>-9.4369170255959034E-9</v>
      </c>
      <c r="G178">
        <f t="shared" si="51"/>
        <v>4.6609784476459026E-8</v>
      </c>
      <c r="L178" s="7">
        <f t="shared" si="45"/>
        <v>4.9720262030229161E-2</v>
      </c>
      <c r="M178" s="7">
        <f t="shared" si="46"/>
        <v>4.9720262030229168E-2</v>
      </c>
      <c r="N178" s="20">
        <f t="shared" si="40"/>
        <v>4.9720262030229168E-2</v>
      </c>
      <c r="O178">
        <f t="shared" si="47"/>
        <v>5.8207660913467407E-10</v>
      </c>
      <c r="P178">
        <f t="shared" si="48"/>
        <v>-3.4924596548080444E-10</v>
      </c>
      <c r="Q178">
        <f t="shared" si="49"/>
        <v>-3.4924596548080444E-10</v>
      </c>
    </row>
    <row r="179" spans="2:17" x14ac:dyDescent="0.25">
      <c r="B179" s="21">
        <f t="shared" si="41"/>
        <v>1.584452641983925E-4</v>
      </c>
      <c r="C179" s="18">
        <f t="shared" si="42"/>
        <v>1.5844526419839253E-4</v>
      </c>
      <c r="D179" s="18">
        <f t="shared" si="43"/>
        <v>1.584452641983925E-4</v>
      </c>
      <c r="E179">
        <f t="shared" si="44"/>
        <v>4.6609784476459026E-8</v>
      </c>
      <c r="F179">
        <f t="shared" si="50"/>
        <v>-9.4369170255959034E-9</v>
      </c>
      <c r="G179">
        <f t="shared" si="51"/>
        <v>4.6609784476459026E-8</v>
      </c>
      <c r="L179" s="7">
        <f t="shared" si="45"/>
        <v>4.9720262030229161E-2</v>
      </c>
      <c r="M179" s="7">
        <f t="shared" si="46"/>
        <v>4.9720262030229168E-2</v>
      </c>
      <c r="N179" s="20">
        <f t="shared" si="40"/>
        <v>4.9720262030229168E-2</v>
      </c>
      <c r="O179">
        <f t="shared" si="47"/>
        <v>5.8207660913467407E-10</v>
      </c>
      <c r="P179">
        <f t="shared" si="48"/>
        <v>-3.4924596548080444E-10</v>
      </c>
      <c r="Q179">
        <f t="shared" si="49"/>
        <v>-3.4924596548080444E-10</v>
      </c>
    </row>
    <row r="180" spans="2:17" x14ac:dyDescent="0.25">
      <c r="B180" s="21">
        <f t="shared" si="41"/>
        <v>1.584452641983925E-4</v>
      </c>
      <c r="C180" s="18">
        <f t="shared" si="42"/>
        <v>1.5844526419839253E-4</v>
      </c>
      <c r="D180" s="18">
        <f t="shared" si="43"/>
        <v>1.584452641983925E-4</v>
      </c>
      <c r="E180">
        <f t="shared" si="44"/>
        <v>4.6609784476459026E-8</v>
      </c>
      <c r="F180">
        <f t="shared" si="50"/>
        <v>-9.4369170255959034E-9</v>
      </c>
      <c r="G180">
        <f t="shared" si="51"/>
        <v>4.6609784476459026E-8</v>
      </c>
      <c r="L180" s="7">
        <f t="shared" si="45"/>
        <v>4.9720262030229161E-2</v>
      </c>
      <c r="M180" s="7">
        <f t="shared" si="46"/>
        <v>4.9720262030229168E-2</v>
      </c>
      <c r="N180" s="20">
        <f t="shared" si="40"/>
        <v>4.9720262030229168E-2</v>
      </c>
      <c r="O180">
        <f t="shared" si="47"/>
        <v>5.8207660913467407E-10</v>
      </c>
      <c r="P180">
        <f t="shared" si="48"/>
        <v>-3.4924596548080444E-10</v>
      </c>
      <c r="Q180">
        <f t="shared" si="49"/>
        <v>-3.4924596548080444E-10</v>
      </c>
    </row>
    <row r="181" spans="2:17" x14ac:dyDescent="0.25">
      <c r="B181" s="21">
        <f t="shared" si="41"/>
        <v>1.584452641983925E-4</v>
      </c>
      <c r="C181" s="18">
        <f t="shared" si="42"/>
        <v>1.5844526419839253E-4</v>
      </c>
      <c r="D181" s="18">
        <f t="shared" si="43"/>
        <v>1.584452641983925E-4</v>
      </c>
      <c r="E181">
        <f t="shared" si="44"/>
        <v>4.6609784476459026E-8</v>
      </c>
      <c r="F181">
        <f t="shared" si="50"/>
        <v>-9.4369170255959034E-9</v>
      </c>
      <c r="G181">
        <f t="shared" si="51"/>
        <v>4.6609784476459026E-8</v>
      </c>
      <c r="L181" s="7">
        <f t="shared" si="45"/>
        <v>4.9720262030229161E-2</v>
      </c>
      <c r="M181" s="7">
        <f t="shared" si="46"/>
        <v>4.9720262030229168E-2</v>
      </c>
      <c r="N181" s="20">
        <f t="shared" si="40"/>
        <v>4.9720262030229168E-2</v>
      </c>
      <c r="O181">
        <f t="shared" si="47"/>
        <v>5.8207660913467407E-10</v>
      </c>
      <c r="P181">
        <f t="shared" si="48"/>
        <v>-3.4924596548080444E-10</v>
      </c>
      <c r="Q181">
        <f t="shared" si="49"/>
        <v>-3.4924596548080444E-10</v>
      </c>
    </row>
    <row r="182" spans="2:17" x14ac:dyDescent="0.25">
      <c r="B182" s="21">
        <f t="shared" si="41"/>
        <v>1.584452641983925E-4</v>
      </c>
      <c r="C182" s="18">
        <f t="shared" si="42"/>
        <v>1.5844526419839253E-4</v>
      </c>
      <c r="D182" s="18">
        <f t="shared" si="43"/>
        <v>1.584452641983925E-4</v>
      </c>
      <c r="E182">
        <f t="shared" si="44"/>
        <v>4.6609784476459026E-8</v>
      </c>
      <c r="F182">
        <f t="shared" si="50"/>
        <v>-9.4369170255959034E-9</v>
      </c>
      <c r="G182">
        <f t="shared" si="51"/>
        <v>4.6609784476459026E-8</v>
      </c>
      <c r="L182" s="7">
        <f t="shared" si="45"/>
        <v>4.9720262030229161E-2</v>
      </c>
      <c r="M182" s="7">
        <f t="shared" si="46"/>
        <v>4.9720262030229168E-2</v>
      </c>
      <c r="N182" s="20">
        <f t="shared" si="40"/>
        <v>4.9720262030229168E-2</v>
      </c>
      <c r="O182">
        <f t="shared" si="47"/>
        <v>5.8207660913467407E-10</v>
      </c>
      <c r="P182">
        <f t="shared" si="48"/>
        <v>-3.4924596548080444E-10</v>
      </c>
      <c r="Q182">
        <f t="shared" si="49"/>
        <v>-3.4924596548080444E-10</v>
      </c>
    </row>
    <row r="183" spans="2:17" x14ac:dyDescent="0.25">
      <c r="B183" s="21">
        <f t="shared" si="41"/>
        <v>1.584452641983925E-4</v>
      </c>
      <c r="C183" s="18">
        <f t="shared" si="42"/>
        <v>1.5844526419839253E-4</v>
      </c>
      <c r="D183" s="18">
        <f t="shared" si="43"/>
        <v>1.584452641983925E-4</v>
      </c>
      <c r="E183">
        <f t="shared" si="44"/>
        <v>4.6609784476459026E-8</v>
      </c>
      <c r="F183">
        <f t="shared" si="50"/>
        <v>-9.4369170255959034E-9</v>
      </c>
      <c r="G183">
        <f t="shared" si="51"/>
        <v>4.6609784476459026E-8</v>
      </c>
      <c r="L183" s="7">
        <f t="shared" si="45"/>
        <v>4.9720262030229161E-2</v>
      </c>
      <c r="M183" s="7">
        <f t="shared" si="46"/>
        <v>4.9720262030229168E-2</v>
      </c>
      <c r="N183" s="20">
        <f t="shared" si="40"/>
        <v>4.9720262030229168E-2</v>
      </c>
      <c r="O183">
        <f t="shared" si="47"/>
        <v>5.8207660913467407E-10</v>
      </c>
      <c r="P183">
        <f t="shared" si="48"/>
        <v>-3.4924596548080444E-10</v>
      </c>
      <c r="Q183">
        <f t="shared" si="49"/>
        <v>-3.4924596548080444E-10</v>
      </c>
    </row>
    <row r="184" spans="2:17" x14ac:dyDescent="0.25">
      <c r="B184" s="21">
        <f t="shared" si="41"/>
        <v>1.584452641983925E-4</v>
      </c>
      <c r="C184" s="18">
        <f t="shared" si="42"/>
        <v>1.5844526419839253E-4</v>
      </c>
      <c r="D184" s="18">
        <f t="shared" si="43"/>
        <v>1.584452641983925E-4</v>
      </c>
      <c r="E184">
        <f t="shared" si="44"/>
        <v>4.6609784476459026E-8</v>
      </c>
      <c r="F184">
        <f t="shared" si="50"/>
        <v>-9.4369170255959034E-9</v>
      </c>
      <c r="G184">
        <f t="shared" si="51"/>
        <v>4.6609784476459026E-8</v>
      </c>
      <c r="L184" s="7">
        <f t="shared" si="45"/>
        <v>4.9720262030229161E-2</v>
      </c>
      <c r="M184" s="7">
        <f t="shared" si="46"/>
        <v>4.9720262030229168E-2</v>
      </c>
      <c r="N184" s="20">
        <f t="shared" si="40"/>
        <v>4.9720262030229168E-2</v>
      </c>
      <c r="O184">
        <f t="shared" si="47"/>
        <v>5.8207660913467407E-10</v>
      </c>
      <c r="P184">
        <f t="shared" si="48"/>
        <v>-3.4924596548080444E-10</v>
      </c>
      <c r="Q184">
        <f t="shared" si="49"/>
        <v>-3.4924596548080444E-10</v>
      </c>
    </row>
    <row r="185" spans="2:17" x14ac:dyDescent="0.25">
      <c r="B185" s="21">
        <f t="shared" si="41"/>
        <v>1.584452641983925E-4</v>
      </c>
      <c r="C185" s="18">
        <f t="shared" si="42"/>
        <v>1.5844526419839253E-4</v>
      </c>
      <c r="D185" s="18">
        <f t="shared" si="43"/>
        <v>1.584452641983925E-4</v>
      </c>
      <c r="E185">
        <f t="shared" si="44"/>
        <v>4.6609784476459026E-8</v>
      </c>
      <c r="F185">
        <f t="shared" si="50"/>
        <v>-9.4369170255959034E-9</v>
      </c>
      <c r="G185">
        <f t="shared" si="51"/>
        <v>4.6609784476459026E-8</v>
      </c>
      <c r="L185" s="7">
        <f t="shared" si="45"/>
        <v>4.9720262030229161E-2</v>
      </c>
      <c r="M185" s="7">
        <f t="shared" si="46"/>
        <v>4.9720262030229168E-2</v>
      </c>
      <c r="N185" s="20">
        <f t="shared" si="40"/>
        <v>4.9720262030229168E-2</v>
      </c>
      <c r="O185">
        <f t="shared" si="47"/>
        <v>5.8207660913467407E-10</v>
      </c>
      <c r="P185">
        <f t="shared" si="48"/>
        <v>-3.4924596548080444E-10</v>
      </c>
      <c r="Q185">
        <f t="shared" si="49"/>
        <v>-3.4924596548080444E-10</v>
      </c>
    </row>
    <row r="186" spans="2:17" x14ac:dyDescent="0.25">
      <c r="B186" s="21">
        <f t="shared" si="41"/>
        <v>1.584452641983925E-4</v>
      </c>
      <c r="C186" s="18">
        <f t="shared" si="42"/>
        <v>1.5844526419839253E-4</v>
      </c>
      <c r="D186" s="18">
        <f t="shared" si="43"/>
        <v>1.584452641983925E-4</v>
      </c>
      <c r="E186">
        <f t="shared" si="44"/>
        <v>4.6609784476459026E-8</v>
      </c>
      <c r="F186">
        <f t="shared" si="50"/>
        <v>-9.4369170255959034E-9</v>
      </c>
      <c r="G186">
        <f t="shared" si="51"/>
        <v>4.6609784476459026E-8</v>
      </c>
      <c r="L186" s="7">
        <f t="shared" si="45"/>
        <v>4.9720262030229161E-2</v>
      </c>
      <c r="M186" s="7">
        <f t="shared" si="46"/>
        <v>4.9720262030229168E-2</v>
      </c>
      <c r="N186" s="20">
        <f t="shared" si="40"/>
        <v>4.9720262030229168E-2</v>
      </c>
      <c r="O186">
        <f t="shared" si="47"/>
        <v>5.8207660913467407E-10</v>
      </c>
      <c r="P186">
        <f t="shared" si="48"/>
        <v>-3.4924596548080444E-10</v>
      </c>
      <c r="Q186">
        <f t="shared" si="49"/>
        <v>-3.4924596548080444E-10</v>
      </c>
    </row>
    <row r="187" spans="2:17" x14ac:dyDescent="0.25">
      <c r="B187" s="21">
        <f t="shared" si="41"/>
        <v>1.584452641983925E-4</v>
      </c>
      <c r="C187" s="18">
        <f t="shared" si="42"/>
        <v>1.5844526419839253E-4</v>
      </c>
      <c r="D187" s="18">
        <f t="shared" si="43"/>
        <v>1.584452641983925E-4</v>
      </c>
      <c r="E187">
        <f t="shared" si="44"/>
        <v>4.6609784476459026E-8</v>
      </c>
      <c r="F187">
        <f t="shared" si="50"/>
        <v>-9.4369170255959034E-9</v>
      </c>
      <c r="G187">
        <f t="shared" si="51"/>
        <v>4.6609784476459026E-8</v>
      </c>
      <c r="L187" s="7">
        <f t="shared" si="45"/>
        <v>4.9720262030229161E-2</v>
      </c>
      <c r="M187" s="7">
        <f t="shared" si="46"/>
        <v>4.9720262030229168E-2</v>
      </c>
      <c r="N187" s="20">
        <f t="shared" si="40"/>
        <v>4.9720262030229168E-2</v>
      </c>
      <c r="O187">
        <f t="shared" si="47"/>
        <v>5.8207660913467407E-10</v>
      </c>
      <c r="P187">
        <f t="shared" si="48"/>
        <v>-3.4924596548080444E-10</v>
      </c>
      <c r="Q187">
        <f t="shared" si="49"/>
        <v>-3.4924596548080444E-10</v>
      </c>
    </row>
    <row r="188" spans="2:17" x14ac:dyDescent="0.25">
      <c r="B188" s="21">
        <f t="shared" si="41"/>
        <v>1.584452641983925E-4</v>
      </c>
      <c r="C188" s="18">
        <f t="shared" si="42"/>
        <v>1.5844526419839253E-4</v>
      </c>
      <c r="D188" s="18">
        <f t="shared" si="43"/>
        <v>1.584452641983925E-4</v>
      </c>
      <c r="E188">
        <f t="shared" si="44"/>
        <v>4.6609784476459026E-8</v>
      </c>
      <c r="F188">
        <f t="shared" si="50"/>
        <v>-9.4369170255959034E-9</v>
      </c>
      <c r="G188">
        <f t="shared" si="51"/>
        <v>4.6609784476459026E-8</v>
      </c>
      <c r="L188" s="7">
        <f t="shared" si="45"/>
        <v>4.9720262030229161E-2</v>
      </c>
      <c r="M188" s="7">
        <f t="shared" si="46"/>
        <v>4.9720262030229168E-2</v>
      </c>
      <c r="N188" s="20">
        <f t="shared" si="40"/>
        <v>4.9720262030229168E-2</v>
      </c>
      <c r="O188">
        <f t="shared" si="47"/>
        <v>5.8207660913467407E-10</v>
      </c>
      <c r="P188">
        <f t="shared" si="48"/>
        <v>-3.4924596548080444E-10</v>
      </c>
      <c r="Q188">
        <f t="shared" si="49"/>
        <v>-3.4924596548080444E-10</v>
      </c>
    </row>
    <row r="189" spans="2:17" x14ac:dyDescent="0.25">
      <c r="B189" s="21">
        <f t="shared" si="41"/>
        <v>1.584452641983925E-4</v>
      </c>
      <c r="C189" s="18">
        <f t="shared" si="42"/>
        <v>1.5844526419839253E-4</v>
      </c>
      <c r="D189" s="18">
        <f t="shared" si="43"/>
        <v>1.584452641983925E-4</v>
      </c>
      <c r="E189">
        <f t="shared" si="44"/>
        <v>4.6609784476459026E-8</v>
      </c>
      <c r="F189">
        <f t="shared" si="50"/>
        <v>-9.4369170255959034E-9</v>
      </c>
      <c r="G189">
        <f t="shared" si="51"/>
        <v>4.6609784476459026E-8</v>
      </c>
      <c r="L189" s="7">
        <f t="shared" si="45"/>
        <v>4.9720262030229161E-2</v>
      </c>
      <c r="M189" s="7">
        <f t="shared" si="46"/>
        <v>4.9720262030229168E-2</v>
      </c>
      <c r="N189" s="20">
        <f t="shared" si="40"/>
        <v>4.9720262030229168E-2</v>
      </c>
      <c r="O189">
        <f t="shared" si="47"/>
        <v>5.8207660913467407E-10</v>
      </c>
      <c r="P189">
        <f t="shared" si="48"/>
        <v>-3.4924596548080444E-10</v>
      </c>
      <c r="Q189">
        <f t="shared" si="49"/>
        <v>-3.4924596548080444E-10</v>
      </c>
    </row>
    <row r="190" spans="2:17" x14ac:dyDescent="0.25">
      <c r="B190" s="21">
        <f t="shared" si="41"/>
        <v>1.584452641983925E-4</v>
      </c>
      <c r="C190" s="18">
        <f t="shared" si="42"/>
        <v>1.5844526419839253E-4</v>
      </c>
      <c r="D190" s="18">
        <f t="shared" si="43"/>
        <v>1.584452641983925E-4</v>
      </c>
      <c r="E190">
        <f t="shared" si="44"/>
        <v>4.6609784476459026E-8</v>
      </c>
      <c r="F190">
        <f t="shared" si="50"/>
        <v>-9.4369170255959034E-9</v>
      </c>
      <c r="G190">
        <f t="shared" si="51"/>
        <v>4.6609784476459026E-8</v>
      </c>
      <c r="L190" s="7">
        <f t="shared" si="45"/>
        <v>4.9720262030229161E-2</v>
      </c>
      <c r="M190" s="7">
        <f t="shared" si="46"/>
        <v>4.9720262030229168E-2</v>
      </c>
      <c r="N190" s="20">
        <f t="shared" si="40"/>
        <v>4.9720262030229168E-2</v>
      </c>
      <c r="O190">
        <f t="shared" si="47"/>
        <v>5.8207660913467407E-10</v>
      </c>
      <c r="P190">
        <f t="shared" si="48"/>
        <v>-3.4924596548080444E-10</v>
      </c>
      <c r="Q190">
        <f t="shared" si="49"/>
        <v>-3.4924596548080444E-10</v>
      </c>
    </row>
    <row r="191" spans="2:17" x14ac:dyDescent="0.25">
      <c r="B191" s="21">
        <f t="shared" si="41"/>
        <v>1.584452641983925E-4</v>
      </c>
      <c r="C191" s="18">
        <f t="shared" si="42"/>
        <v>1.5844526419839253E-4</v>
      </c>
      <c r="D191" s="18">
        <f t="shared" si="43"/>
        <v>1.584452641983925E-4</v>
      </c>
      <c r="E191">
        <f t="shared" si="44"/>
        <v>4.6609784476459026E-8</v>
      </c>
      <c r="F191">
        <f t="shared" si="50"/>
        <v>-9.4369170255959034E-9</v>
      </c>
      <c r="G191">
        <f t="shared" si="51"/>
        <v>4.6609784476459026E-8</v>
      </c>
      <c r="L191" s="7">
        <f t="shared" si="45"/>
        <v>4.9720262030229161E-2</v>
      </c>
      <c r="M191" s="7">
        <f t="shared" si="46"/>
        <v>4.9720262030229168E-2</v>
      </c>
      <c r="N191" s="20">
        <f t="shared" si="40"/>
        <v>4.9720262030229168E-2</v>
      </c>
      <c r="O191">
        <f t="shared" si="47"/>
        <v>5.8207660913467407E-10</v>
      </c>
      <c r="P191">
        <f t="shared" si="48"/>
        <v>-3.4924596548080444E-10</v>
      </c>
      <c r="Q191">
        <f t="shared" si="49"/>
        <v>-3.4924596548080444E-10</v>
      </c>
    </row>
    <row r="192" spans="2:17" x14ac:dyDescent="0.25">
      <c r="B192" s="21">
        <f t="shared" si="41"/>
        <v>1.584452641983925E-4</v>
      </c>
      <c r="C192" s="18">
        <f t="shared" si="42"/>
        <v>1.5844526419839253E-4</v>
      </c>
      <c r="D192" s="18">
        <f t="shared" si="43"/>
        <v>1.584452641983925E-4</v>
      </c>
      <c r="E192">
        <f t="shared" si="44"/>
        <v>4.6609784476459026E-8</v>
      </c>
      <c r="F192">
        <f t="shared" si="50"/>
        <v>-9.4369170255959034E-9</v>
      </c>
      <c r="G192">
        <f t="shared" si="51"/>
        <v>4.6609784476459026E-8</v>
      </c>
      <c r="L192" s="7">
        <f t="shared" si="45"/>
        <v>4.9720262030229161E-2</v>
      </c>
      <c r="M192" s="7">
        <f t="shared" si="46"/>
        <v>4.9720262030229168E-2</v>
      </c>
      <c r="N192" s="20">
        <f t="shared" si="40"/>
        <v>4.9720262030229168E-2</v>
      </c>
      <c r="O192">
        <f t="shared" si="47"/>
        <v>5.8207660913467407E-10</v>
      </c>
      <c r="P192">
        <f t="shared" si="48"/>
        <v>-3.4924596548080444E-10</v>
      </c>
      <c r="Q192">
        <f t="shared" si="49"/>
        <v>-3.4924596548080444E-10</v>
      </c>
    </row>
    <row r="193" spans="2:17" x14ac:dyDescent="0.25">
      <c r="B193" s="21">
        <f t="shared" si="41"/>
        <v>1.584452641983925E-4</v>
      </c>
      <c r="C193" s="18">
        <f t="shared" si="42"/>
        <v>1.5844526419839253E-4</v>
      </c>
      <c r="D193" s="18">
        <f t="shared" si="43"/>
        <v>1.584452641983925E-4</v>
      </c>
      <c r="E193">
        <f t="shared" si="44"/>
        <v>4.6609784476459026E-8</v>
      </c>
      <c r="F193">
        <f t="shared" si="50"/>
        <v>-9.4369170255959034E-9</v>
      </c>
      <c r="G193">
        <f t="shared" si="51"/>
        <v>4.6609784476459026E-8</v>
      </c>
      <c r="L193" s="7">
        <f t="shared" si="45"/>
        <v>4.9720262030229161E-2</v>
      </c>
      <c r="M193" s="7">
        <f t="shared" si="46"/>
        <v>4.9720262030229168E-2</v>
      </c>
      <c r="N193" s="20">
        <f t="shared" si="40"/>
        <v>4.9720262030229168E-2</v>
      </c>
      <c r="O193">
        <f t="shared" si="47"/>
        <v>5.8207660913467407E-10</v>
      </c>
      <c r="P193">
        <f t="shared" si="48"/>
        <v>-3.4924596548080444E-10</v>
      </c>
      <c r="Q193">
        <f t="shared" si="49"/>
        <v>-3.4924596548080444E-10</v>
      </c>
    </row>
    <row r="194" spans="2:17" x14ac:dyDescent="0.25">
      <c r="B194" s="21">
        <f t="shared" si="41"/>
        <v>1.584452641983925E-4</v>
      </c>
      <c r="C194" s="18">
        <f t="shared" si="42"/>
        <v>1.5844526419839253E-4</v>
      </c>
      <c r="D194" s="18">
        <f t="shared" si="43"/>
        <v>1.584452641983925E-4</v>
      </c>
      <c r="E194">
        <f t="shared" si="44"/>
        <v>4.6609784476459026E-8</v>
      </c>
      <c r="F194">
        <f t="shared" si="50"/>
        <v>-9.4369170255959034E-9</v>
      </c>
      <c r="G194">
        <f t="shared" si="51"/>
        <v>4.6609784476459026E-8</v>
      </c>
      <c r="L194" s="7">
        <f t="shared" si="45"/>
        <v>4.9720262030229161E-2</v>
      </c>
      <c r="M194" s="7">
        <f t="shared" si="46"/>
        <v>4.9720262030229168E-2</v>
      </c>
      <c r="N194" s="20">
        <f t="shared" si="40"/>
        <v>4.9720262030229168E-2</v>
      </c>
      <c r="O194">
        <f t="shared" si="47"/>
        <v>5.8207660913467407E-10</v>
      </c>
      <c r="P194">
        <f t="shared" si="48"/>
        <v>-3.4924596548080444E-10</v>
      </c>
      <c r="Q194">
        <f t="shared" si="49"/>
        <v>-3.4924596548080444E-10</v>
      </c>
    </row>
    <row r="195" spans="2:17" x14ac:dyDescent="0.25">
      <c r="B195" s="21">
        <f t="shared" si="41"/>
        <v>1.584452641983925E-4</v>
      </c>
      <c r="C195" s="18">
        <f t="shared" si="42"/>
        <v>1.5844526419839253E-4</v>
      </c>
      <c r="D195" s="18">
        <f t="shared" si="43"/>
        <v>1.584452641983925E-4</v>
      </c>
      <c r="E195">
        <f t="shared" si="44"/>
        <v>4.6609784476459026E-8</v>
      </c>
      <c r="F195">
        <f t="shared" si="50"/>
        <v>-9.4369170255959034E-9</v>
      </c>
      <c r="G195">
        <f t="shared" si="51"/>
        <v>4.6609784476459026E-8</v>
      </c>
      <c r="L195" s="7">
        <f t="shared" si="45"/>
        <v>4.9720262030229161E-2</v>
      </c>
      <c r="M195" s="7">
        <f t="shared" si="46"/>
        <v>4.9720262030229168E-2</v>
      </c>
      <c r="N195" s="20">
        <f t="shared" si="40"/>
        <v>4.9720262030229168E-2</v>
      </c>
      <c r="O195">
        <f t="shared" si="47"/>
        <v>5.8207660913467407E-10</v>
      </c>
      <c r="P195">
        <f t="shared" si="48"/>
        <v>-3.4924596548080444E-10</v>
      </c>
      <c r="Q195">
        <f t="shared" si="49"/>
        <v>-3.4924596548080444E-10</v>
      </c>
    </row>
    <row r="196" spans="2:17" x14ac:dyDescent="0.25">
      <c r="B196" s="21">
        <f t="shared" si="41"/>
        <v>1.584452641983925E-4</v>
      </c>
      <c r="C196" s="18">
        <f t="shared" si="42"/>
        <v>1.5844526419839253E-4</v>
      </c>
      <c r="D196" s="18">
        <f t="shared" si="43"/>
        <v>1.584452641983925E-4</v>
      </c>
      <c r="E196">
        <f t="shared" si="44"/>
        <v>4.6609784476459026E-8</v>
      </c>
      <c r="F196">
        <f t="shared" si="50"/>
        <v>-9.4369170255959034E-9</v>
      </c>
      <c r="G196">
        <f t="shared" si="51"/>
        <v>4.6609784476459026E-8</v>
      </c>
      <c r="L196" s="7">
        <f t="shared" si="45"/>
        <v>4.9720262030229161E-2</v>
      </c>
      <c r="M196" s="7">
        <f t="shared" si="46"/>
        <v>4.9720262030229168E-2</v>
      </c>
      <c r="N196" s="20">
        <f t="shared" si="40"/>
        <v>4.9720262030229168E-2</v>
      </c>
      <c r="O196">
        <f t="shared" si="47"/>
        <v>5.8207660913467407E-10</v>
      </c>
      <c r="P196">
        <f t="shared" si="48"/>
        <v>-3.4924596548080444E-10</v>
      </c>
      <c r="Q196">
        <f t="shared" si="49"/>
        <v>-3.4924596548080444E-10</v>
      </c>
    </row>
    <row r="197" spans="2:17" x14ac:dyDescent="0.25">
      <c r="B197" s="21">
        <f t="shared" si="41"/>
        <v>1.584452641983925E-4</v>
      </c>
      <c r="C197" s="18">
        <f t="shared" si="42"/>
        <v>1.5844526419839253E-4</v>
      </c>
      <c r="D197" s="18">
        <f t="shared" si="43"/>
        <v>1.584452641983925E-4</v>
      </c>
      <c r="E197">
        <f t="shared" si="44"/>
        <v>4.6609784476459026E-8</v>
      </c>
      <c r="F197">
        <f t="shared" si="50"/>
        <v>-9.4369170255959034E-9</v>
      </c>
      <c r="G197">
        <f t="shared" si="51"/>
        <v>4.6609784476459026E-8</v>
      </c>
      <c r="L197" s="7">
        <f t="shared" si="45"/>
        <v>4.9720262030229161E-2</v>
      </c>
      <c r="M197" s="7">
        <f t="shared" si="46"/>
        <v>4.9720262030229168E-2</v>
      </c>
      <c r="N197" s="20">
        <f t="shared" si="40"/>
        <v>4.9720262030229168E-2</v>
      </c>
      <c r="O197">
        <f t="shared" si="47"/>
        <v>5.8207660913467407E-10</v>
      </c>
      <c r="P197">
        <f t="shared" si="48"/>
        <v>-3.4924596548080444E-10</v>
      </c>
      <c r="Q197">
        <f t="shared" si="49"/>
        <v>-3.4924596548080444E-10</v>
      </c>
    </row>
    <row r="198" spans="2:17" x14ac:dyDescent="0.25">
      <c r="B198" s="21">
        <f t="shared" si="41"/>
        <v>1.584452641983925E-4</v>
      </c>
      <c r="C198" s="18">
        <f t="shared" si="42"/>
        <v>1.5844526419839253E-4</v>
      </c>
      <c r="D198" s="18">
        <f t="shared" si="43"/>
        <v>1.584452641983925E-4</v>
      </c>
      <c r="E198">
        <f t="shared" si="44"/>
        <v>4.6609784476459026E-8</v>
      </c>
      <c r="F198">
        <f t="shared" si="50"/>
        <v>-9.4369170255959034E-9</v>
      </c>
      <c r="G198">
        <f t="shared" si="51"/>
        <v>4.6609784476459026E-8</v>
      </c>
      <c r="L198" s="7">
        <f t="shared" si="45"/>
        <v>4.9720262030229161E-2</v>
      </c>
      <c r="M198" s="7">
        <f t="shared" si="46"/>
        <v>4.9720262030229168E-2</v>
      </c>
      <c r="N198" s="20">
        <f t="shared" si="40"/>
        <v>4.9720262030229168E-2</v>
      </c>
      <c r="O198">
        <f t="shared" si="47"/>
        <v>5.8207660913467407E-10</v>
      </c>
      <c r="P198">
        <f t="shared" si="48"/>
        <v>-3.4924596548080444E-10</v>
      </c>
      <c r="Q198">
        <f t="shared" si="49"/>
        <v>-3.4924596548080444E-10</v>
      </c>
    </row>
    <row r="199" spans="2:17" x14ac:dyDescent="0.25">
      <c r="B199" s="21">
        <f t="shared" si="41"/>
        <v>1.584452641983925E-4</v>
      </c>
      <c r="C199" s="18">
        <f t="shared" si="42"/>
        <v>1.5844526419839253E-4</v>
      </c>
      <c r="D199" s="18">
        <f t="shared" si="43"/>
        <v>1.584452641983925E-4</v>
      </c>
      <c r="E199">
        <f t="shared" si="44"/>
        <v>4.6609784476459026E-8</v>
      </c>
      <c r="F199">
        <f t="shared" si="50"/>
        <v>-9.4369170255959034E-9</v>
      </c>
      <c r="G199">
        <f t="shared" si="51"/>
        <v>4.6609784476459026E-8</v>
      </c>
      <c r="L199" s="7">
        <f t="shared" si="45"/>
        <v>4.9720262030229161E-2</v>
      </c>
      <c r="M199" s="7">
        <f t="shared" si="46"/>
        <v>4.9720262030229168E-2</v>
      </c>
      <c r="N199" s="20">
        <f t="shared" si="40"/>
        <v>4.9720262030229168E-2</v>
      </c>
      <c r="O199">
        <f t="shared" si="47"/>
        <v>5.8207660913467407E-10</v>
      </c>
      <c r="P199">
        <f t="shared" si="48"/>
        <v>-3.4924596548080444E-10</v>
      </c>
      <c r="Q199">
        <f t="shared" si="49"/>
        <v>-3.4924596548080444E-10</v>
      </c>
    </row>
    <row r="200" spans="2:17" x14ac:dyDescent="0.25">
      <c r="B200" s="21">
        <f t="shared" si="41"/>
        <v>1.584452641983925E-4</v>
      </c>
      <c r="C200" s="18">
        <f t="shared" si="42"/>
        <v>1.5844526419839253E-4</v>
      </c>
      <c r="D200" s="18">
        <f t="shared" si="43"/>
        <v>1.584452641983925E-4</v>
      </c>
      <c r="E200">
        <f t="shared" si="44"/>
        <v>4.6609784476459026E-8</v>
      </c>
      <c r="F200">
        <f t="shared" si="50"/>
        <v>-9.4369170255959034E-9</v>
      </c>
      <c r="G200">
        <f t="shared" si="51"/>
        <v>4.6609784476459026E-8</v>
      </c>
      <c r="L200" s="7">
        <f t="shared" si="45"/>
        <v>4.9720262030229161E-2</v>
      </c>
      <c r="M200" s="7">
        <f t="shared" si="46"/>
        <v>4.9720262030229168E-2</v>
      </c>
      <c r="N200" s="20">
        <f t="shared" si="40"/>
        <v>4.9720262030229168E-2</v>
      </c>
      <c r="O200">
        <f t="shared" si="47"/>
        <v>5.8207660913467407E-10</v>
      </c>
      <c r="P200">
        <f t="shared" si="48"/>
        <v>-3.4924596548080444E-10</v>
      </c>
      <c r="Q200">
        <f t="shared" si="49"/>
        <v>-3.4924596548080444E-10</v>
      </c>
    </row>
    <row r="201" spans="2:17" x14ac:dyDescent="0.25">
      <c r="B201" s="21">
        <f t="shared" si="41"/>
        <v>1.584452641983925E-4</v>
      </c>
      <c r="C201" s="18">
        <f t="shared" si="42"/>
        <v>1.5844526419839253E-4</v>
      </c>
      <c r="D201" s="18">
        <f t="shared" si="43"/>
        <v>1.584452641983925E-4</v>
      </c>
      <c r="E201">
        <f t="shared" si="44"/>
        <v>4.6609784476459026E-8</v>
      </c>
      <c r="F201">
        <f t="shared" si="50"/>
        <v>-9.4369170255959034E-9</v>
      </c>
      <c r="G201">
        <f t="shared" si="51"/>
        <v>4.6609784476459026E-8</v>
      </c>
      <c r="L201" s="7">
        <f t="shared" si="45"/>
        <v>4.9720262030229161E-2</v>
      </c>
      <c r="M201" s="7">
        <f t="shared" si="46"/>
        <v>4.9720262030229168E-2</v>
      </c>
      <c r="N201" s="20">
        <f t="shared" si="40"/>
        <v>4.9720262030229168E-2</v>
      </c>
      <c r="O201">
        <f t="shared" si="47"/>
        <v>5.8207660913467407E-10</v>
      </c>
      <c r="P201">
        <f t="shared" si="48"/>
        <v>-3.4924596548080444E-10</v>
      </c>
      <c r="Q201">
        <f t="shared" si="49"/>
        <v>-3.4924596548080444E-10</v>
      </c>
    </row>
    <row r="202" spans="2:17" x14ac:dyDescent="0.25">
      <c r="B202" s="21">
        <f t="shared" si="41"/>
        <v>1.584452641983925E-4</v>
      </c>
      <c r="C202" s="18">
        <f t="shared" si="42"/>
        <v>1.5844526419839253E-4</v>
      </c>
      <c r="D202" s="18">
        <f t="shared" si="43"/>
        <v>1.584452641983925E-4</v>
      </c>
      <c r="E202">
        <f t="shared" si="44"/>
        <v>4.6609784476459026E-8</v>
      </c>
      <c r="F202">
        <f t="shared" si="50"/>
        <v>-9.4369170255959034E-9</v>
      </c>
      <c r="G202">
        <f t="shared" si="51"/>
        <v>4.6609784476459026E-8</v>
      </c>
      <c r="L202" s="7">
        <f t="shared" si="45"/>
        <v>4.9720262030229161E-2</v>
      </c>
      <c r="M202" s="7">
        <f t="shared" si="46"/>
        <v>4.9720262030229168E-2</v>
      </c>
      <c r="N202" s="20">
        <f t="shared" si="40"/>
        <v>4.9720262030229168E-2</v>
      </c>
      <c r="O202">
        <f t="shared" si="47"/>
        <v>5.8207660913467407E-10</v>
      </c>
      <c r="P202">
        <f t="shared" si="48"/>
        <v>-3.4924596548080444E-10</v>
      </c>
      <c r="Q202">
        <f t="shared" si="49"/>
        <v>-3.4924596548080444E-10</v>
      </c>
    </row>
    <row r="203" spans="2:17" x14ac:dyDescent="0.25">
      <c r="B203" s="21">
        <f t="shared" si="41"/>
        <v>1.584452641983925E-4</v>
      </c>
      <c r="C203" s="18">
        <f t="shared" si="42"/>
        <v>1.5844526419839253E-4</v>
      </c>
      <c r="D203" s="18">
        <f t="shared" si="43"/>
        <v>1.584452641983925E-4</v>
      </c>
      <c r="E203">
        <f t="shared" si="44"/>
        <v>4.6609784476459026E-8</v>
      </c>
      <c r="F203">
        <f t="shared" si="50"/>
        <v>-9.4369170255959034E-9</v>
      </c>
      <c r="G203">
        <f t="shared" si="51"/>
        <v>4.6609784476459026E-8</v>
      </c>
      <c r="L203" s="7">
        <f t="shared" si="45"/>
        <v>4.9720262030229161E-2</v>
      </c>
      <c r="M203" s="7">
        <f t="shared" si="46"/>
        <v>4.9720262030229168E-2</v>
      </c>
      <c r="N203" s="20">
        <f t="shared" si="40"/>
        <v>4.9720262030229168E-2</v>
      </c>
      <c r="O203">
        <f t="shared" si="47"/>
        <v>5.8207660913467407E-10</v>
      </c>
      <c r="P203">
        <f t="shared" si="48"/>
        <v>-3.4924596548080444E-10</v>
      </c>
      <c r="Q203">
        <f t="shared" si="49"/>
        <v>-3.4924596548080444E-10</v>
      </c>
    </row>
    <row r="204" spans="2:17" x14ac:dyDescent="0.25">
      <c r="B204" s="21">
        <f t="shared" si="41"/>
        <v>1.584452641983925E-4</v>
      </c>
      <c r="C204" s="18">
        <f t="shared" si="42"/>
        <v>1.5844526419839253E-4</v>
      </c>
      <c r="D204" s="18">
        <f t="shared" si="43"/>
        <v>1.584452641983925E-4</v>
      </c>
      <c r="E204">
        <f t="shared" si="44"/>
        <v>4.6609784476459026E-8</v>
      </c>
      <c r="F204">
        <f t="shared" si="50"/>
        <v>-9.4369170255959034E-9</v>
      </c>
      <c r="G204">
        <f t="shared" si="51"/>
        <v>4.6609784476459026E-8</v>
      </c>
      <c r="L204" s="7">
        <f t="shared" si="45"/>
        <v>4.9720262030229161E-2</v>
      </c>
      <c r="M204" s="7">
        <f t="shared" si="46"/>
        <v>4.9720262030229168E-2</v>
      </c>
      <c r="N204" s="20">
        <f t="shared" si="40"/>
        <v>4.9720262030229168E-2</v>
      </c>
      <c r="O204">
        <f t="shared" si="47"/>
        <v>5.8207660913467407E-10</v>
      </c>
      <c r="P204">
        <f t="shared" si="48"/>
        <v>-3.4924596548080444E-10</v>
      </c>
      <c r="Q204">
        <f t="shared" si="49"/>
        <v>-3.4924596548080444E-10</v>
      </c>
    </row>
    <row r="205" spans="2:17" x14ac:dyDescent="0.25">
      <c r="B205" s="21">
        <f t="shared" si="41"/>
        <v>1.584452641983925E-4</v>
      </c>
      <c r="C205" s="18">
        <f t="shared" si="42"/>
        <v>1.5844526419839253E-4</v>
      </c>
      <c r="D205" s="18">
        <f t="shared" si="43"/>
        <v>1.584452641983925E-4</v>
      </c>
      <c r="E205">
        <f t="shared" si="44"/>
        <v>4.6609784476459026E-8</v>
      </c>
      <c r="F205">
        <f t="shared" si="50"/>
        <v>-9.4369170255959034E-9</v>
      </c>
      <c r="G205">
        <f t="shared" si="51"/>
        <v>4.6609784476459026E-8</v>
      </c>
      <c r="L205" s="7">
        <f t="shared" si="45"/>
        <v>4.9720262030229161E-2</v>
      </c>
      <c r="M205" s="7">
        <f t="shared" si="46"/>
        <v>4.9720262030229168E-2</v>
      </c>
      <c r="N205" s="20">
        <f t="shared" si="40"/>
        <v>4.9720262030229168E-2</v>
      </c>
      <c r="O205">
        <f t="shared" si="47"/>
        <v>5.8207660913467407E-10</v>
      </c>
      <c r="P205">
        <f t="shared" si="48"/>
        <v>-3.4924596548080444E-10</v>
      </c>
      <c r="Q205">
        <f t="shared" si="49"/>
        <v>-3.4924596548080444E-10</v>
      </c>
    </row>
    <row r="206" spans="2:17" x14ac:dyDescent="0.25">
      <c r="B206" s="21">
        <f t="shared" si="41"/>
        <v>1.584452641983925E-4</v>
      </c>
      <c r="C206" s="18">
        <f t="shared" si="42"/>
        <v>1.5844526419839253E-4</v>
      </c>
      <c r="D206" s="18">
        <f t="shared" si="43"/>
        <v>1.584452641983925E-4</v>
      </c>
      <c r="E206">
        <f t="shared" si="44"/>
        <v>4.6609784476459026E-8</v>
      </c>
      <c r="F206">
        <f t="shared" si="50"/>
        <v>-9.4369170255959034E-9</v>
      </c>
      <c r="G206">
        <f t="shared" si="51"/>
        <v>4.6609784476459026E-8</v>
      </c>
      <c r="L206" s="7">
        <f t="shared" si="45"/>
        <v>4.9720262030229161E-2</v>
      </c>
      <c r="M206" s="7">
        <f t="shared" si="46"/>
        <v>4.9720262030229168E-2</v>
      </c>
      <c r="N206" s="20">
        <f t="shared" si="40"/>
        <v>4.9720262030229168E-2</v>
      </c>
      <c r="O206">
        <f t="shared" si="47"/>
        <v>5.8207660913467407E-10</v>
      </c>
      <c r="P206">
        <f t="shared" si="48"/>
        <v>-3.4924596548080444E-10</v>
      </c>
      <c r="Q206">
        <f t="shared" si="49"/>
        <v>-3.4924596548080444E-10</v>
      </c>
    </row>
    <row r="207" spans="2:17" x14ac:dyDescent="0.25">
      <c r="B207" s="21">
        <f t="shared" si="41"/>
        <v>1.584452641983925E-4</v>
      </c>
      <c r="C207" s="18">
        <f t="shared" si="42"/>
        <v>1.5844526419839253E-4</v>
      </c>
      <c r="D207" s="18">
        <f t="shared" si="43"/>
        <v>1.584452641983925E-4</v>
      </c>
      <c r="E207">
        <f t="shared" si="44"/>
        <v>4.6609784476459026E-8</v>
      </c>
      <c r="F207">
        <f t="shared" si="50"/>
        <v>-9.4369170255959034E-9</v>
      </c>
      <c r="G207">
        <f t="shared" si="51"/>
        <v>4.6609784476459026E-8</v>
      </c>
      <c r="L207" s="7">
        <f t="shared" si="45"/>
        <v>4.9720262030229161E-2</v>
      </c>
      <c r="M207" s="7">
        <f t="shared" si="46"/>
        <v>4.9720262030229168E-2</v>
      </c>
      <c r="N207" s="20">
        <f t="shared" si="40"/>
        <v>4.9720262030229168E-2</v>
      </c>
      <c r="O207">
        <f t="shared" si="47"/>
        <v>5.8207660913467407E-10</v>
      </c>
      <c r="P207">
        <f t="shared" si="48"/>
        <v>-3.4924596548080444E-10</v>
      </c>
      <c r="Q207">
        <f t="shared" si="49"/>
        <v>-3.4924596548080444E-10</v>
      </c>
    </row>
    <row r="208" spans="2:17" x14ac:dyDescent="0.25">
      <c r="B208" s="21">
        <f t="shared" si="41"/>
        <v>1.584452641983925E-4</v>
      </c>
      <c r="C208" s="18">
        <f t="shared" si="42"/>
        <v>1.5844526419839253E-4</v>
      </c>
      <c r="D208" s="18">
        <f t="shared" si="43"/>
        <v>1.584452641983925E-4</v>
      </c>
      <c r="E208">
        <f t="shared" si="44"/>
        <v>4.6609784476459026E-8</v>
      </c>
      <c r="F208">
        <f t="shared" si="50"/>
        <v>-9.4369170255959034E-9</v>
      </c>
      <c r="G208">
        <f t="shared" si="51"/>
        <v>4.6609784476459026E-8</v>
      </c>
      <c r="L208" s="7">
        <f t="shared" si="45"/>
        <v>4.9720262030229161E-2</v>
      </c>
      <c r="M208" s="7">
        <f t="shared" si="46"/>
        <v>4.9720262030229168E-2</v>
      </c>
      <c r="N208" s="20">
        <f t="shared" si="40"/>
        <v>4.9720262030229168E-2</v>
      </c>
      <c r="O208">
        <f t="shared" si="47"/>
        <v>5.8207660913467407E-10</v>
      </c>
      <c r="P208">
        <f t="shared" si="48"/>
        <v>-3.4924596548080444E-10</v>
      </c>
      <c r="Q208">
        <f t="shared" si="49"/>
        <v>-3.4924596548080444E-10</v>
      </c>
    </row>
    <row r="209" spans="2:17" x14ac:dyDescent="0.25">
      <c r="B209" s="21">
        <f t="shared" si="41"/>
        <v>1.584452641983925E-4</v>
      </c>
      <c r="C209" s="18">
        <f t="shared" si="42"/>
        <v>1.5844526419839253E-4</v>
      </c>
      <c r="D209" s="18">
        <f t="shared" si="43"/>
        <v>1.584452641983925E-4</v>
      </c>
      <c r="E209">
        <f t="shared" si="44"/>
        <v>4.6609784476459026E-8</v>
      </c>
      <c r="F209">
        <f t="shared" si="50"/>
        <v>-9.4369170255959034E-9</v>
      </c>
      <c r="G209">
        <f t="shared" si="51"/>
        <v>4.6609784476459026E-8</v>
      </c>
      <c r="L209" s="7">
        <f t="shared" si="45"/>
        <v>4.9720262030229161E-2</v>
      </c>
      <c r="M209" s="7">
        <f t="shared" si="46"/>
        <v>4.9720262030229168E-2</v>
      </c>
      <c r="N209" s="20">
        <f t="shared" si="40"/>
        <v>4.9720262030229168E-2</v>
      </c>
      <c r="O209">
        <f t="shared" si="47"/>
        <v>5.8207660913467407E-10</v>
      </c>
      <c r="P209">
        <f t="shared" si="48"/>
        <v>-3.4924596548080444E-10</v>
      </c>
      <c r="Q209">
        <f t="shared" si="49"/>
        <v>-3.4924596548080444E-10</v>
      </c>
    </row>
    <row r="210" spans="2:17" x14ac:dyDescent="0.25">
      <c r="B210" s="21">
        <f t="shared" si="41"/>
        <v>1.584452641983925E-4</v>
      </c>
      <c r="C210" s="18">
        <f t="shared" si="42"/>
        <v>1.5844526419839253E-4</v>
      </c>
      <c r="D210" s="18">
        <f t="shared" si="43"/>
        <v>1.584452641983925E-4</v>
      </c>
      <c r="E210">
        <f t="shared" si="44"/>
        <v>4.6609784476459026E-8</v>
      </c>
      <c r="F210">
        <f t="shared" si="50"/>
        <v>-9.4369170255959034E-9</v>
      </c>
      <c r="G210">
        <f t="shared" si="51"/>
        <v>4.6609784476459026E-8</v>
      </c>
      <c r="L210" s="7">
        <f t="shared" si="45"/>
        <v>4.9720262030229161E-2</v>
      </c>
      <c r="M210" s="7">
        <f t="shared" si="46"/>
        <v>4.9720262030229168E-2</v>
      </c>
      <c r="N210" s="20">
        <f t="shared" si="40"/>
        <v>4.9720262030229168E-2</v>
      </c>
      <c r="O210">
        <f t="shared" si="47"/>
        <v>5.8207660913467407E-10</v>
      </c>
      <c r="P210">
        <f t="shared" si="48"/>
        <v>-3.4924596548080444E-10</v>
      </c>
      <c r="Q210">
        <f t="shared" si="49"/>
        <v>-3.4924596548080444E-10</v>
      </c>
    </row>
    <row r="211" spans="2:17" x14ac:dyDescent="0.25">
      <c r="B211" s="21">
        <f t="shared" si="41"/>
        <v>1.584452641983925E-4</v>
      </c>
      <c r="C211" s="18">
        <f t="shared" si="42"/>
        <v>1.5844526419839253E-4</v>
      </c>
      <c r="D211" s="18">
        <f t="shared" si="43"/>
        <v>1.584452641983925E-4</v>
      </c>
      <c r="E211">
        <f t="shared" si="44"/>
        <v>4.6609784476459026E-8</v>
      </c>
      <c r="F211">
        <f t="shared" si="50"/>
        <v>-9.4369170255959034E-9</v>
      </c>
      <c r="G211">
        <f t="shared" si="51"/>
        <v>4.6609784476459026E-8</v>
      </c>
      <c r="L211" s="7">
        <f t="shared" si="45"/>
        <v>4.9720262030229161E-2</v>
      </c>
      <c r="M211" s="7">
        <f t="shared" si="46"/>
        <v>4.9720262030229168E-2</v>
      </c>
      <c r="N211" s="20">
        <f t="shared" si="40"/>
        <v>4.9720262030229168E-2</v>
      </c>
      <c r="O211">
        <f t="shared" si="47"/>
        <v>5.8207660913467407E-10</v>
      </c>
      <c r="P211">
        <f t="shared" si="48"/>
        <v>-3.4924596548080444E-10</v>
      </c>
      <c r="Q211">
        <f t="shared" si="49"/>
        <v>-3.4924596548080444E-10</v>
      </c>
    </row>
    <row r="212" spans="2:17" x14ac:dyDescent="0.25">
      <c r="B212" s="21">
        <f t="shared" si="41"/>
        <v>1.584452641983925E-4</v>
      </c>
      <c r="C212" s="18">
        <f t="shared" si="42"/>
        <v>1.5844526419839253E-4</v>
      </c>
      <c r="D212" s="18">
        <f t="shared" si="43"/>
        <v>1.584452641983925E-4</v>
      </c>
      <c r="E212">
        <f t="shared" si="44"/>
        <v>4.6609784476459026E-8</v>
      </c>
      <c r="F212">
        <f t="shared" si="50"/>
        <v>-9.4369170255959034E-9</v>
      </c>
      <c r="G212">
        <f t="shared" si="51"/>
        <v>4.6609784476459026E-8</v>
      </c>
      <c r="L212" s="7">
        <f t="shared" si="45"/>
        <v>4.9720262030229161E-2</v>
      </c>
      <c r="M212" s="7">
        <f t="shared" si="46"/>
        <v>4.9720262030229168E-2</v>
      </c>
      <c r="N212" s="20">
        <f t="shared" si="40"/>
        <v>4.9720262030229168E-2</v>
      </c>
      <c r="O212">
        <f t="shared" si="47"/>
        <v>5.8207660913467407E-10</v>
      </c>
      <c r="P212">
        <f t="shared" si="48"/>
        <v>-3.4924596548080444E-10</v>
      </c>
      <c r="Q212">
        <f t="shared" si="49"/>
        <v>-3.4924596548080444E-10</v>
      </c>
    </row>
    <row r="213" spans="2:17" x14ac:dyDescent="0.25">
      <c r="B213" s="21">
        <f t="shared" si="41"/>
        <v>1.584452641983925E-4</v>
      </c>
      <c r="C213" s="18">
        <f t="shared" si="42"/>
        <v>1.5844526419839253E-4</v>
      </c>
      <c r="D213" s="18">
        <f t="shared" si="43"/>
        <v>1.584452641983925E-4</v>
      </c>
      <c r="E213">
        <f t="shared" si="44"/>
        <v>4.6609784476459026E-8</v>
      </c>
      <c r="F213">
        <f t="shared" si="50"/>
        <v>-9.4369170255959034E-9</v>
      </c>
      <c r="G213">
        <f t="shared" si="51"/>
        <v>4.6609784476459026E-8</v>
      </c>
      <c r="L213" s="7">
        <f t="shared" si="45"/>
        <v>4.9720262030229161E-2</v>
      </c>
      <c r="M213" s="7">
        <f t="shared" si="46"/>
        <v>4.9720262030229168E-2</v>
      </c>
      <c r="N213" s="20">
        <f t="shared" si="40"/>
        <v>4.9720262030229168E-2</v>
      </c>
      <c r="O213">
        <f t="shared" si="47"/>
        <v>5.8207660913467407E-10</v>
      </c>
      <c r="P213">
        <f t="shared" si="48"/>
        <v>-3.4924596548080444E-10</v>
      </c>
      <c r="Q213">
        <f t="shared" si="49"/>
        <v>-3.4924596548080444E-10</v>
      </c>
    </row>
    <row r="214" spans="2:17" x14ac:dyDescent="0.25">
      <c r="B214" s="21">
        <f t="shared" si="41"/>
        <v>1.584452641983925E-4</v>
      </c>
      <c r="C214" s="18">
        <f t="shared" si="42"/>
        <v>1.5844526419839253E-4</v>
      </c>
      <c r="D214" s="18">
        <f t="shared" si="43"/>
        <v>1.584452641983925E-4</v>
      </c>
      <c r="E214">
        <f t="shared" si="44"/>
        <v>4.6609784476459026E-8</v>
      </c>
      <c r="F214">
        <f t="shared" si="50"/>
        <v>-9.4369170255959034E-9</v>
      </c>
      <c r="G214">
        <f t="shared" si="51"/>
        <v>4.6609784476459026E-8</v>
      </c>
      <c r="L214" s="7">
        <f t="shared" si="45"/>
        <v>4.9720262030229161E-2</v>
      </c>
      <c r="M214" s="7">
        <f t="shared" si="46"/>
        <v>4.9720262030229168E-2</v>
      </c>
      <c r="N214" s="20">
        <f t="shared" si="40"/>
        <v>4.9720262030229168E-2</v>
      </c>
      <c r="O214">
        <f t="shared" si="47"/>
        <v>5.8207660913467407E-10</v>
      </c>
      <c r="P214">
        <f t="shared" si="48"/>
        <v>-3.4924596548080444E-10</v>
      </c>
      <c r="Q214">
        <f t="shared" si="49"/>
        <v>-3.4924596548080444E-10</v>
      </c>
    </row>
    <row r="215" spans="2:17" x14ac:dyDescent="0.25">
      <c r="B215" s="21">
        <f t="shared" si="41"/>
        <v>1.584452641983925E-4</v>
      </c>
      <c r="C215" s="18">
        <f t="shared" si="42"/>
        <v>1.5844526419839253E-4</v>
      </c>
      <c r="D215" s="18">
        <f t="shared" si="43"/>
        <v>1.584452641983925E-4</v>
      </c>
      <c r="E215">
        <f t="shared" si="44"/>
        <v>4.6609784476459026E-8</v>
      </c>
      <c r="F215">
        <f t="shared" si="50"/>
        <v>-9.4369170255959034E-9</v>
      </c>
      <c r="G215">
        <f t="shared" si="51"/>
        <v>4.6609784476459026E-8</v>
      </c>
      <c r="L215" s="7">
        <f t="shared" si="45"/>
        <v>4.9720262030229161E-2</v>
      </c>
      <c r="M215" s="7">
        <f t="shared" si="46"/>
        <v>4.9720262030229168E-2</v>
      </c>
      <c r="N215" s="20">
        <f t="shared" si="40"/>
        <v>4.9720262030229168E-2</v>
      </c>
      <c r="O215">
        <f t="shared" si="47"/>
        <v>5.8207660913467407E-10</v>
      </c>
      <c r="P215">
        <f t="shared" si="48"/>
        <v>-3.4924596548080444E-10</v>
      </c>
      <c r="Q215">
        <f t="shared" si="49"/>
        <v>-3.4924596548080444E-10</v>
      </c>
    </row>
    <row r="216" spans="2:17" x14ac:dyDescent="0.25">
      <c r="B216" s="21">
        <f t="shared" si="41"/>
        <v>1.584452641983925E-4</v>
      </c>
      <c r="C216" s="18">
        <f t="shared" si="42"/>
        <v>1.5844526419839253E-4</v>
      </c>
      <c r="D216" s="18">
        <f t="shared" si="43"/>
        <v>1.584452641983925E-4</v>
      </c>
      <c r="E216">
        <f t="shared" si="44"/>
        <v>4.6609784476459026E-8</v>
      </c>
      <c r="F216">
        <f t="shared" si="50"/>
        <v>-9.4369170255959034E-9</v>
      </c>
      <c r="G216">
        <f t="shared" si="51"/>
        <v>4.6609784476459026E-8</v>
      </c>
      <c r="L216" s="7">
        <f t="shared" si="45"/>
        <v>4.9720262030229161E-2</v>
      </c>
      <c r="M216" s="7">
        <f t="shared" si="46"/>
        <v>4.9720262030229168E-2</v>
      </c>
      <c r="N216" s="20">
        <f t="shared" si="40"/>
        <v>4.9720262030229168E-2</v>
      </c>
      <c r="O216">
        <f t="shared" si="47"/>
        <v>5.8207660913467407E-10</v>
      </c>
      <c r="P216">
        <f t="shared" si="48"/>
        <v>-3.4924596548080444E-10</v>
      </c>
      <c r="Q216">
        <f t="shared" si="49"/>
        <v>-3.4924596548080444E-10</v>
      </c>
    </row>
    <row r="217" spans="2:17" x14ac:dyDescent="0.25">
      <c r="B217" s="21">
        <f t="shared" si="41"/>
        <v>1.584452641983925E-4</v>
      </c>
      <c r="C217" s="18">
        <f t="shared" si="42"/>
        <v>1.5844526419839253E-4</v>
      </c>
      <c r="D217" s="18">
        <f t="shared" si="43"/>
        <v>1.584452641983925E-4</v>
      </c>
      <c r="E217">
        <f t="shared" si="44"/>
        <v>4.6609784476459026E-8</v>
      </c>
      <c r="F217">
        <f t="shared" si="50"/>
        <v>-9.4369170255959034E-9</v>
      </c>
      <c r="G217">
        <f t="shared" si="51"/>
        <v>4.6609784476459026E-8</v>
      </c>
      <c r="L217" s="7">
        <f t="shared" si="45"/>
        <v>4.9720262030229161E-2</v>
      </c>
      <c r="M217" s="7">
        <f t="shared" si="46"/>
        <v>4.9720262030229168E-2</v>
      </c>
      <c r="N217" s="20">
        <f t="shared" ref="N217:N280" si="52">(L217+M217)/2</f>
        <v>4.9720262030229168E-2</v>
      </c>
      <c r="O217">
        <f t="shared" si="47"/>
        <v>5.8207660913467407E-10</v>
      </c>
      <c r="P217">
        <f t="shared" si="48"/>
        <v>-3.4924596548080444E-10</v>
      </c>
      <c r="Q217">
        <f t="shared" si="49"/>
        <v>-3.4924596548080444E-10</v>
      </c>
    </row>
    <row r="218" spans="2:17" x14ac:dyDescent="0.25">
      <c r="B218" s="21">
        <f t="shared" ref="B218:B281" si="53">IF(E217*G217&lt;0,B217,D217)</f>
        <v>1.584452641983925E-4</v>
      </c>
      <c r="C218" s="18">
        <f t="shared" ref="C218:C281" si="54">IF(F217*G217&lt;0,C217,D217)</f>
        <v>1.5844526419839253E-4</v>
      </c>
      <c r="D218" s="18">
        <f t="shared" ref="D218:D281" si="55">(B218+C218)/2</f>
        <v>1.584452641983925E-4</v>
      </c>
      <c r="E218">
        <f t="shared" ref="E218:E281" si="56">IF($G$8 = "Future Value",$C$5-($D$5*(((1+B218)^($F$5*$G$5)-1)/B218)),$H$5-$D$5*((1-(1+B218)^(-1*$F$5*$G$5))/B218))</f>
        <v>4.6609784476459026E-8</v>
      </c>
      <c r="F218">
        <f t="shared" si="50"/>
        <v>-9.4369170255959034E-9</v>
      </c>
      <c r="G218">
        <f t="shared" si="51"/>
        <v>4.6609784476459026E-8</v>
      </c>
      <c r="L218" s="7">
        <f t="shared" ref="L218:L281" si="57">IF(O217*Q217&lt;0,L217,N217)</f>
        <v>4.9720262030229161E-2</v>
      </c>
      <c r="M218" s="7">
        <f t="shared" ref="M218:M281" si="58">IF(P217*Q217&lt;0,M217,N217)</f>
        <v>4.9720262030229168E-2</v>
      </c>
      <c r="N218" s="20">
        <f t="shared" si="52"/>
        <v>4.9720262030229168E-2</v>
      </c>
      <c r="O218">
        <f t="shared" ref="O218:O281" si="59">IF($Q$8 = "Future Value",$M$5-($N$5*(1+L218)*(((1+L218)^($P$5*$Q$5)-1)/L218)),$R$5-$N$5*(1+L218)*((1-(1+L218)^(-1*$P$5*$Q$5))/L218))</f>
        <v>5.8207660913467407E-10</v>
      </c>
      <c r="P218">
        <f t="shared" ref="P218:P281" si="60">IF($Q$8 = "Future Value",$M$5-($N$5*(1+M218)*(((1+M218)^($P$5*$Q$5)-1)/M218)),$R$5-$N$5*(1+M218)*((1-(1+M218)^(-1*$P$5*$Q$5))/M218))</f>
        <v>-3.4924596548080444E-10</v>
      </c>
      <c r="Q218">
        <f t="shared" ref="Q218:Q281" si="61">IF($Q$8 = "Future Value",$M$5-($N$5*(1+N218)*(((1+N218)^($P$5*$Q$5)-1)/N218)),$R$5-$N$5*(1+N218)*((1-(1+N218)^(-1*$P$5*$Q$5))/N218))</f>
        <v>-3.4924596548080444E-10</v>
      </c>
    </row>
    <row r="219" spans="2:17" x14ac:dyDescent="0.25">
      <c r="B219" s="21">
        <f t="shared" si="53"/>
        <v>1.584452641983925E-4</v>
      </c>
      <c r="C219" s="18">
        <f t="shared" si="54"/>
        <v>1.5844526419839253E-4</v>
      </c>
      <c r="D219" s="18">
        <f t="shared" si="55"/>
        <v>1.584452641983925E-4</v>
      </c>
      <c r="E219">
        <f t="shared" si="56"/>
        <v>4.6609784476459026E-8</v>
      </c>
      <c r="F219">
        <f t="shared" ref="F219:F282" si="62">IF($G$8 = "Future Value",$C$5-($D$5*(((1+C219)^($F$5*$G$5)-1)/C219)),$H$5-$D$5*((1-(1+C219)^(-1*$F$5*$G$5))/C219))</f>
        <v>-9.4369170255959034E-9</v>
      </c>
      <c r="G219">
        <f t="shared" ref="G219:G282" si="63">IF($G$8 = "Future Value",$C$5-($D$5*(((1+D219)^($F$5*$G$5)-1)/D219)),$H$5-$D$5*((1-(1+D219)^(-1*$F$5*$G$5))/D219))</f>
        <v>4.6609784476459026E-8</v>
      </c>
      <c r="L219" s="7">
        <f t="shared" si="57"/>
        <v>4.9720262030229161E-2</v>
      </c>
      <c r="M219" s="7">
        <f t="shared" si="58"/>
        <v>4.9720262030229168E-2</v>
      </c>
      <c r="N219" s="20">
        <f t="shared" si="52"/>
        <v>4.9720262030229168E-2</v>
      </c>
      <c r="O219">
        <f t="shared" si="59"/>
        <v>5.8207660913467407E-10</v>
      </c>
      <c r="P219">
        <f t="shared" si="60"/>
        <v>-3.4924596548080444E-10</v>
      </c>
      <c r="Q219">
        <f t="shared" si="61"/>
        <v>-3.4924596548080444E-10</v>
      </c>
    </row>
    <row r="220" spans="2:17" x14ac:dyDescent="0.25">
      <c r="B220" s="21">
        <f t="shared" si="53"/>
        <v>1.584452641983925E-4</v>
      </c>
      <c r="C220" s="18">
        <f t="shared" si="54"/>
        <v>1.5844526419839253E-4</v>
      </c>
      <c r="D220" s="18">
        <f t="shared" si="55"/>
        <v>1.584452641983925E-4</v>
      </c>
      <c r="E220">
        <f t="shared" si="56"/>
        <v>4.6609784476459026E-8</v>
      </c>
      <c r="F220">
        <f t="shared" si="62"/>
        <v>-9.4369170255959034E-9</v>
      </c>
      <c r="G220">
        <f t="shared" si="63"/>
        <v>4.6609784476459026E-8</v>
      </c>
      <c r="L220" s="7">
        <f t="shared" si="57"/>
        <v>4.9720262030229161E-2</v>
      </c>
      <c r="M220" s="7">
        <f t="shared" si="58"/>
        <v>4.9720262030229168E-2</v>
      </c>
      <c r="N220" s="20">
        <f t="shared" si="52"/>
        <v>4.9720262030229168E-2</v>
      </c>
      <c r="O220">
        <f t="shared" si="59"/>
        <v>5.8207660913467407E-10</v>
      </c>
      <c r="P220">
        <f t="shared" si="60"/>
        <v>-3.4924596548080444E-10</v>
      </c>
      <c r="Q220">
        <f t="shared" si="61"/>
        <v>-3.4924596548080444E-10</v>
      </c>
    </row>
    <row r="221" spans="2:17" x14ac:dyDescent="0.25">
      <c r="B221" s="21">
        <f t="shared" si="53"/>
        <v>1.584452641983925E-4</v>
      </c>
      <c r="C221" s="18">
        <f t="shared" si="54"/>
        <v>1.5844526419839253E-4</v>
      </c>
      <c r="D221" s="18">
        <f t="shared" si="55"/>
        <v>1.584452641983925E-4</v>
      </c>
      <c r="E221">
        <f t="shared" si="56"/>
        <v>4.6609784476459026E-8</v>
      </c>
      <c r="F221">
        <f t="shared" si="62"/>
        <v>-9.4369170255959034E-9</v>
      </c>
      <c r="G221">
        <f t="shared" si="63"/>
        <v>4.6609784476459026E-8</v>
      </c>
      <c r="L221" s="7">
        <f t="shared" si="57"/>
        <v>4.9720262030229161E-2</v>
      </c>
      <c r="M221" s="7">
        <f t="shared" si="58"/>
        <v>4.9720262030229168E-2</v>
      </c>
      <c r="N221" s="20">
        <f t="shared" si="52"/>
        <v>4.9720262030229168E-2</v>
      </c>
      <c r="O221">
        <f t="shared" si="59"/>
        <v>5.8207660913467407E-10</v>
      </c>
      <c r="P221">
        <f t="shared" si="60"/>
        <v>-3.4924596548080444E-10</v>
      </c>
      <c r="Q221">
        <f t="shared" si="61"/>
        <v>-3.4924596548080444E-10</v>
      </c>
    </row>
    <row r="222" spans="2:17" x14ac:dyDescent="0.25">
      <c r="B222" s="21">
        <f t="shared" si="53"/>
        <v>1.584452641983925E-4</v>
      </c>
      <c r="C222" s="18">
        <f t="shared" si="54"/>
        <v>1.5844526419839253E-4</v>
      </c>
      <c r="D222" s="18">
        <f t="shared" si="55"/>
        <v>1.584452641983925E-4</v>
      </c>
      <c r="E222">
        <f t="shared" si="56"/>
        <v>4.6609784476459026E-8</v>
      </c>
      <c r="F222">
        <f t="shared" si="62"/>
        <v>-9.4369170255959034E-9</v>
      </c>
      <c r="G222">
        <f t="shared" si="63"/>
        <v>4.6609784476459026E-8</v>
      </c>
      <c r="L222" s="7">
        <f t="shared" si="57"/>
        <v>4.9720262030229161E-2</v>
      </c>
      <c r="M222" s="7">
        <f t="shared" si="58"/>
        <v>4.9720262030229168E-2</v>
      </c>
      <c r="N222" s="20">
        <f t="shared" si="52"/>
        <v>4.9720262030229168E-2</v>
      </c>
      <c r="O222">
        <f t="shared" si="59"/>
        <v>5.8207660913467407E-10</v>
      </c>
      <c r="P222">
        <f t="shared" si="60"/>
        <v>-3.4924596548080444E-10</v>
      </c>
      <c r="Q222">
        <f t="shared" si="61"/>
        <v>-3.4924596548080444E-10</v>
      </c>
    </row>
    <row r="223" spans="2:17" x14ac:dyDescent="0.25">
      <c r="B223" s="21">
        <f t="shared" si="53"/>
        <v>1.584452641983925E-4</v>
      </c>
      <c r="C223" s="18">
        <f t="shared" si="54"/>
        <v>1.5844526419839253E-4</v>
      </c>
      <c r="D223" s="18">
        <f t="shared" si="55"/>
        <v>1.584452641983925E-4</v>
      </c>
      <c r="E223">
        <f t="shared" si="56"/>
        <v>4.6609784476459026E-8</v>
      </c>
      <c r="F223">
        <f t="shared" si="62"/>
        <v>-9.4369170255959034E-9</v>
      </c>
      <c r="G223">
        <f t="shared" si="63"/>
        <v>4.6609784476459026E-8</v>
      </c>
      <c r="L223" s="7">
        <f t="shared" si="57"/>
        <v>4.9720262030229161E-2</v>
      </c>
      <c r="M223" s="7">
        <f t="shared" si="58"/>
        <v>4.9720262030229168E-2</v>
      </c>
      <c r="N223" s="20">
        <f t="shared" si="52"/>
        <v>4.9720262030229168E-2</v>
      </c>
      <c r="O223">
        <f t="shared" si="59"/>
        <v>5.8207660913467407E-10</v>
      </c>
      <c r="P223">
        <f t="shared" si="60"/>
        <v>-3.4924596548080444E-10</v>
      </c>
      <c r="Q223">
        <f t="shared" si="61"/>
        <v>-3.4924596548080444E-10</v>
      </c>
    </row>
    <row r="224" spans="2:17" x14ac:dyDescent="0.25">
      <c r="B224" s="21">
        <f t="shared" si="53"/>
        <v>1.584452641983925E-4</v>
      </c>
      <c r="C224" s="18">
        <f t="shared" si="54"/>
        <v>1.5844526419839253E-4</v>
      </c>
      <c r="D224" s="18">
        <f t="shared" si="55"/>
        <v>1.584452641983925E-4</v>
      </c>
      <c r="E224">
        <f t="shared" si="56"/>
        <v>4.6609784476459026E-8</v>
      </c>
      <c r="F224">
        <f t="shared" si="62"/>
        <v>-9.4369170255959034E-9</v>
      </c>
      <c r="G224">
        <f t="shared" si="63"/>
        <v>4.6609784476459026E-8</v>
      </c>
      <c r="L224" s="7">
        <f t="shared" si="57"/>
        <v>4.9720262030229161E-2</v>
      </c>
      <c r="M224" s="7">
        <f t="shared" si="58"/>
        <v>4.9720262030229168E-2</v>
      </c>
      <c r="N224" s="20">
        <f t="shared" si="52"/>
        <v>4.9720262030229168E-2</v>
      </c>
      <c r="O224">
        <f t="shared" si="59"/>
        <v>5.8207660913467407E-10</v>
      </c>
      <c r="P224">
        <f t="shared" si="60"/>
        <v>-3.4924596548080444E-10</v>
      </c>
      <c r="Q224">
        <f t="shared" si="61"/>
        <v>-3.4924596548080444E-10</v>
      </c>
    </row>
    <row r="225" spans="2:17" x14ac:dyDescent="0.25">
      <c r="B225" s="21">
        <f t="shared" si="53"/>
        <v>1.584452641983925E-4</v>
      </c>
      <c r="C225" s="18">
        <f t="shared" si="54"/>
        <v>1.5844526419839253E-4</v>
      </c>
      <c r="D225" s="18">
        <f t="shared" si="55"/>
        <v>1.584452641983925E-4</v>
      </c>
      <c r="E225">
        <f t="shared" si="56"/>
        <v>4.6609784476459026E-8</v>
      </c>
      <c r="F225">
        <f t="shared" si="62"/>
        <v>-9.4369170255959034E-9</v>
      </c>
      <c r="G225">
        <f t="shared" si="63"/>
        <v>4.6609784476459026E-8</v>
      </c>
      <c r="L225" s="7">
        <f t="shared" si="57"/>
        <v>4.9720262030229161E-2</v>
      </c>
      <c r="M225" s="7">
        <f t="shared" si="58"/>
        <v>4.9720262030229168E-2</v>
      </c>
      <c r="N225" s="20">
        <f t="shared" si="52"/>
        <v>4.9720262030229168E-2</v>
      </c>
      <c r="O225">
        <f t="shared" si="59"/>
        <v>5.8207660913467407E-10</v>
      </c>
      <c r="P225">
        <f t="shared" si="60"/>
        <v>-3.4924596548080444E-10</v>
      </c>
      <c r="Q225">
        <f t="shared" si="61"/>
        <v>-3.4924596548080444E-10</v>
      </c>
    </row>
    <row r="226" spans="2:17" x14ac:dyDescent="0.25">
      <c r="B226" s="21">
        <f t="shared" si="53"/>
        <v>1.584452641983925E-4</v>
      </c>
      <c r="C226" s="18">
        <f t="shared" si="54"/>
        <v>1.5844526419839253E-4</v>
      </c>
      <c r="D226" s="18">
        <f t="shared" si="55"/>
        <v>1.584452641983925E-4</v>
      </c>
      <c r="E226">
        <f t="shared" si="56"/>
        <v>4.6609784476459026E-8</v>
      </c>
      <c r="F226">
        <f t="shared" si="62"/>
        <v>-9.4369170255959034E-9</v>
      </c>
      <c r="G226">
        <f t="shared" si="63"/>
        <v>4.6609784476459026E-8</v>
      </c>
      <c r="L226" s="7">
        <f t="shared" si="57"/>
        <v>4.9720262030229161E-2</v>
      </c>
      <c r="M226" s="7">
        <f t="shared" si="58"/>
        <v>4.9720262030229168E-2</v>
      </c>
      <c r="N226" s="20">
        <f t="shared" si="52"/>
        <v>4.9720262030229168E-2</v>
      </c>
      <c r="O226">
        <f t="shared" si="59"/>
        <v>5.8207660913467407E-10</v>
      </c>
      <c r="P226">
        <f t="shared" si="60"/>
        <v>-3.4924596548080444E-10</v>
      </c>
      <c r="Q226">
        <f t="shared" si="61"/>
        <v>-3.4924596548080444E-10</v>
      </c>
    </row>
    <row r="227" spans="2:17" x14ac:dyDescent="0.25">
      <c r="B227" s="21">
        <f t="shared" si="53"/>
        <v>1.584452641983925E-4</v>
      </c>
      <c r="C227" s="18">
        <f t="shared" si="54"/>
        <v>1.5844526419839253E-4</v>
      </c>
      <c r="D227" s="18">
        <f t="shared" si="55"/>
        <v>1.584452641983925E-4</v>
      </c>
      <c r="E227">
        <f t="shared" si="56"/>
        <v>4.6609784476459026E-8</v>
      </c>
      <c r="F227">
        <f t="shared" si="62"/>
        <v>-9.4369170255959034E-9</v>
      </c>
      <c r="G227">
        <f t="shared" si="63"/>
        <v>4.6609784476459026E-8</v>
      </c>
      <c r="L227" s="7">
        <f t="shared" si="57"/>
        <v>4.9720262030229161E-2</v>
      </c>
      <c r="M227" s="7">
        <f t="shared" si="58"/>
        <v>4.9720262030229168E-2</v>
      </c>
      <c r="N227" s="20">
        <f t="shared" si="52"/>
        <v>4.9720262030229168E-2</v>
      </c>
      <c r="O227">
        <f t="shared" si="59"/>
        <v>5.8207660913467407E-10</v>
      </c>
      <c r="P227">
        <f t="shared" si="60"/>
        <v>-3.4924596548080444E-10</v>
      </c>
      <c r="Q227">
        <f t="shared" si="61"/>
        <v>-3.4924596548080444E-10</v>
      </c>
    </row>
    <row r="228" spans="2:17" x14ac:dyDescent="0.25">
      <c r="B228" s="21">
        <f t="shared" si="53"/>
        <v>1.584452641983925E-4</v>
      </c>
      <c r="C228" s="18">
        <f t="shared" si="54"/>
        <v>1.5844526419839253E-4</v>
      </c>
      <c r="D228" s="18">
        <f t="shared" si="55"/>
        <v>1.584452641983925E-4</v>
      </c>
      <c r="E228">
        <f t="shared" si="56"/>
        <v>4.6609784476459026E-8</v>
      </c>
      <c r="F228">
        <f t="shared" si="62"/>
        <v>-9.4369170255959034E-9</v>
      </c>
      <c r="G228">
        <f t="shared" si="63"/>
        <v>4.6609784476459026E-8</v>
      </c>
      <c r="L228" s="7">
        <f t="shared" si="57"/>
        <v>4.9720262030229161E-2</v>
      </c>
      <c r="M228" s="7">
        <f t="shared" si="58"/>
        <v>4.9720262030229168E-2</v>
      </c>
      <c r="N228" s="20">
        <f t="shared" si="52"/>
        <v>4.9720262030229168E-2</v>
      </c>
      <c r="O228">
        <f t="shared" si="59"/>
        <v>5.8207660913467407E-10</v>
      </c>
      <c r="P228">
        <f t="shared" si="60"/>
        <v>-3.4924596548080444E-10</v>
      </c>
      <c r="Q228">
        <f t="shared" si="61"/>
        <v>-3.4924596548080444E-10</v>
      </c>
    </row>
    <row r="229" spans="2:17" x14ac:dyDescent="0.25">
      <c r="B229" s="21">
        <f t="shared" si="53"/>
        <v>1.584452641983925E-4</v>
      </c>
      <c r="C229" s="18">
        <f t="shared" si="54"/>
        <v>1.5844526419839253E-4</v>
      </c>
      <c r="D229" s="18">
        <f t="shared" si="55"/>
        <v>1.584452641983925E-4</v>
      </c>
      <c r="E229">
        <f t="shared" si="56"/>
        <v>4.6609784476459026E-8</v>
      </c>
      <c r="F229">
        <f t="shared" si="62"/>
        <v>-9.4369170255959034E-9</v>
      </c>
      <c r="G229">
        <f t="shared" si="63"/>
        <v>4.6609784476459026E-8</v>
      </c>
      <c r="L229" s="7">
        <f t="shared" si="57"/>
        <v>4.9720262030229161E-2</v>
      </c>
      <c r="M229" s="7">
        <f t="shared" si="58"/>
        <v>4.9720262030229168E-2</v>
      </c>
      <c r="N229" s="20">
        <f t="shared" si="52"/>
        <v>4.9720262030229168E-2</v>
      </c>
      <c r="O229">
        <f t="shared" si="59"/>
        <v>5.8207660913467407E-10</v>
      </c>
      <c r="P229">
        <f t="shared" si="60"/>
        <v>-3.4924596548080444E-10</v>
      </c>
      <c r="Q229">
        <f t="shared" si="61"/>
        <v>-3.4924596548080444E-10</v>
      </c>
    </row>
    <row r="230" spans="2:17" x14ac:dyDescent="0.25">
      <c r="B230" s="21">
        <f t="shared" si="53"/>
        <v>1.584452641983925E-4</v>
      </c>
      <c r="C230" s="18">
        <f t="shared" si="54"/>
        <v>1.5844526419839253E-4</v>
      </c>
      <c r="D230" s="18">
        <f t="shared" si="55"/>
        <v>1.584452641983925E-4</v>
      </c>
      <c r="E230">
        <f t="shared" si="56"/>
        <v>4.6609784476459026E-8</v>
      </c>
      <c r="F230">
        <f t="shared" si="62"/>
        <v>-9.4369170255959034E-9</v>
      </c>
      <c r="G230">
        <f t="shared" si="63"/>
        <v>4.6609784476459026E-8</v>
      </c>
      <c r="L230" s="7">
        <f t="shared" si="57"/>
        <v>4.9720262030229161E-2</v>
      </c>
      <c r="M230" s="7">
        <f t="shared" si="58"/>
        <v>4.9720262030229168E-2</v>
      </c>
      <c r="N230" s="20">
        <f t="shared" si="52"/>
        <v>4.9720262030229168E-2</v>
      </c>
      <c r="O230">
        <f t="shared" si="59"/>
        <v>5.8207660913467407E-10</v>
      </c>
      <c r="P230">
        <f t="shared" si="60"/>
        <v>-3.4924596548080444E-10</v>
      </c>
      <c r="Q230">
        <f t="shared" si="61"/>
        <v>-3.4924596548080444E-10</v>
      </c>
    </row>
    <row r="231" spans="2:17" x14ac:dyDescent="0.25">
      <c r="B231" s="21">
        <f t="shared" si="53"/>
        <v>1.584452641983925E-4</v>
      </c>
      <c r="C231" s="18">
        <f t="shared" si="54"/>
        <v>1.5844526419839253E-4</v>
      </c>
      <c r="D231" s="18">
        <f t="shared" si="55"/>
        <v>1.584452641983925E-4</v>
      </c>
      <c r="E231">
        <f t="shared" si="56"/>
        <v>4.6609784476459026E-8</v>
      </c>
      <c r="F231">
        <f t="shared" si="62"/>
        <v>-9.4369170255959034E-9</v>
      </c>
      <c r="G231">
        <f t="shared" si="63"/>
        <v>4.6609784476459026E-8</v>
      </c>
      <c r="L231" s="7">
        <f t="shared" si="57"/>
        <v>4.9720262030229161E-2</v>
      </c>
      <c r="M231" s="7">
        <f t="shared" si="58"/>
        <v>4.9720262030229168E-2</v>
      </c>
      <c r="N231" s="20">
        <f t="shared" si="52"/>
        <v>4.9720262030229168E-2</v>
      </c>
      <c r="O231">
        <f t="shared" si="59"/>
        <v>5.8207660913467407E-10</v>
      </c>
      <c r="P231">
        <f t="shared" si="60"/>
        <v>-3.4924596548080444E-10</v>
      </c>
      <c r="Q231">
        <f t="shared" si="61"/>
        <v>-3.4924596548080444E-10</v>
      </c>
    </row>
    <row r="232" spans="2:17" x14ac:dyDescent="0.25">
      <c r="B232" s="21">
        <f t="shared" si="53"/>
        <v>1.584452641983925E-4</v>
      </c>
      <c r="C232" s="18">
        <f t="shared" si="54"/>
        <v>1.5844526419839253E-4</v>
      </c>
      <c r="D232" s="18">
        <f t="shared" si="55"/>
        <v>1.584452641983925E-4</v>
      </c>
      <c r="E232">
        <f t="shared" si="56"/>
        <v>4.6609784476459026E-8</v>
      </c>
      <c r="F232">
        <f t="shared" si="62"/>
        <v>-9.4369170255959034E-9</v>
      </c>
      <c r="G232">
        <f t="shared" si="63"/>
        <v>4.6609784476459026E-8</v>
      </c>
      <c r="L232" s="7">
        <f t="shared" si="57"/>
        <v>4.9720262030229161E-2</v>
      </c>
      <c r="M232" s="7">
        <f t="shared" si="58"/>
        <v>4.9720262030229168E-2</v>
      </c>
      <c r="N232" s="20">
        <f t="shared" si="52"/>
        <v>4.9720262030229168E-2</v>
      </c>
      <c r="O232">
        <f t="shared" si="59"/>
        <v>5.8207660913467407E-10</v>
      </c>
      <c r="P232">
        <f t="shared" si="60"/>
        <v>-3.4924596548080444E-10</v>
      </c>
      <c r="Q232">
        <f t="shared" si="61"/>
        <v>-3.4924596548080444E-10</v>
      </c>
    </row>
    <row r="233" spans="2:17" x14ac:dyDescent="0.25">
      <c r="B233" s="21">
        <f t="shared" si="53"/>
        <v>1.584452641983925E-4</v>
      </c>
      <c r="C233" s="18">
        <f t="shared" si="54"/>
        <v>1.5844526419839253E-4</v>
      </c>
      <c r="D233" s="18">
        <f t="shared" si="55"/>
        <v>1.584452641983925E-4</v>
      </c>
      <c r="E233">
        <f t="shared" si="56"/>
        <v>4.6609784476459026E-8</v>
      </c>
      <c r="F233">
        <f t="shared" si="62"/>
        <v>-9.4369170255959034E-9</v>
      </c>
      <c r="G233">
        <f t="shared" si="63"/>
        <v>4.6609784476459026E-8</v>
      </c>
      <c r="L233" s="7">
        <f t="shared" si="57"/>
        <v>4.9720262030229161E-2</v>
      </c>
      <c r="M233" s="7">
        <f t="shared" si="58"/>
        <v>4.9720262030229168E-2</v>
      </c>
      <c r="N233" s="20">
        <f t="shared" si="52"/>
        <v>4.9720262030229168E-2</v>
      </c>
      <c r="O233">
        <f t="shared" si="59"/>
        <v>5.8207660913467407E-10</v>
      </c>
      <c r="P233">
        <f t="shared" si="60"/>
        <v>-3.4924596548080444E-10</v>
      </c>
      <c r="Q233">
        <f t="shared" si="61"/>
        <v>-3.4924596548080444E-10</v>
      </c>
    </row>
    <row r="234" spans="2:17" x14ac:dyDescent="0.25">
      <c r="B234" s="21">
        <f t="shared" si="53"/>
        <v>1.584452641983925E-4</v>
      </c>
      <c r="C234" s="18">
        <f t="shared" si="54"/>
        <v>1.5844526419839253E-4</v>
      </c>
      <c r="D234" s="18">
        <f t="shared" si="55"/>
        <v>1.584452641983925E-4</v>
      </c>
      <c r="E234">
        <f t="shared" si="56"/>
        <v>4.6609784476459026E-8</v>
      </c>
      <c r="F234">
        <f t="shared" si="62"/>
        <v>-9.4369170255959034E-9</v>
      </c>
      <c r="G234">
        <f t="shared" si="63"/>
        <v>4.6609784476459026E-8</v>
      </c>
      <c r="L234" s="7">
        <f t="shared" si="57"/>
        <v>4.9720262030229161E-2</v>
      </c>
      <c r="M234" s="7">
        <f t="shared" si="58"/>
        <v>4.9720262030229168E-2</v>
      </c>
      <c r="N234" s="20">
        <f t="shared" si="52"/>
        <v>4.9720262030229168E-2</v>
      </c>
      <c r="O234">
        <f t="shared" si="59"/>
        <v>5.8207660913467407E-10</v>
      </c>
      <c r="P234">
        <f t="shared" si="60"/>
        <v>-3.4924596548080444E-10</v>
      </c>
      <c r="Q234">
        <f t="shared" si="61"/>
        <v>-3.4924596548080444E-10</v>
      </c>
    </row>
    <row r="235" spans="2:17" x14ac:dyDescent="0.25">
      <c r="B235" s="21">
        <f t="shared" si="53"/>
        <v>1.584452641983925E-4</v>
      </c>
      <c r="C235" s="18">
        <f t="shared" si="54"/>
        <v>1.5844526419839253E-4</v>
      </c>
      <c r="D235" s="18">
        <f t="shared" si="55"/>
        <v>1.584452641983925E-4</v>
      </c>
      <c r="E235">
        <f t="shared" si="56"/>
        <v>4.6609784476459026E-8</v>
      </c>
      <c r="F235">
        <f t="shared" si="62"/>
        <v>-9.4369170255959034E-9</v>
      </c>
      <c r="G235">
        <f t="shared" si="63"/>
        <v>4.6609784476459026E-8</v>
      </c>
      <c r="L235" s="7">
        <f t="shared" si="57"/>
        <v>4.9720262030229161E-2</v>
      </c>
      <c r="M235" s="7">
        <f t="shared" si="58"/>
        <v>4.9720262030229168E-2</v>
      </c>
      <c r="N235" s="20">
        <f t="shared" si="52"/>
        <v>4.9720262030229168E-2</v>
      </c>
      <c r="O235">
        <f t="shared" si="59"/>
        <v>5.8207660913467407E-10</v>
      </c>
      <c r="P235">
        <f t="shared" si="60"/>
        <v>-3.4924596548080444E-10</v>
      </c>
      <c r="Q235">
        <f t="shared" si="61"/>
        <v>-3.4924596548080444E-10</v>
      </c>
    </row>
    <row r="236" spans="2:17" x14ac:dyDescent="0.25">
      <c r="B236" s="21">
        <f t="shared" si="53"/>
        <v>1.584452641983925E-4</v>
      </c>
      <c r="C236" s="18">
        <f t="shared" si="54"/>
        <v>1.5844526419839253E-4</v>
      </c>
      <c r="D236" s="18">
        <f t="shared" si="55"/>
        <v>1.584452641983925E-4</v>
      </c>
      <c r="E236">
        <f t="shared" si="56"/>
        <v>4.6609784476459026E-8</v>
      </c>
      <c r="F236">
        <f t="shared" si="62"/>
        <v>-9.4369170255959034E-9</v>
      </c>
      <c r="G236">
        <f t="shared" si="63"/>
        <v>4.6609784476459026E-8</v>
      </c>
      <c r="L236" s="7">
        <f t="shared" si="57"/>
        <v>4.9720262030229161E-2</v>
      </c>
      <c r="M236" s="7">
        <f t="shared" si="58"/>
        <v>4.9720262030229168E-2</v>
      </c>
      <c r="N236" s="20">
        <f t="shared" si="52"/>
        <v>4.9720262030229168E-2</v>
      </c>
      <c r="O236">
        <f t="shared" si="59"/>
        <v>5.8207660913467407E-10</v>
      </c>
      <c r="P236">
        <f t="shared" si="60"/>
        <v>-3.4924596548080444E-10</v>
      </c>
      <c r="Q236">
        <f t="shared" si="61"/>
        <v>-3.4924596548080444E-10</v>
      </c>
    </row>
    <row r="237" spans="2:17" x14ac:dyDescent="0.25">
      <c r="B237" s="21">
        <f t="shared" si="53"/>
        <v>1.584452641983925E-4</v>
      </c>
      <c r="C237" s="18">
        <f t="shared" si="54"/>
        <v>1.5844526419839253E-4</v>
      </c>
      <c r="D237" s="18">
        <f t="shared" si="55"/>
        <v>1.584452641983925E-4</v>
      </c>
      <c r="E237">
        <f t="shared" si="56"/>
        <v>4.6609784476459026E-8</v>
      </c>
      <c r="F237">
        <f t="shared" si="62"/>
        <v>-9.4369170255959034E-9</v>
      </c>
      <c r="G237">
        <f t="shared" si="63"/>
        <v>4.6609784476459026E-8</v>
      </c>
      <c r="L237" s="7">
        <f t="shared" si="57"/>
        <v>4.9720262030229161E-2</v>
      </c>
      <c r="M237" s="7">
        <f t="shared" si="58"/>
        <v>4.9720262030229168E-2</v>
      </c>
      <c r="N237" s="20">
        <f t="shared" si="52"/>
        <v>4.9720262030229168E-2</v>
      </c>
      <c r="O237">
        <f t="shared" si="59"/>
        <v>5.8207660913467407E-10</v>
      </c>
      <c r="P237">
        <f t="shared" si="60"/>
        <v>-3.4924596548080444E-10</v>
      </c>
      <c r="Q237">
        <f t="shared" si="61"/>
        <v>-3.4924596548080444E-10</v>
      </c>
    </row>
    <row r="238" spans="2:17" x14ac:dyDescent="0.25">
      <c r="B238" s="21">
        <f t="shared" si="53"/>
        <v>1.584452641983925E-4</v>
      </c>
      <c r="C238" s="18">
        <f t="shared" si="54"/>
        <v>1.5844526419839253E-4</v>
      </c>
      <c r="D238" s="18">
        <f t="shared" si="55"/>
        <v>1.584452641983925E-4</v>
      </c>
      <c r="E238">
        <f t="shared" si="56"/>
        <v>4.6609784476459026E-8</v>
      </c>
      <c r="F238">
        <f t="shared" si="62"/>
        <v>-9.4369170255959034E-9</v>
      </c>
      <c r="G238">
        <f t="shared" si="63"/>
        <v>4.6609784476459026E-8</v>
      </c>
      <c r="L238" s="7">
        <f t="shared" si="57"/>
        <v>4.9720262030229161E-2</v>
      </c>
      <c r="M238" s="7">
        <f t="shared" si="58"/>
        <v>4.9720262030229168E-2</v>
      </c>
      <c r="N238" s="20">
        <f t="shared" si="52"/>
        <v>4.9720262030229168E-2</v>
      </c>
      <c r="O238">
        <f t="shared" si="59"/>
        <v>5.8207660913467407E-10</v>
      </c>
      <c r="P238">
        <f t="shared" si="60"/>
        <v>-3.4924596548080444E-10</v>
      </c>
      <c r="Q238">
        <f t="shared" si="61"/>
        <v>-3.4924596548080444E-10</v>
      </c>
    </row>
    <row r="239" spans="2:17" x14ac:dyDescent="0.25">
      <c r="B239" s="21">
        <f t="shared" si="53"/>
        <v>1.584452641983925E-4</v>
      </c>
      <c r="C239" s="18">
        <f t="shared" si="54"/>
        <v>1.5844526419839253E-4</v>
      </c>
      <c r="D239" s="18">
        <f t="shared" si="55"/>
        <v>1.584452641983925E-4</v>
      </c>
      <c r="E239">
        <f t="shared" si="56"/>
        <v>4.6609784476459026E-8</v>
      </c>
      <c r="F239">
        <f t="shared" si="62"/>
        <v>-9.4369170255959034E-9</v>
      </c>
      <c r="G239">
        <f t="shared" si="63"/>
        <v>4.6609784476459026E-8</v>
      </c>
      <c r="L239" s="7">
        <f t="shared" si="57"/>
        <v>4.9720262030229161E-2</v>
      </c>
      <c r="M239" s="7">
        <f t="shared" si="58"/>
        <v>4.9720262030229168E-2</v>
      </c>
      <c r="N239" s="20">
        <f t="shared" si="52"/>
        <v>4.9720262030229168E-2</v>
      </c>
      <c r="O239">
        <f t="shared" si="59"/>
        <v>5.8207660913467407E-10</v>
      </c>
      <c r="P239">
        <f t="shared" si="60"/>
        <v>-3.4924596548080444E-10</v>
      </c>
      <c r="Q239">
        <f t="shared" si="61"/>
        <v>-3.4924596548080444E-10</v>
      </c>
    </row>
    <row r="240" spans="2:17" x14ac:dyDescent="0.25">
      <c r="B240" s="21">
        <f t="shared" si="53"/>
        <v>1.584452641983925E-4</v>
      </c>
      <c r="C240" s="18">
        <f t="shared" si="54"/>
        <v>1.5844526419839253E-4</v>
      </c>
      <c r="D240" s="18">
        <f t="shared" si="55"/>
        <v>1.584452641983925E-4</v>
      </c>
      <c r="E240">
        <f t="shared" si="56"/>
        <v>4.6609784476459026E-8</v>
      </c>
      <c r="F240">
        <f t="shared" si="62"/>
        <v>-9.4369170255959034E-9</v>
      </c>
      <c r="G240">
        <f t="shared" si="63"/>
        <v>4.6609784476459026E-8</v>
      </c>
      <c r="L240" s="7">
        <f t="shared" si="57"/>
        <v>4.9720262030229161E-2</v>
      </c>
      <c r="M240" s="7">
        <f t="shared" si="58"/>
        <v>4.9720262030229168E-2</v>
      </c>
      <c r="N240" s="20">
        <f t="shared" si="52"/>
        <v>4.9720262030229168E-2</v>
      </c>
      <c r="O240">
        <f t="shared" si="59"/>
        <v>5.8207660913467407E-10</v>
      </c>
      <c r="P240">
        <f t="shared" si="60"/>
        <v>-3.4924596548080444E-10</v>
      </c>
      <c r="Q240">
        <f t="shared" si="61"/>
        <v>-3.4924596548080444E-10</v>
      </c>
    </row>
    <row r="241" spans="2:17" x14ac:dyDescent="0.25">
      <c r="B241" s="21">
        <f t="shared" si="53"/>
        <v>1.584452641983925E-4</v>
      </c>
      <c r="C241" s="18">
        <f t="shared" si="54"/>
        <v>1.5844526419839253E-4</v>
      </c>
      <c r="D241" s="18">
        <f t="shared" si="55"/>
        <v>1.584452641983925E-4</v>
      </c>
      <c r="E241">
        <f t="shared" si="56"/>
        <v>4.6609784476459026E-8</v>
      </c>
      <c r="F241">
        <f t="shared" si="62"/>
        <v>-9.4369170255959034E-9</v>
      </c>
      <c r="G241">
        <f t="shared" si="63"/>
        <v>4.6609784476459026E-8</v>
      </c>
      <c r="L241" s="7">
        <f t="shared" si="57"/>
        <v>4.9720262030229161E-2</v>
      </c>
      <c r="M241" s="7">
        <f t="shared" si="58"/>
        <v>4.9720262030229168E-2</v>
      </c>
      <c r="N241" s="20">
        <f t="shared" si="52"/>
        <v>4.9720262030229168E-2</v>
      </c>
      <c r="O241">
        <f t="shared" si="59"/>
        <v>5.8207660913467407E-10</v>
      </c>
      <c r="P241">
        <f t="shared" si="60"/>
        <v>-3.4924596548080444E-10</v>
      </c>
      <c r="Q241">
        <f t="shared" si="61"/>
        <v>-3.4924596548080444E-10</v>
      </c>
    </row>
    <row r="242" spans="2:17" x14ac:dyDescent="0.25">
      <c r="B242" s="21">
        <f t="shared" si="53"/>
        <v>1.584452641983925E-4</v>
      </c>
      <c r="C242" s="18">
        <f t="shared" si="54"/>
        <v>1.5844526419839253E-4</v>
      </c>
      <c r="D242" s="18">
        <f t="shared" si="55"/>
        <v>1.584452641983925E-4</v>
      </c>
      <c r="E242">
        <f t="shared" si="56"/>
        <v>4.6609784476459026E-8</v>
      </c>
      <c r="F242">
        <f t="shared" si="62"/>
        <v>-9.4369170255959034E-9</v>
      </c>
      <c r="G242">
        <f t="shared" si="63"/>
        <v>4.6609784476459026E-8</v>
      </c>
      <c r="L242" s="7">
        <f t="shared" si="57"/>
        <v>4.9720262030229161E-2</v>
      </c>
      <c r="M242" s="7">
        <f t="shared" si="58"/>
        <v>4.9720262030229168E-2</v>
      </c>
      <c r="N242" s="20">
        <f t="shared" si="52"/>
        <v>4.9720262030229168E-2</v>
      </c>
      <c r="O242">
        <f t="shared" si="59"/>
        <v>5.8207660913467407E-10</v>
      </c>
      <c r="P242">
        <f t="shared" si="60"/>
        <v>-3.4924596548080444E-10</v>
      </c>
      <c r="Q242">
        <f t="shared" si="61"/>
        <v>-3.4924596548080444E-10</v>
      </c>
    </row>
    <row r="243" spans="2:17" x14ac:dyDescent="0.25">
      <c r="B243" s="21">
        <f t="shared" si="53"/>
        <v>1.584452641983925E-4</v>
      </c>
      <c r="C243" s="18">
        <f t="shared" si="54"/>
        <v>1.5844526419839253E-4</v>
      </c>
      <c r="D243" s="18">
        <f t="shared" si="55"/>
        <v>1.584452641983925E-4</v>
      </c>
      <c r="E243">
        <f t="shared" si="56"/>
        <v>4.6609784476459026E-8</v>
      </c>
      <c r="F243">
        <f t="shared" si="62"/>
        <v>-9.4369170255959034E-9</v>
      </c>
      <c r="G243">
        <f t="shared" si="63"/>
        <v>4.6609784476459026E-8</v>
      </c>
      <c r="L243" s="7">
        <f t="shared" si="57"/>
        <v>4.9720262030229161E-2</v>
      </c>
      <c r="M243" s="7">
        <f t="shared" si="58"/>
        <v>4.9720262030229168E-2</v>
      </c>
      <c r="N243" s="20">
        <f t="shared" si="52"/>
        <v>4.9720262030229168E-2</v>
      </c>
      <c r="O243">
        <f t="shared" si="59"/>
        <v>5.8207660913467407E-10</v>
      </c>
      <c r="P243">
        <f t="shared" si="60"/>
        <v>-3.4924596548080444E-10</v>
      </c>
      <c r="Q243">
        <f t="shared" si="61"/>
        <v>-3.4924596548080444E-10</v>
      </c>
    </row>
    <row r="244" spans="2:17" x14ac:dyDescent="0.25">
      <c r="B244" s="21">
        <f t="shared" si="53"/>
        <v>1.584452641983925E-4</v>
      </c>
      <c r="C244" s="18">
        <f t="shared" si="54"/>
        <v>1.5844526419839253E-4</v>
      </c>
      <c r="D244" s="18">
        <f t="shared" si="55"/>
        <v>1.584452641983925E-4</v>
      </c>
      <c r="E244">
        <f t="shared" si="56"/>
        <v>4.6609784476459026E-8</v>
      </c>
      <c r="F244">
        <f t="shared" si="62"/>
        <v>-9.4369170255959034E-9</v>
      </c>
      <c r="G244">
        <f t="shared" si="63"/>
        <v>4.6609784476459026E-8</v>
      </c>
      <c r="L244" s="7">
        <f t="shared" si="57"/>
        <v>4.9720262030229161E-2</v>
      </c>
      <c r="M244" s="7">
        <f t="shared" si="58"/>
        <v>4.9720262030229168E-2</v>
      </c>
      <c r="N244" s="20">
        <f t="shared" si="52"/>
        <v>4.9720262030229168E-2</v>
      </c>
      <c r="O244">
        <f t="shared" si="59"/>
        <v>5.8207660913467407E-10</v>
      </c>
      <c r="P244">
        <f t="shared" si="60"/>
        <v>-3.4924596548080444E-10</v>
      </c>
      <c r="Q244">
        <f t="shared" si="61"/>
        <v>-3.4924596548080444E-10</v>
      </c>
    </row>
    <row r="245" spans="2:17" x14ac:dyDescent="0.25">
      <c r="B245" s="21">
        <f t="shared" si="53"/>
        <v>1.584452641983925E-4</v>
      </c>
      <c r="C245" s="18">
        <f t="shared" si="54"/>
        <v>1.5844526419839253E-4</v>
      </c>
      <c r="D245" s="18">
        <f t="shared" si="55"/>
        <v>1.584452641983925E-4</v>
      </c>
      <c r="E245">
        <f t="shared" si="56"/>
        <v>4.6609784476459026E-8</v>
      </c>
      <c r="F245">
        <f t="shared" si="62"/>
        <v>-9.4369170255959034E-9</v>
      </c>
      <c r="G245">
        <f t="shared" si="63"/>
        <v>4.6609784476459026E-8</v>
      </c>
      <c r="L245" s="7">
        <f t="shared" si="57"/>
        <v>4.9720262030229161E-2</v>
      </c>
      <c r="M245" s="7">
        <f t="shared" si="58"/>
        <v>4.9720262030229168E-2</v>
      </c>
      <c r="N245" s="20">
        <f t="shared" si="52"/>
        <v>4.9720262030229168E-2</v>
      </c>
      <c r="O245">
        <f t="shared" si="59"/>
        <v>5.8207660913467407E-10</v>
      </c>
      <c r="P245">
        <f t="shared" si="60"/>
        <v>-3.4924596548080444E-10</v>
      </c>
      <c r="Q245">
        <f t="shared" si="61"/>
        <v>-3.4924596548080444E-10</v>
      </c>
    </row>
    <row r="246" spans="2:17" x14ac:dyDescent="0.25">
      <c r="B246" s="21">
        <f t="shared" si="53"/>
        <v>1.584452641983925E-4</v>
      </c>
      <c r="C246" s="18">
        <f t="shared" si="54"/>
        <v>1.5844526419839253E-4</v>
      </c>
      <c r="D246" s="18">
        <f t="shared" si="55"/>
        <v>1.584452641983925E-4</v>
      </c>
      <c r="E246">
        <f t="shared" si="56"/>
        <v>4.6609784476459026E-8</v>
      </c>
      <c r="F246">
        <f t="shared" si="62"/>
        <v>-9.4369170255959034E-9</v>
      </c>
      <c r="G246">
        <f t="shared" si="63"/>
        <v>4.6609784476459026E-8</v>
      </c>
      <c r="L246" s="7">
        <f t="shared" si="57"/>
        <v>4.9720262030229161E-2</v>
      </c>
      <c r="M246" s="7">
        <f t="shared" si="58"/>
        <v>4.9720262030229168E-2</v>
      </c>
      <c r="N246" s="20">
        <f t="shared" si="52"/>
        <v>4.9720262030229168E-2</v>
      </c>
      <c r="O246">
        <f t="shared" si="59"/>
        <v>5.8207660913467407E-10</v>
      </c>
      <c r="P246">
        <f t="shared" si="60"/>
        <v>-3.4924596548080444E-10</v>
      </c>
      <c r="Q246">
        <f t="shared" si="61"/>
        <v>-3.4924596548080444E-10</v>
      </c>
    </row>
    <row r="247" spans="2:17" x14ac:dyDescent="0.25">
      <c r="B247" s="21">
        <f t="shared" si="53"/>
        <v>1.584452641983925E-4</v>
      </c>
      <c r="C247" s="18">
        <f t="shared" si="54"/>
        <v>1.5844526419839253E-4</v>
      </c>
      <c r="D247" s="18">
        <f t="shared" si="55"/>
        <v>1.584452641983925E-4</v>
      </c>
      <c r="E247">
        <f t="shared" si="56"/>
        <v>4.6609784476459026E-8</v>
      </c>
      <c r="F247">
        <f t="shared" si="62"/>
        <v>-9.4369170255959034E-9</v>
      </c>
      <c r="G247">
        <f t="shared" si="63"/>
        <v>4.6609784476459026E-8</v>
      </c>
      <c r="L247" s="7">
        <f t="shared" si="57"/>
        <v>4.9720262030229161E-2</v>
      </c>
      <c r="M247" s="7">
        <f t="shared" si="58"/>
        <v>4.9720262030229168E-2</v>
      </c>
      <c r="N247" s="20">
        <f t="shared" si="52"/>
        <v>4.9720262030229168E-2</v>
      </c>
      <c r="O247">
        <f t="shared" si="59"/>
        <v>5.8207660913467407E-10</v>
      </c>
      <c r="P247">
        <f t="shared" si="60"/>
        <v>-3.4924596548080444E-10</v>
      </c>
      <c r="Q247">
        <f t="shared" si="61"/>
        <v>-3.4924596548080444E-10</v>
      </c>
    </row>
    <row r="248" spans="2:17" x14ac:dyDescent="0.25">
      <c r="B248" s="21">
        <f t="shared" si="53"/>
        <v>1.584452641983925E-4</v>
      </c>
      <c r="C248" s="18">
        <f t="shared" si="54"/>
        <v>1.5844526419839253E-4</v>
      </c>
      <c r="D248" s="18">
        <f t="shared" si="55"/>
        <v>1.584452641983925E-4</v>
      </c>
      <c r="E248">
        <f t="shared" si="56"/>
        <v>4.6609784476459026E-8</v>
      </c>
      <c r="F248">
        <f t="shared" si="62"/>
        <v>-9.4369170255959034E-9</v>
      </c>
      <c r="G248">
        <f t="shared" si="63"/>
        <v>4.6609784476459026E-8</v>
      </c>
      <c r="L248" s="7">
        <f t="shared" si="57"/>
        <v>4.9720262030229161E-2</v>
      </c>
      <c r="M248" s="7">
        <f t="shared" si="58"/>
        <v>4.9720262030229168E-2</v>
      </c>
      <c r="N248" s="20">
        <f t="shared" si="52"/>
        <v>4.9720262030229168E-2</v>
      </c>
      <c r="O248">
        <f t="shared" si="59"/>
        <v>5.8207660913467407E-10</v>
      </c>
      <c r="P248">
        <f t="shared" si="60"/>
        <v>-3.4924596548080444E-10</v>
      </c>
      <c r="Q248">
        <f t="shared" si="61"/>
        <v>-3.4924596548080444E-10</v>
      </c>
    </row>
    <row r="249" spans="2:17" x14ac:dyDescent="0.25">
      <c r="B249" s="21">
        <f t="shared" si="53"/>
        <v>1.584452641983925E-4</v>
      </c>
      <c r="C249" s="18">
        <f t="shared" si="54"/>
        <v>1.5844526419839253E-4</v>
      </c>
      <c r="D249" s="18">
        <f t="shared" si="55"/>
        <v>1.584452641983925E-4</v>
      </c>
      <c r="E249">
        <f t="shared" si="56"/>
        <v>4.6609784476459026E-8</v>
      </c>
      <c r="F249">
        <f t="shared" si="62"/>
        <v>-9.4369170255959034E-9</v>
      </c>
      <c r="G249">
        <f t="shared" si="63"/>
        <v>4.6609784476459026E-8</v>
      </c>
      <c r="L249" s="7">
        <f t="shared" si="57"/>
        <v>4.9720262030229161E-2</v>
      </c>
      <c r="M249" s="7">
        <f t="shared" si="58"/>
        <v>4.9720262030229168E-2</v>
      </c>
      <c r="N249" s="20">
        <f t="shared" si="52"/>
        <v>4.9720262030229168E-2</v>
      </c>
      <c r="O249">
        <f t="shared" si="59"/>
        <v>5.8207660913467407E-10</v>
      </c>
      <c r="P249">
        <f t="shared" si="60"/>
        <v>-3.4924596548080444E-10</v>
      </c>
      <c r="Q249">
        <f t="shared" si="61"/>
        <v>-3.4924596548080444E-10</v>
      </c>
    </row>
    <row r="250" spans="2:17" x14ac:dyDescent="0.25">
      <c r="B250" s="21">
        <f t="shared" si="53"/>
        <v>1.584452641983925E-4</v>
      </c>
      <c r="C250" s="18">
        <f t="shared" si="54"/>
        <v>1.5844526419839253E-4</v>
      </c>
      <c r="D250" s="18">
        <f t="shared" si="55"/>
        <v>1.584452641983925E-4</v>
      </c>
      <c r="E250">
        <f t="shared" si="56"/>
        <v>4.6609784476459026E-8</v>
      </c>
      <c r="F250">
        <f t="shared" si="62"/>
        <v>-9.4369170255959034E-9</v>
      </c>
      <c r="G250">
        <f t="shared" si="63"/>
        <v>4.6609784476459026E-8</v>
      </c>
      <c r="L250" s="7">
        <f t="shared" si="57"/>
        <v>4.9720262030229161E-2</v>
      </c>
      <c r="M250" s="7">
        <f t="shared" si="58"/>
        <v>4.9720262030229168E-2</v>
      </c>
      <c r="N250" s="20">
        <f t="shared" si="52"/>
        <v>4.9720262030229168E-2</v>
      </c>
      <c r="O250">
        <f t="shared" si="59"/>
        <v>5.8207660913467407E-10</v>
      </c>
      <c r="P250">
        <f t="shared" si="60"/>
        <v>-3.4924596548080444E-10</v>
      </c>
      <c r="Q250">
        <f t="shared" si="61"/>
        <v>-3.4924596548080444E-10</v>
      </c>
    </row>
    <row r="251" spans="2:17" x14ac:dyDescent="0.25">
      <c r="B251" s="21">
        <f t="shared" si="53"/>
        <v>1.584452641983925E-4</v>
      </c>
      <c r="C251" s="18">
        <f t="shared" si="54"/>
        <v>1.5844526419839253E-4</v>
      </c>
      <c r="D251" s="18">
        <f t="shared" si="55"/>
        <v>1.584452641983925E-4</v>
      </c>
      <c r="E251">
        <f t="shared" si="56"/>
        <v>4.6609784476459026E-8</v>
      </c>
      <c r="F251">
        <f t="shared" si="62"/>
        <v>-9.4369170255959034E-9</v>
      </c>
      <c r="G251">
        <f t="shared" si="63"/>
        <v>4.6609784476459026E-8</v>
      </c>
      <c r="L251" s="7">
        <f t="shared" si="57"/>
        <v>4.9720262030229161E-2</v>
      </c>
      <c r="M251" s="7">
        <f t="shared" si="58"/>
        <v>4.9720262030229168E-2</v>
      </c>
      <c r="N251" s="20">
        <f t="shared" si="52"/>
        <v>4.9720262030229168E-2</v>
      </c>
      <c r="O251">
        <f t="shared" si="59"/>
        <v>5.8207660913467407E-10</v>
      </c>
      <c r="P251">
        <f t="shared" si="60"/>
        <v>-3.4924596548080444E-10</v>
      </c>
      <c r="Q251">
        <f t="shared" si="61"/>
        <v>-3.4924596548080444E-10</v>
      </c>
    </row>
    <row r="252" spans="2:17" x14ac:dyDescent="0.25">
      <c r="B252" s="21">
        <f t="shared" si="53"/>
        <v>1.584452641983925E-4</v>
      </c>
      <c r="C252" s="18">
        <f t="shared" si="54"/>
        <v>1.5844526419839253E-4</v>
      </c>
      <c r="D252" s="18">
        <f t="shared" si="55"/>
        <v>1.584452641983925E-4</v>
      </c>
      <c r="E252">
        <f t="shared" si="56"/>
        <v>4.6609784476459026E-8</v>
      </c>
      <c r="F252">
        <f t="shared" si="62"/>
        <v>-9.4369170255959034E-9</v>
      </c>
      <c r="G252">
        <f t="shared" si="63"/>
        <v>4.6609784476459026E-8</v>
      </c>
      <c r="L252" s="7">
        <f t="shared" si="57"/>
        <v>4.9720262030229161E-2</v>
      </c>
      <c r="M252" s="7">
        <f t="shared" si="58"/>
        <v>4.9720262030229168E-2</v>
      </c>
      <c r="N252" s="20">
        <f t="shared" si="52"/>
        <v>4.9720262030229168E-2</v>
      </c>
      <c r="O252">
        <f t="shared" si="59"/>
        <v>5.8207660913467407E-10</v>
      </c>
      <c r="P252">
        <f t="shared" si="60"/>
        <v>-3.4924596548080444E-10</v>
      </c>
      <c r="Q252">
        <f t="shared" si="61"/>
        <v>-3.4924596548080444E-10</v>
      </c>
    </row>
    <row r="253" spans="2:17" x14ac:dyDescent="0.25">
      <c r="B253" s="21">
        <f t="shared" si="53"/>
        <v>1.584452641983925E-4</v>
      </c>
      <c r="C253" s="18">
        <f t="shared" si="54"/>
        <v>1.5844526419839253E-4</v>
      </c>
      <c r="D253" s="18">
        <f t="shared" si="55"/>
        <v>1.584452641983925E-4</v>
      </c>
      <c r="E253">
        <f t="shared" si="56"/>
        <v>4.6609784476459026E-8</v>
      </c>
      <c r="F253">
        <f t="shared" si="62"/>
        <v>-9.4369170255959034E-9</v>
      </c>
      <c r="G253">
        <f t="shared" si="63"/>
        <v>4.6609784476459026E-8</v>
      </c>
      <c r="L253" s="7">
        <f t="shared" si="57"/>
        <v>4.9720262030229161E-2</v>
      </c>
      <c r="M253" s="7">
        <f t="shared" si="58"/>
        <v>4.9720262030229168E-2</v>
      </c>
      <c r="N253" s="20">
        <f t="shared" si="52"/>
        <v>4.9720262030229168E-2</v>
      </c>
      <c r="O253">
        <f t="shared" si="59"/>
        <v>5.8207660913467407E-10</v>
      </c>
      <c r="P253">
        <f t="shared" si="60"/>
        <v>-3.4924596548080444E-10</v>
      </c>
      <c r="Q253">
        <f t="shared" si="61"/>
        <v>-3.4924596548080444E-10</v>
      </c>
    </row>
    <row r="254" spans="2:17" x14ac:dyDescent="0.25">
      <c r="B254" s="21">
        <f t="shared" si="53"/>
        <v>1.584452641983925E-4</v>
      </c>
      <c r="C254" s="18">
        <f t="shared" si="54"/>
        <v>1.5844526419839253E-4</v>
      </c>
      <c r="D254" s="18">
        <f t="shared" si="55"/>
        <v>1.584452641983925E-4</v>
      </c>
      <c r="E254">
        <f t="shared" si="56"/>
        <v>4.6609784476459026E-8</v>
      </c>
      <c r="F254">
        <f t="shared" si="62"/>
        <v>-9.4369170255959034E-9</v>
      </c>
      <c r="G254">
        <f t="shared" si="63"/>
        <v>4.6609784476459026E-8</v>
      </c>
      <c r="L254" s="7">
        <f t="shared" si="57"/>
        <v>4.9720262030229161E-2</v>
      </c>
      <c r="M254" s="7">
        <f t="shared" si="58"/>
        <v>4.9720262030229168E-2</v>
      </c>
      <c r="N254" s="20">
        <f t="shared" si="52"/>
        <v>4.9720262030229168E-2</v>
      </c>
      <c r="O254">
        <f t="shared" si="59"/>
        <v>5.8207660913467407E-10</v>
      </c>
      <c r="P254">
        <f t="shared" si="60"/>
        <v>-3.4924596548080444E-10</v>
      </c>
      <c r="Q254">
        <f t="shared" si="61"/>
        <v>-3.4924596548080444E-10</v>
      </c>
    </row>
    <row r="255" spans="2:17" x14ac:dyDescent="0.25">
      <c r="B255" s="21">
        <f t="shared" si="53"/>
        <v>1.584452641983925E-4</v>
      </c>
      <c r="C255" s="18">
        <f t="shared" si="54"/>
        <v>1.5844526419839253E-4</v>
      </c>
      <c r="D255" s="18">
        <f t="shared" si="55"/>
        <v>1.584452641983925E-4</v>
      </c>
      <c r="E255">
        <f t="shared" si="56"/>
        <v>4.6609784476459026E-8</v>
      </c>
      <c r="F255">
        <f t="shared" si="62"/>
        <v>-9.4369170255959034E-9</v>
      </c>
      <c r="G255">
        <f t="shared" si="63"/>
        <v>4.6609784476459026E-8</v>
      </c>
      <c r="L255" s="7">
        <f t="shared" si="57"/>
        <v>4.9720262030229161E-2</v>
      </c>
      <c r="M255" s="7">
        <f t="shared" si="58"/>
        <v>4.9720262030229168E-2</v>
      </c>
      <c r="N255" s="20">
        <f t="shared" si="52"/>
        <v>4.9720262030229168E-2</v>
      </c>
      <c r="O255">
        <f t="shared" si="59"/>
        <v>5.8207660913467407E-10</v>
      </c>
      <c r="P255">
        <f t="shared" si="60"/>
        <v>-3.4924596548080444E-10</v>
      </c>
      <c r="Q255">
        <f t="shared" si="61"/>
        <v>-3.4924596548080444E-10</v>
      </c>
    </row>
    <row r="256" spans="2:17" x14ac:dyDescent="0.25">
      <c r="B256" s="21">
        <f t="shared" si="53"/>
        <v>1.584452641983925E-4</v>
      </c>
      <c r="C256" s="18">
        <f t="shared" si="54"/>
        <v>1.5844526419839253E-4</v>
      </c>
      <c r="D256" s="18">
        <f t="shared" si="55"/>
        <v>1.584452641983925E-4</v>
      </c>
      <c r="E256">
        <f t="shared" si="56"/>
        <v>4.6609784476459026E-8</v>
      </c>
      <c r="F256">
        <f t="shared" si="62"/>
        <v>-9.4369170255959034E-9</v>
      </c>
      <c r="G256">
        <f t="shared" si="63"/>
        <v>4.6609784476459026E-8</v>
      </c>
      <c r="L256" s="7">
        <f t="shared" si="57"/>
        <v>4.9720262030229161E-2</v>
      </c>
      <c r="M256" s="7">
        <f t="shared" si="58"/>
        <v>4.9720262030229168E-2</v>
      </c>
      <c r="N256" s="20">
        <f t="shared" si="52"/>
        <v>4.9720262030229168E-2</v>
      </c>
      <c r="O256">
        <f t="shared" si="59"/>
        <v>5.8207660913467407E-10</v>
      </c>
      <c r="P256">
        <f t="shared" si="60"/>
        <v>-3.4924596548080444E-10</v>
      </c>
      <c r="Q256">
        <f t="shared" si="61"/>
        <v>-3.4924596548080444E-10</v>
      </c>
    </row>
    <row r="257" spans="2:17" x14ac:dyDescent="0.25">
      <c r="B257" s="21">
        <f t="shared" si="53"/>
        <v>1.584452641983925E-4</v>
      </c>
      <c r="C257" s="18">
        <f t="shared" si="54"/>
        <v>1.5844526419839253E-4</v>
      </c>
      <c r="D257" s="18">
        <f t="shared" si="55"/>
        <v>1.584452641983925E-4</v>
      </c>
      <c r="E257">
        <f t="shared" si="56"/>
        <v>4.6609784476459026E-8</v>
      </c>
      <c r="F257">
        <f t="shared" si="62"/>
        <v>-9.4369170255959034E-9</v>
      </c>
      <c r="G257">
        <f t="shared" si="63"/>
        <v>4.6609784476459026E-8</v>
      </c>
      <c r="L257" s="7">
        <f t="shared" si="57"/>
        <v>4.9720262030229161E-2</v>
      </c>
      <c r="M257" s="7">
        <f t="shared" si="58"/>
        <v>4.9720262030229168E-2</v>
      </c>
      <c r="N257" s="20">
        <f t="shared" si="52"/>
        <v>4.9720262030229168E-2</v>
      </c>
      <c r="O257">
        <f t="shared" si="59"/>
        <v>5.8207660913467407E-10</v>
      </c>
      <c r="P257">
        <f t="shared" si="60"/>
        <v>-3.4924596548080444E-10</v>
      </c>
      <c r="Q257">
        <f t="shared" si="61"/>
        <v>-3.4924596548080444E-10</v>
      </c>
    </row>
    <row r="258" spans="2:17" x14ac:dyDescent="0.25">
      <c r="B258" s="21">
        <f t="shared" si="53"/>
        <v>1.584452641983925E-4</v>
      </c>
      <c r="C258" s="18">
        <f t="shared" si="54"/>
        <v>1.5844526419839253E-4</v>
      </c>
      <c r="D258" s="18">
        <f t="shared" si="55"/>
        <v>1.584452641983925E-4</v>
      </c>
      <c r="E258">
        <f t="shared" si="56"/>
        <v>4.6609784476459026E-8</v>
      </c>
      <c r="F258">
        <f t="shared" si="62"/>
        <v>-9.4369170255959034E-9</v>
      </c>
      <c r="G258">
        <f t="shared" si="63"/>
        <v>4.6609784476459026E-8</v>
      </c>
      <c r="L258" s="7">
        <f t="shared" si="57"/>
        <v>4.9720262030229161E-2</v>
      </c>
      <c r="M258" s="7">
        <f t="shared" si="58"/>
        <v>4.9720262030229168E-2</v>
      </c>
      <c r="N258" s="20">
        <f t="shared" si="52"/>
        <v>4.9720262030229168E-2</v>
      </c>
      <c r="O258">
        <f t="shared" si="59"/>
        <v>5.8207660913467407E-10</v>
      </c>
      <c r="P258">
        <f t="shared" si="60"/>
        <v>-3.4924596548080444E-10</v>
      </c>
      <c r="Q258">
        <f t="shared" si="61"/>
        <v>-3.4924596548080444E-10</v>
      </c>
    </row>
    <row r="259" spans="2:17" x14ac:dyDescent="0.25">
      <c r="B259" s="21">
        <f t="shared" si="53"/>
        <v>1.584452641983925E-4</v>
      </c>
      <c r="C259" s="18">
        <f t="shared" si="54"/>
        <v>1.5844526419839253E-4</v>
      </c>
      <c r="D259" s="18">
        <f t="shared" si="55"/>
        <v>1.584452641983925E-4</v>
      </c>
      <c r="E259">
        <f t="shared" si="56"/>
        <v>4.6609784476459026E-8</v>
      </c>
      <c r="F259">
        <f t="shared" si="62"/>
        <v>-9.4369170255959034E-9</v>
      </c>
      <c r="G259">
        <f t="shared" si="63"/>
        <v>4.6609784476459026E-8</v>
      </c>
      <c r="L259" s="7">
        <f t="shared" si="57"/>
        <v>4.9720262030229161E-2</v>
      </c>
      <c r="M259" s="7">
        <f t="shared" si="58"/>
        <v>4.9720262030229168E-2</v>
      </c>
      <c r="N259" s="20">
        <f t="shared" si="52"/>
        <v>4.9720262030229168E-2</v>
      </c>
      <c r="O259">
        <f t="shared" si="59"/>
        <v>5.8207660913467407E-10</v>
      </c>
      <c r="P259">
        <f t="shared" si="60"/>
        <v>-3.4924596548080444E-10</v>
      </c>
      <c r="Q259">
        <f t="shared" si="61"/>
        <v>-3.4924596548080444E-10</v>
      </c>
    </row>
    <row r="260" spans="2:17" x14ac:dyDescent="0.25">
      <c r="B260" s="21">
        <f t="shared" si="53"/>
        <v>1.584452641983925E-4</v>
      </c>
      <c r="C260" s="18">
        <f t="shared" si="54"/>
        <v>1.5844526419839253E-4</v>
      </c>
      <c r="D260" s="18">
        <f t="shared" si="55"/>
        <v>1.584452641983925E-4</v>
      </c>
      <c r="E260">
        <f t="shared" si="56"/>
        <v>4.6609784476459026E-8</v>
      </c>
      <c r="F260">
        <f t="shared" si="62"/>
        <v>-9.4369170255959034E-9</v>
      </c>
      <c r="G260">
        <f t="shared" si="63"/>
        <v>4.6609784476459026E-8</v>
      </c>
      <c r="L260" s="7">
        <f t="shared" si="57"/>
        <v>4.9720262030229161E-2</v>
      </c>
      <c r="M260" s="7">
        <f t="shared" si="58"/>
        <v>4.9720262030229168E-2</v>
      </c>
      <c r="N260" s="20">
        <f t="shared" si="52"/>
        <v>4.9720262030229168E-2</v>
      </c>
      <c r="O260">
        <f t="shared" si="59"/>
        <v>5.8207660913467407E-10</v>
      </c>
      <c r="P260">
        <f t="shared" si="60"/>
        <v>-3.4924596548080444E-10</v>
      </c>
      <c r="Q260">
        <f t="shared" si="61"/>
        <v>-3.4924596548080444E-10</v>
      </c>
    </row>
    <row r="261" spans="2:17" x14ac:dyDescent="0.25">
      <c r="B261" s="21">
        <f t="shared" si="53"/>
        <v>1.584452641983925E-4</v>
      </c>
      <c r="C261" s="18">
        <f t="shared" si="54"/>
        <v>1.5844526419839253E-4</v>
      </c>
      <c r="D261" s="18">
        <f t="shared" si="55"/>
        <v>1.584452641983925E-4</v>
      </c>
      <c r="E261">
        <f t="shared" si="56"/>
        <v>4.6609784476459026E-8</v>
      </c>
      <c r="F261">
        <f t="shared" si="62"/>
        <v>-9.4369170255959034E-9</v>
      </c>
      <c r="G261">
        <f t="shared" si="63"/>
        <v>4.6609784476459026E-8</v>
      </c>
      <c r="L261" s="7">
        <f t="shared" si="57"/>
        <v>4.9720262030229161E-2</v>
      </c>
      <c r="M261" s="7">
        <f t="shared" si="58"/>
        <v>4.9720262030229168E-2</v>
      </c>
      <c r="N261" s="20">
        <f t="shared" si="52"/>
        <v>4.9720262030229168E-2</v>
      </c>
      <c r="O261">
        <f t="shared" si="59"/>
        <v>5.8207660913467407E-10</v>
      </c>
      <c r="P261">
        <f t="shared" si="60"/>
        <v>-3.4924596548080444E-10</v>
      </c>
      <c r="Q261">
        <f t="shared" si="61"/>
        <v>-3.4924596548080444E-10</v>
      </c>
    </row>
    <row r="262" spans="2:17" x14ac:dyDescent="0.25">
      <c r="B262" s="21">
        <f t="shared" si="53"/>
        <v>1.584452641983925E-4</v>
      </c>
      <c r="C262" s="18">
        <f t="shared" si="54"/>
        <v>1.5844526419839253E-4</v>
      </c>
      <c r="D262" s="18">
        <f t="shared" si="55"/>
        <v>1.584452641983925E-4</v>
      </c>
      <c r="E262">
        <f t="shared" si="56"/>
        <v>4.6609784476459026E-8</v>
      </c>
      <c r="F262">
        <f t="shared" si="62"/>
        <v>-9.4369170255959034E-9</v>
      </c>
      <c r="G262">
        <f t="shared" si="63"/>
        <v>4.6609784476459026E-8</v>
      </c>
      <c r="L262" s="7">
        <f t="shared" si="57"/>
        <v>4.9720262030229161E-2</v>
      </c>
      <c r="M262" s="7">
        <f t="shared" si="58"/>
        <v>4.9720262030229168E-2</v>
      </c>
      <c r="N262" s="20">
        <f t="shared" si="52"/>
        <v>4.9720262030229168E-2</v>
      </c>
      <c r="O262">
        <f t="shared" si="59"/>
        <v>5.8207660913467407E-10</v>
      </c>
      <c r="P262">
        <f t="shared" si="60"/>
        <v>-3.4924596548080444E-10</v>
      </c>
      <c r="Q262">
        <f t="shared" si="61"/>
        <v>-3.4924596548080444E-10</v>
      </c>
    </row>
    <row r="263" spans="2:17" x14ac:dyDescent="0.25">
      <c r="B263" s="21">
        <f t="shared" si="53"/>
        <v>1.584452641983925E-4</v>
      </c>
      <c r="C263" s="18">
        <f t="shared" si="54"/>
        <v>1.5844526419839253E-4</v>
      </c>
      <c r="D263" s="18">
        <f t="shared" si="55"/>
        <v>1.584452641983925E-4</v>
      </c>
      <c r="E263">
        <f t="shared" si="56"/>
        <v>4.6609784476459026E-8</v>
      </c>
      <c r="F263">
        <f t="shared" si="62"/>
        <v>-9.4369170255959034E-9</v>
      </c>
      <c r="G263">
        <f t="shared" si="63"/>
        <v>4.6609784476459026E-8</v>
      </c>
      <c r="L263" s="7">
        <f t="shared" si="57"/>
        <v>4.9720262030229161E-2</v>
      </c>
      <c r="M263" s="7">
        <f t="shared" si="58"/>
        <v>4.9720262030229168E-2</v>
      </c>
      <c r="N263" s="20">
        <f t="shared" si="52"/>
        <v>4.9720262030229168E-2</v>
      </c>
      <c r="O263">
        <f t="shared" si="59"/>
        <v>5.8207660913467407E-10</v>
      </c>
      <c r="P263">
        <f t="shared" si="60"/>
        <v>-3.4924596548080444E-10</v>
      </c>
      <c r="Q263">
        <f t="shared" si="61"/>
        <v>-3.4924596548080444E-10</v>
      </c>
    </row>
    <row r="264" spans="2:17" x14ac:dyDescent="0.25">
      <c r="B264" s="21">
        <f t="shared" si="53"/>
        <v>1.584452641983925E-4</v>
      </c>
      <c r="C264" s="18">
        <f t="shared" si="54"/>
        <v>1.5844526419839253E-4</v>
      </c>
      <c r="D264" s="18">
        <f t="shared" si="55"/>
        <v>1.584452641983925E-4</v>
      </c>
      <c r="E264">
        <f t="shared" si="56"/>
        <v>4.6609784476459026E-8</v>
      </c>
      <c r="F264">
        <f t="shared" si="62"/>
        <v>-9.4369170255959034E-9</v>
      </c>
      <c r="G264">
        <f t="shared" si="63"/>
        <v>4.6609784476459026E-8</v>
      </c>
      <c r="L264" s="7">
        <f t="shared" si="57"/>
        <v>4.9720262030229161E-2</v>
      </c>
      <c r="M264" s="7">
        <f t="shared" si="58"/>
        <v>4.9720262030229168E-2</v>
      </c>
      <c r="N264" s="20">
        <f t="shared" si="52"/>
        <v>4.9720262030229168E-2</v>
      </c>
      <c r="O264">
        <f t="shared" si="59"/>
        <v>5.8207660913467407E-10</v>
      </c>
      <c r="P264">
        <f t="shared" si="60"/>
        <v>-3.4924596548080444E-10</v>
      </c>
      <c r="Q264">
        <f t="shared" si="61"/>
        <v>-3.4924596548080444E-10</v>
      </c>
    </row>
    <row r="265" spans="2:17" x14ac:dyDescent="0.25">
      <c r="B265" s="21">
        <f t="shared" si="53"/>
        <v>1.584452641983925E-4</v>
      </c>
      <c r="C265" s="18">
        <f t="shared" si="54"/>
        <v>1.5844526419839253E-4</v>
      </c>
      <c r="D265" s="18">
        <f t="shared" si="55"/>
        <v>1.584452641983925E-4</v>
      </c>
      <c r="E265">
        <f t="shared" si="56"/>
        <v>4.6609784476459026E-8</v>
      </c>
      <c r="F265">
        <f t="shared" si="62"/>
        <v>-9.4369170255959034E-9</v>
      </c>
      <c r="G265">
        <f t="shared" si="63"/>
        <v>4.6609784476459026E-8</v>
      </c>
      <c r="L265" s="7">
        <f t="shared" si="57"/>
        <v>4.9720262030229161E-2</v>
      </c>
      <c r="M265" s="7">
        <f t="shared" si="58"/>
        <v>4.9720262030229168E-2</v>
      </c>
      <c r="N265" s="20">
        <f t="shared" si="52"/>
        <v>4.9720262030229168E-2</v>
      </c>
      <c r="O265">
        <f t="shared" si="59"/>
        <v>5.8207660913467407E-10</v>
      </c>
      <c r="P265">
        <f t="shared" si="60"/>
        <v>-3.4924596548080444E-10</v>
      </c>
      <c r="Q265">
        <f t="shared" si="61"/>
        <v>-3.4924596548080444E-10</v>
      </c>
    </row>
    <row r="266" spans="2:17" x14ac:dyDescent="0.25">
      <c r="B266" s="21">
        <f t="shared" si="53"/>
        <v>1.584452641983925E-4</v>
      </c>
      <c r="C266" s="18">
        <f t="shared" si="54"/>
        <v>1.5844526419839253E-4</v>
      </c>
      <c r="D266" s="18">
        <f t="shared" si="55"/>
        <v>1.584452641983925E-4</v>
      </c>
      <c r="E266">
        <f t="shared" si="56"/>
        <v>4.6609784476459026E-8</v>
      </c>
      <c r="F266">
        <f t="shared" si="62"/>
        <v>-9.4369170255959034E-9</v>
      </c>
      <c r="G266">
        <f t="shared" si="63"/>
        <v>4.6609784476459026E-8</v>
      </c>
      <c r="L266" s="7">
        <f t="shared" si="57"/>
        <v>4.9720262030229161E-2</v>
      </c>
      <c r="M266" s="7">
        <f t="shared" si="58"/>
        <v>4.9720262030229168E-2</v>
      </c>
      <c r="N266" s="20">
        <f t="shared" si="52"/>
        <v>4.9720262030229168E-2</v>
      </c>
      <c r="O266">
        <f t="shared" si="59"/>
        <v>5.8207660913467407E-10</v>
      </c>
      <c r="P266">
        <f t="shared" si="60"/>
        <v>-3.4924596548080444E-10</v>
      </c>
      <c r="Q266">
        <f t="shared" si="61"/>
        <v>-3.4924596548080444E-10</v>
      </c>
    </row>
    <row r="267" spans="2:17" x14ac:dyDescent="0.25">
      <c r="B267" s="21">
        <f t="shared" si="53"/>
        <v>1.584452641983925E-4</v>
      </c>
      <c r="C267" s="18">
        <f t="shared" si="54"/>
        <v>1.5844526419839253E-4</v>
      </c>
      <c r="D267" s="18">
        <f t="shared" si="55"/>
        <v>1.584452641983925E-4</v>
      </c>
      <c r="E267">
        <f t="shared" si="56"/>
        <v>4.6609784476459026E-8</v>
      </c>
      <c r="F267">
        <f t="shared" si="62"/>
        <v>-9.4369170255959034E-9</v>
      </c>
      <c r="G267">
        <f t="shared" si="63"/>
        <v>4.6609784476459026E-8</v>
      </c>
      <c r="L267" s="7">
        <f t="shared" si="57"/>
        <v>4.9720262030229161E-2</v>
      </c>
      <c r="M267" s="7">
        <f t="shared" si="58"/>
        <v>4.9720262030229168E-2</v>
      </c>
      <c r="N267" s="20">
        <f t="shared" si="52"/>
        <v>4.9720262030229168E-2</v>
      </c>
      <c r="O267">
        <f t="shared" si="59"/>
        <v>5.8207660913467407E-10</v>
      </c>
      <c r="P267">
        <f t="shared" si="60"/>
        <v>-3.4924596548080444E-10</v>
      </c>
      <c r="Q267">
        <f t="shared" si="61"/>
        <v>-3.4924596548080444E-10</v>
      </c>
    </row>
    <row r="268" spans="2:17" x14ac:dyDescent="0.25">
      <c r="B268" s="21">
        <f t="shared" si="53"/>
        <v>1.584452641983925E-4</v>
      </c>
      <c r="C268" s="18">
        <f t="shared" si="54"/>
        <v>1.5844526419839253E-4</v>
      </c>
      <c r="D268" s="18">
        <f t="shared" si="55"/>
        <v>1.584452641983925E-4</v>
      </c>
      <c r="E268">
        <f t="shared" si="56"/>
        <v>4.6609784476459026E-8</v>
      </c>
      <c r="F268">
        <f t="shared" si="62"/>
        <v>-9.4369170255959034E-9</v>
      </c>
      <c r="G268">
        <f t="shared" si="63"/>
        <v>4.6609784476459026E-8</v>
      </c>
      <c r="L268" s="7">
        <f t="shared" si="57"/>
        <v>4.9720262030229161E-2</v>
      </c>
      <c r="M268" s="7">
        <f t="shared" si="58"/>
        <v>4.9720262030229168E-2</v>
      </c>
      <c r="N268" s="20">
        <f t="shared" si="52"/>
        <v>4.9720262030229168E-2</v>
      </c>
      <c r="O268">
        <f t="shared" si="59"/>
        <v>5.8207660913467407E-10</v>
      </c>
      <c r="P268">
        <f t="shared" si="60"/>
        <v>-3.4924596548080444E-10</v>
      </c>
      <c r="Q268">
        <f t="shared" si="61"/>
        <v>-3.4924596548080444E-10</v>
      </c>
    </row>
    <row r="269" spans="2:17" x14ac:dyDescent="0.25">
      <c r="B269" s="21">
        <f t="shared" si="53"/>
        <v>1.584452641983925E-4</v>
      </c>
      <c r="C269" s="18">
        <f t="shared" si="54"/>
        <v>1.5844526419839253E-4</v>
      </c>
      <c r="D269" s="18">
        <f t="shared" si="55"/>
        <v>1.584452641983925E-4</v>
      </c>
      <c r="E269">
        <f t="shared" si="56"/>
        <v>4.6609784476459026E-8</v>
      </c>
      <c r="F269">
        <f t="shared" si="62"/>
        <v>-9.4369170255959034E-9</v>
      </c>
      <c r="G269">
        <f t="shared" si="63"/>
        <v>4.6609784476459026E-8</v>
      </c>
      <c r="L269" s="7">
        <f t="shared" si="57"/>
        <v>4.9720262030229161E-2</v>
      </c>
      <c r="M269" s="7">
        <f t="shared" si="58"/>
        <v>4.9720262030229168E-2</v>
      </c>
      <c r="N269" s="20">
        <f t="shared" si="52"/>
        <v>4.9720262030229168E-2</v>
      </c>
      <c r="O269">
        <f t="shared" si="59"/>
        <v>5.8207660913467407E-10</v>
      </c>
      <c r="P269">
        <f t="shared" si="60"/>
        <v>-3.4924596548080444E-10</v>
      </c>
      <c r="Q269">
        <f t="shared" si="61"/>
        <v>-3.4924596548080444E-10</v>
      </c>
    </row>
    <row r="270" spans="2:17" x14ac:dyDescent="0.25">
      <c r="B270" s="21">
        <f t="shared" si="53"/>
        <v>1.584452641983925E-4</v>
      </c>
      <c r="C270" s="18">
        <f t="shared" si="54"/>
        <v>1.5844526419839253E-4</v>
      </c>
      <c r="D270" s="18">
        <f t="shared" si="55"/>
        <v>1.584452641983925E-4</v>
      </c>
      <c r="E270">
        <f t="shared" si="56"/>
        <v>4.6609784476459026E-8</v>
      </c>
      <c r="F270">
        <f t="shared" si="62"/>
        <v>-9.4369170255959034E-9</v>
      </c>
      <c r="G270">
        <f t="shared" si="63"/>
        <v>4.6609784476459026E-8</v>
      </c>
      <c r="L270" s="7">
        <f t="shared" si="57"/>
        <v>4.9720262030229161E-2</v>
      </c>
      <c r="M270" s="7">
        <f t="shared" si="58"/>
        <v>4.9720262030229168E-2</v>
      </c>
      <c r="N270" s="20">
        <f t="shared" si="52"/>
        <v>4.9720262030229168E-2</v>
      </c>
      <c r="O270">
        <f t="shared" si="59"/>
        <v>5.8207660913467407E-10</v>
      </c>
      <c r="P270">
        <f t="shared" si="60"/>
        <v>-3.4924596548080444E-10</v>
      </c>
      <c r="Q270">
        <f t="shared" si="61"/>
        <v>-3.4924596548080444E-10</v>
      </c>
    </row>
    <row r="271" spans="2:17" x14ac:dyDescent="0.25">
      <c r="B271" s="21">
        <f t="shared" si="53"/>
        <v>1.584452641983925E-4</v>
      </c>
      <c r="C271" s="18">
        <f t="shared" si="54"/>
        <v>1.5844526419839253E-4</v>
      </c>
      <c r="D271" s="18">
        <f t="shared" si="55"/>
        <v>1.584452641983925E-4</v>
      </c>
      <c r="E271">
        <f t="shared" si="56"/>
        <v>4.6609784476459026E-8</v>
      </c>
      <c r="F271">
        <f t="shared" si="62"/>
        <v>-9.4369170255959034E-9</v>
      </c>
      <c r="G271">
        <f t="shared" si="63"/>
        <v>4.6609784476459026E-8</v>
      </c>
      <c r="L271" s="7">
        <f t="shared" si="57"/>
        <v>4.9720262030229161E-2</v>
      </c>
      <c r="M271" s="7">
        <f t="shared" si="58"/>
        <v>4.9720262030229168E-2</v>
      </c>
      <c r="N271" s="20">
        <f t="shared" si="52"/>
        <v>4.9720262030229168E-2</v>
      </c>
      <c r="O271">
        <f t="shared" si="59"/>
        <v>5.8207660913467407E-10</v>
      </c>
      <c r="P271">
        <f t="shared" si="60"/>
        <v>-3.4924596548080444E-10</v>
      </c>
      <c r="Q271">
        <f t="shared" si="61"/>
        <v>-3.4924596548080444E-10</v>
      </c>
    </row>
    <row r="272" spans="2:17" x14ac:dyDescent="0.25">
      <c r="B272" s="21">
        <f t="shared" si="53"/>
        <v>1.584452641983925E-4</v>
      </c>
      <c r="C272" s="18">
        <f t="shared" si="54"/>
        <v>1.5844526419839253E-4</v>
      </c>
      <c r="D272" s="18">
        <f t="shared" si="55"/>
        <v>1.584452641983925E-4</v>
      </c>
      <c r="E272">
        <f t="shared" si="56"/>
        <v>4.6609784476459026E-8</v>
      </c>
      <c r="F272">
        <f t="shared" si="62"/>
        <v>-9.4369170255959034E-9</v>
      </c>
      <c r="G272">
        <f t="shared" si="63"/>
        <v>4.6609784476459026E-8</v>
      </c>
      <c r="L272" s="7">
        <f t="shared" si="57"/>
        <v>4.9720262030229161E-2</v>
      </c>
      <c r="M272" s="7">
        <f t="shared" si="58"/>
        <v>4.9720262030229168E-2</v>
      </c>
      <c r="N272" s="20">
        <f t="shared" si="52"/>
        <v>4.9720262030229168E-2</v>
      </c>
      <c r="O272">
        <f t="shared" si="59"/>
        <v>5.8207660913467407E-10</v>
      </c>
      <c r="P272">
        <f t="shared" si="60"/>
        <v>-3.4924596548080444E-10</v>
      </c>
      <c r="Q272">
        <f t="shared" si="61"/>
        <v>-3.4924596548080444E-10</v>
      </c>
    </row>
    <row r="273" spans="2:17" x14ac:dyDescent="0.25">
      <c r="B273" s="21">
        <f t="shared" si="53"/>
        <v>1.584452641983925E-4</v>
      </c>
      <c r="C273" s="18">
        <f t="shared" si="54"/>
        <v>1.5844526419839253E-4</v>
      </c>
      <c r="D273" s="18">
        <f t="shared" si="55"/>
        <v>1.584452641983925E-4</v>
      </c>
      <c r="E273">
        <f t="shared" si="56"/>
        <v>4.6609784476459026E-8</v>
      </c>
      <c r="F273">
        <f t="shared" si="62"/>
        <v>-9.4369170255959034E-9</v>
      </c>
      <c r="G273">
        <f t="shared" si="63"/>
        <v>4.6609784476459026E-8</v>
      </c>
      <c r="L273" s="7">
        <f t="shared" si="57"/>
        <v>4.9720262030229161E-2</v>
      </c>
      <c r="M273" s="7">
        <f t="shared" si="58"/>
        <v>4.9720262030229168E-2</v>
      </c>
      <c r="N273" s="20">
        <f t="shared" si="52"/>
        <v>4.9720262030229168E-2</v>
      </c>
      <c r="O273">
        <f t="shared" si="59"/>
        <v>5.8207660913467407E-10</v>
      </c>
      <c r="P273">
        <f t="shared" si="60"/>
        <v>-3.4924596548080444E-10</v>
      </c>
      <c r="Q273">
        <f t="shared" si="61"/>
        <v>-3.4924596548080444E-10</v>
      </c>
    </row>
    <row r="274" spans="2:17" x14ac:dyDescent="0.25">
      <c r="B274" s="21">
        <f t="shared" si="53"/>
        <v>1.584452641983925E-4</v>
      </c>
      <c r="C274" s="18">
        <f t="shared" si="54"/>
        <v>1.5844526419839253E-4</v>
      </c>
      <c r="D274" s="18">
        <f t="shared" si="55"/>
        <v>1.584452641983925E-4</v>
      </c>
      <c r="E274">
        <f t="shared" si="56"/>
        <v>4.6609784476459026E-8</v>
      </c>
      <c r="F274">
        <f t="shared" si="62"/>
        <v>-9.4369170255959034E-9</v>
      </c>
      <c r="G274">
        <f t="shared" si="63"/>
        <v>4.6609784476459026E-8</v>
      </c>
      <c r="L274" s="7">
        <f t="shared" si="57"/>
        <v>4.9720262030229161E-2</v>
      </c>
      <c r="M274" s="7">
        <f t="shared" si="58"/>
        <v>4.9720262030229168E-2</v>
      </c>
      <c r="N274" s="20">
        <f t="shared" si="52"/>
        <v>4.9720262030229168E-2</v>
      </c>
      <c r="O274">
        <f t="shared" si="59"/>
        <v>5.8207660913467407E-10</v>
      </c>
      <c r="P274">
        <f t="shared" si="60"/>
        <v>-3.4924596548080444E-10</v>
      </c>
      <c r="Q274">
        <f t="shared" si="61"/>
        <v>-3.4924596548080444E-10</v>
      </c>
    </row>
    <row r="275" spans="2:17" x14ac:dyDescent="0.25">
      <c r="B275" s="21">
        <f t="shared" si="53"/>
        <v>1.584452641983925E-4</v>
      </c>
      <c r="C275" s="18">
        <f t="shared" si="54"/>
        <v>1.5844526419839253E-4</v>
      </c>
      <c r="D275" s="18">
        <f t="shared" si="55"/>
        <v>1.584452641983925E-4</v>
      </c>
      <c r="E275">
        <f t="shared" si="56"/>
        <v>4.6609784476459026E-8</v>
      </c>
      <c r="F275">
        <f t="shared" si="62"/>
        <v>-9.4369170255959034E-9</v>
      </c>
      <c r="G275">
        <f t="shared" si="63"/>
        <v>4.6609784476459026E-8</v>
      </c>
      <c r="L275" s="7">
        <f t="shared" si="57"/>
        <v>4.9720262030229161E-2</v>
      </c>
      <c r="M275" s="7">
        <f t="shared" si="58"/>
        <v>4.9720262030229168E-2</v>
      </c>
      <c r="N275" s="20">
        <f t="shared" si="52"/>
        <v>4.9720262030229168E-2</v>
      </c>
      <c r="O275">
        <f t="shared" si="59"/>
        <v>5.8207660913467407E-10</v>
      </c>
      <c r="P275">
        <f t="shared" si="60"/>
        <v>-3.4924596548080444E-10</v>
      </c>
      <c r="Q275">
        <f t="shared" si="61"/>
        <v>-3.4924596548080444E-10</v>
      </c>
    </row>
    <row r="276" spans="2:17" x14ac:dyDescent="0.25">
      <c r="B276" s="21">
        <f t="shared" si="53"/>
        <v>1.584452641983925E-4</v>
      </c>
      <c r="C276" s="18">
        <f t="shared" si="54"/>
        <v>1.5844526419839253E-4</v>
      </c>
      <c r="D276" s="18">
        <f t="shared" si="55"/>
        <v>1.584452641983925E-4</v>
      </c>
      <c r="E276">
        <f t="shared" si="56"/>
        <v>4.6609784476459026E-8</v>
      </c>
      <c r="F276">
        <f t="shared" si="62"/>
        <v>-9.4369170255959034E-9</v>
      </c>
      <c r="G276">
        <f t="shared" si="63"/>
        <v>4.6609784476459026E-8</v>
      </c>
      <c r="L276" s="7">
        <f t="shared" si="57"/>
        <v>4.9720262030229161E-2</v>
      </c>
      <c r="M276" s="7">
        <f t="shared" si="58"/>
        <v>4.9720262030229168E-2</v>
      </c>
      <c r="N276" s="20">
        <f t="shared" si="52"/>
        <v>4.9720262030229168E-2</v>
      </c>
      <c r="O276">
        <f t="shared" si="59"/>
        <v>5.8207660913467407E-10</v>
      </c>
      <c r="P276">
        <f t="shared" si="60"/>
        <v>-3.4924596548080444E-10</v>
      </c>
      <c r="Q276">
        <f t="shared" si="61"/>
        <v>-3.4924596548080444E-10</v>
      </c>
    </row>
    <row r="277" spans="2:17" x14ac:dyDescent="0.25">
      <c r="B277" s="21">
        <f t="shared" si="53"/>
        <v>1.584452641983925E-4</v>
      </c>
      <c r="C277" s="18">
        <f t="shared" si="54"/>
        <v>1.5844526419839253E-4</v>
      </c>
      <c r="D277" s="18">
        <f t="shared" si="55"/>
        <v>1.584452641983925E-4</v>
      </c>
      <c r="E277">
        <f t="shared" si="56"/>
        <v>4.6609784476459026E-8</v>
      </c>
      <c r="F277">
        <f t="shared" si="62"/>
        <v>-9.4369170255959034E-9</v>
      </c>
      <c r="G277">
        <f t="shared" si="63"/>
        <v>4.6609784476459026E-8</v>
      </c>
      <c r="L277" s="7">
        <f t="shared" si="57"/>
        <v>4.9720262030229161E-2</v>
      </c>
      <c r="M277" s="7">
        <f t="shared" si="58"/>
        <v>4.9720262030229168E-2</v>
      </c>
      <c r="N277" s="20">
        <f t="shared" si="52"/>
        <v>4.9720262030229168E-2</v>
      </c>
      <c r="O277">
        <f t="shared" si="59"/>
        <v>5.8207660913467407E-10</v>
      </c>
      <c r="P277">
        <f t="shared" si="60"/>
        <v>-3.4924596548080444E-10</v>
      </c>
      <c r="Q277">
        <f t="shared" si="61"/>
        <v>-3.4924596548080444E-10</v>
      </c>
    </row>
    <row r="278" spans="2:17" x14ac:dyDescent="0.25">
      <c r="B278" s="21">
        <f t="shared" si="53"/>
        <v>1.584452641983925E-4</v>
      </c>
      <c r="C278" s="18">
        <f t="shared" si="54"/>
        <v>1.5844526419839253E-4</v>
      </c>
      <c r="D278" s="18">
        <f t="shared" si="55"/>
        <v>1.584452641983925E-4</v>
      </c>
      <c r="E278">
        <f t="shared" si="56"/>
        <v>4.6609784476459026E-8</v>
      </c>
      <c r="F278">
        <f t="shared" si="62"/>
        <v>-9.4369170255959034E-9</v>
      </c>
      <c r="G278">
        <f t="shared" si="63"/>
        <v>4.6609784476459026E-8</v>
      </c>
      <c r="L278" s="7">
        <f t="shared" si="57"/>
        <v>4.9720262030229161E-2</v>
      </c>
      <c r="M278" s="7">
        <f t="shared" si="58"/>
        <v>4.9720262030229168E-2</v>
      </c>
      <c r="N278" s="20">
        <f t="shared" si="52"/>
        <v>4.9720262030229168E-2</v>
      </c>
      <c r="O278">
        <f t="shared" si="59"/>
        <v>5.8207660913467407E-10</v>
      </c>
      <c r="P278">
        <f t="shared" si="60"/>
        <v>-3.4924596548080444E-10</v>
      </c>
      <c r="Q278">
        <f t="shared" si="61"/>
        <v>-3.4924596548080444E-10</v>
      </c>
    </row>
    <row r="279" spans="2:17" x14ac:dyDescent="0.25">
      <c r="B279" s="21">
        <f t="shared" si="53"/>
        <v>1.584452641983925E-4</v>
      </c>
      <c r="C279" s="18">
        <f t="shared" si="54"/>
        <v>1.5844526419839253E-4</v>
      </c>
      <c r="D279" s="18">
        <f t="shared" si="55"/>
        <v>1.584452641983925E-4</v>
      </c>
      <c r="E279">
        <f t="shared" si="56"/>
        <v>4.6609784476459026E-8</v>
      </c>
      <c r="F279">
        <f t="shared" si="62"/>
        <v>-9.4369170255959034E-9</v>
      </c>
      <c r="G279">
        <f t="shared" si="63"/>
        <v>4.6609784476459026E-8</v>
      </c>
      <c r="L279" s="7">
        <f t="shared" si="57"/>
        <v>4.9720262030229161E-2</v>
      </c>
      <c r="M279" s="7">
        <f t="shared" si="58"/>
        <v>4.9720262030229168E-2</v>
      </c>
      <c r="N279" s="20">
        <f t="shared" si="52"/>
        <v>4.9720262030229168E-2</v>
      </c>
      <c r="O279">
        <f t="shared" si="59"/>
        <v>5.8207660913467407E-10</v>
      </c>
      <c r="P279">
        <f t="shared" si="60"/>
        <v>-3.4924596548080444E-10</v>
      </c>
      <c r="Q279">
        <f t="shared" si="61"/>
        <v>-3.4924596548080444E-10</v>
      </c>
    </row>
    <row r="280" spans="2:17" x14ac:dyDescent="0.25">
      <c r="B280" s="21">
        <f t="shared" si="53"/>
        <v>1.584452641983925E-4</v>
      </c>
      <c r="C280" s="18">
        <f t="shared" si="54"/>
        <v>1.5844526419839253E-4</v>
      </c>
      <c r="D280" s="18">
        <f t="shared" si="55"/>
        <v>1.584452641983925E-4</v>
      </c>
      <c r="E280">
        <f t="shared" si="56"/>
        <v>4.6609784476459026E-8</v>
      </c>
      <c r="F280">
        <f t="shared" si="62"/>
        <v>-9.4369170255959034E-9</v>
      </c>
      <c r="G280">
        <f t="shared" si="63"/>
        <v>4.6609784476459026E-8</v>
      </c>
      <c r="L280" s="7">
        <f t="shared" si="57"/>
        <v>4.9720262030229161E-2</v>
      </c>
      <c r="M280" s="7">
        <f t="shared" si="58"/>
        <v>4.9720262030229168E-2</v>
      </c>
      <c r="N280" s="20">
        <f t="shared" si="52"/>
        <v>4.9720262030229168E-2</v>
      </c>
      <c r="O280">
        <f t="shared" si="59"/>
        <v>5.8207660913467407E-10</v>
      </c>
      <c r="P280">
        <f t="shared" si="60"/>
        <v>-3.4924596548080444E-10</v>
      </c>
      <c r="Q280">
        <f t="shared" si="61"/>
        <v>-3.4924596548080444E-10</v>
      </c>
    </row>
    <row r="281" spans="2:17" x14ac:dyDescent="0.25">
      <c r="B281" s="21">
        <f t="shared" si="53"/>
        <v>1.584452641983925E-4</v>
      </c>
      <c r="C281" s="18">
        <f t="shared" si="54"/>
        <v>1.5844526419839253E-4</v>
      </c>
      <c r="D281" s="18">
        <f t="shared" si="55"/>
        <v>1.584452641983925E-4</v>
      </c>
      <c r="E281">
        <f t="shared" si="56"/>
        <v>4.6609784476459026E-8</v>
      </c>
      <c r="F281">
        <f t="shared" si="62"/>
        <v>-9.4369170255959034E-9</v>
      </c>
      <c r="G281">
        <f t="shared" si="63"/>
        <v>4.6609784476459026E-8</v>
      </c>
      <c r="L281" s="7">
        <f t="shared" si="57"/>
        <v>4.9720262030229161E-2</v>
      </c>
      <c r="M281" s="7">
        <f t="shared" si="58"/>
        <v>4.9720262030229168E-2</v>
      </c>
      <c r="N281" s="20">
        <f t="shared" ref="N281:N344" si="64">(L281+M281)/2</f>
        <v>4.9720262030229168E-2</v>
      </c>
      <c r="O281">
        <f t="shared" si="59"/>
        <v>5.8207660913467407E-10</v>
      </c>
      <c r="P281">
        <f t="shared" si="60"/>
        <v>-3.4924596548080444E-10</v>
      </c>
      <c r="Q281">
        <f t="shared" si="61"/>
        <v>-3.4924596548080444E-10</v>
      </c>
    </row>
    <row r="282" spans="2:17" x14ac:dyDescent="0.25">
      <c r="B282" s="21">
        <f t="shared" ref="B282:B345" si="65">IF(E281*G281&lt;0,B281,D281)</f>
        <v>1.584452641983925E-4</v>
      </c>
      <c r="C282" s="18">
        <f t="shared" ref="C282:C345" si="66">IF(F281*G281&lt;0,C281,D281)</f>
        <v>1.5844526419839253E-4</v>
      </c>
      <c r="D282" s="18">
        <f t="shared" ref="D282:D345" si="67">(B282+C282)/2</f>
        <v>1.584452641983925E-4</v>
      </c>
      <c r="E282">
        <f t="shared" ref="E282:E345" si="68">IF($G$8 = "Future Value",$C$5-($D$5*(((1+B282)^($F$5*$G$5)-1)/B282)),$H$5-$D$5*((1-(1+B282)^(-1*$F$5*$G$5))/B282))</f>
        <v>4.6609784476459026E-8</v>
      </c>
      <c r="F282">
        <f t="shared" si="62"/>
        <v>-9.4369170255959034E-9</v>
      </c>
      <c r="G282">
        <f t="shared" si="63"/>
        <v>4.6609784476459026E-8</v>
      </c>
      <c r="L282" s="7">
        <f t="shared" ref="L282:L345" si="69">IF(O281*Q281&lt;0,L281,N281)</f>
        <v>4.9720262030229161E-2</v>
      </c>
      <c r="M282" s="7">
        <f t="shared" ref="M282:M345" si="70">IF(P281*Q281&lt;0,M281,N281)</f>
        <v>4.9720262030229168E-2</v>
      </c>
      <c r="N282" s="20">
        <f t="shared" si="64"/>
        <v>4.9720262030229168E-2</v>
      </c>
      <c r="O282">
        <f t="shared" ref="O282:O345" si="71">IF($Q$8 = "Future Value",$M$5-($N$5*(1+L282)*(((1+L282)^($P$5*$Q$5)-1)/L282)),$R$5-$N$5*(1+L282)*((1-(1+L282)^(-1*$P$5*$Q$5))/L282))</f>
        <v>5.8207660913467407E-10</v>
      </c>
      <c r="P282">
        <f t="shared" ref="P282:P345" si="72">IF($Q$8 = "Future Value",$M$5-($N$5*(1+M282)*(((1+M282)^($P$5*$Q$5)-1)/M282)),$R$5-$N$5*(1+M282)*((1-(1+M282)^(-1*$P$5*$Q$5))/M282))</f>
        <v>-3.4924596548080444E-10</v>
      </c>
      <c r="Q282">
        <f t="shared" ref="Q282:Q345" si="73">IF($Q$8 = "Future Value",$M$5-($N$5*(1+N282)*(((1+N282)^($P$5*$Q$5)-1)/N282)),$R$5-$N$5*(1+N282)*((1-(1+N282)^(-1*$P$5*$Q$5))/N282))</f>
        <v>-3.4924596548080444E-10</v>
      </c>
    </row>
    <row r="283" spans="2:17" x14ac:dyDescent="0.25">
      <c r="B283" s="21">
        <f t="shared" si="65"/>
        <v>1.584452641983925E-4</v>
      </c>
      <c r="C283" s="18">
        <f t="shared" si="66"/>
        <v>1.5844526419839253E-4</v>
      </c>
      <c r="D283" s="18">
        <f t="shared" si="67"/>
        <v>1.584452641983925E-4</v>
      </c>
      <c r="E283">
        <f t="shared" si="68"/>
        <v>4.6609784476459026E-8</v>
      </c>
      <c r="F283">
        <f t="shared" ref="F283:F346" si="74">IF($G$8 = "Future Value",$C$5-($D$5*(((1+C283)^($F$5*$G$5)-1)/C283)),$H$5-$D$5*((1-(1+C283)^(-1*$F$5*$G$5))/C283))</f>
        <v>-9.4369170255959034E-9</v>
      </c>
      <c r="G283">
        <f t="shared" ref="G283:G346" si="75">IF($G$8 = "Future Value",$C$5-($D$5*(((1+D283)^($F$5*$G$5)-1)/D283)),$H$5-$D$5*((1-(1+D283)^(-1*$F$5*$G$5))/D283))</f>
        <v>4.6609784476459026E-8</v>
      </c>
      <c r="L283" s="7">
        <f t="shared" si="69"/>
        <v>4.9720262030229161E-2</v>
      </c>
      <c r="M283" s="7">
        <f t="shared" si="70"/>
        <v>4.9720262030229168E-2</v>
      </c>
      <c r="N283" s="20">
        <f t="shared" si="64"/>
        <v>4.9720262030229168E-2</v>
      </c>
      <c r="O283">
        <f t="shared" si="71"/>
        <v>5.8207660913467407E-10</v>
      </c>
      <c r="P283">
        <f t="shared" si="72"/>
        <v>-3.4924596548080444E-10</v>
      </c>
      <c r="Q283">
        <f t="shared" si="73"/>
        <v>-3.4924596548080444E-10</v>
      </c>
    </row>
    <row r="284" spans="2:17" x14ac:dyDescent="0.25">
      <c r="B284" s="18">
        <f t="shared" si="65"/>
        <v>1.584452641983925E-4</v>
      </c>
      <c r="C284" s="18">
        <f t="shared" si="66"/>
        <v>1.5844526419839253E-4</v>
      </c>
      <c r="D284" s="18">
        <f t="shared" si="67"/>
        <v>1.584452641983925E-4</v>
      </c>
      <c r="E284">
        <f t="shared" si="68"/>
        <v>4.6609784476459026E-8</v>
      </c>
      <c r="F284">
        <f t="shared" si="74"/>
        <v>-9.4369170255959034E-9</v>
      </c>
      <c r="G284">
        <f t="shared" si="75"/>
        <v>4.6609784476459026E-8</v>
      </c>
      <c r="L284" s="7">
        <f t="shared" si="69"/>
        <v>4.9720262030229161E-2</v>
      </c>
      <c r="M284" s="7">
        <f t="shared" si="70"/>
        <v>4.9720262030229168E-2</v>
      </c>
      <c r="N284" s="20">
        <f t="shared" si="64"/>
        <v>4.9720262030229168E-2</v>
      </c>
      <c r="O284">
        <f t="shared" si="71"/>
        <v>5.8207660913467407E-10</v>
      </c>
      <c r="P284">
        <f t="shared" si="72"/>
        <v>-3.4924596548080444E-10</v>
      </c>
      <c r="Q284">
        <f t="shared" si="73"/>
        <v>-3.4924596548080444E-10</v>
      </c>
    </row>
    <row r="285" spans="2:17" x14ac:dyDescent="0.25">
      <c r="B285" s="18">
        <f t="shared" si="65"/>
        <v>1.584452641983925E-4</v>
      </c>
      <c r="C285" s="18">
        <f t="shared" si="66"/>
        <v>1.5844526419839253E-4</v>
      </c>
      <c r="D285" s="18">
        <f t="shared" si="67"/>
        <v>1.584452641983925E-4</v>
      </c>
      <c r="E285">
        <f t="shared" si="68"/>
        <v>4.6609784476459026E-8</v>
      </c>
      <c r="F285">
        <f t="shared" si="74"/>
        <v>-9.4369170255959034E-9</v>
      </c>
      <c r="G285">
        <f t="shared" si="75"/>
        <v>4.6609784476459026E-8</v>
      </c>
      <c r="L285" s="7">
        <f t="shared" si="69"/>
        <v>4.9720262030229161E-2</v>
      </c>
      <c r="M285" s="7">
        <f t="shared" si="70"/>
        <v>4.9720262030229168E-2</v>
      </c>
      <c r="N285" s="20">
        <f t="shared" si="64"/>
        <v>4.9720262030229168E-2</v>
      </c>
      <c r="O285">
        <f t="shared" si="71"/>
        <v>5.8207660913467407E-10</v>
      </c>
      <c r="P285">
        <f t="shared" si="72"/>
        <v>-3.4924596548080444E-10</v>
      </c>
      <c r="Q285">
        <f t="shared" si="73"/>
        <v>-3.4924596548080444E-10</v>
      </c>
    </row>
    <row r="286" spans="2:17" x14ac:dyDescent="0.25">
      <c r="B286" s="18">
        <f t="shared" si="65"/>
        <v>1.584452641983925E-4</v>
      </c>
      <c r="C286" s="18">
        <f t="shared" si="66"/>
        <v>1.5844526419839253E-4</v>
      </c>
      <c r="D286" s="18">
        <f t="shared" si="67"/>
        <v>1.584452641983925E-4</v>
      </c>
      <c r="E286">
        <f t="shared" si="68"/>
        <v>4.6609784476459026E-8</v>
      </c>
      <c r="F286">
        <f t="shared" si="74"/>
        <v>-9.4369170255959034E-9</v>
      </c>
      <c r="G286">
        <f t="shared" si="75"/>
        <v>4.6609784476459026E-8</v>
      </c>
      <c r="L286" s="7">
        <f t="shared" si="69"/>
        <v>4.9720262030229161E-2</v>
      </c>
      <c r="M286" s="7">
        <f t="shared" si="70"/>
        <v>4.9720262030229168E-2</v>
      </c>
      <c r="N286" s="20">
        <f t="shared" si="64"/>
        <v>4.9720262030229168E-2</v>
      </c>
      <c r="O286">
        <f t="shared" si="71"/>
        <v>5.8207660913467407E-10</v>
      </c>
      <c r="P286">
        <f t="shared" si="72"/>
        <v>-3.4924596548080444E-10</v>
      </c>
      <c r="Q286">
        <f t="shared" si="73"/>
        <v>-3.4924596548080444E-10</v>
      </c>
    </row>
    <row r="287" spans="2:17" x14ac:dyDescent="0.25">
      <c r="B287" s="18">
        <f t="shared" si="65"/>
        <v>1.584452641983925E-4</v>
      </c>
      <c r="C287" s="18">
        <f t="shared" si="66"/>
        <v>1.5844526419839253E-4</v>
      </c>
      <c r="D287" s="18">
        <f t="shared" si="67"/>
        <v>1.584452641983925E-4</v>
      </c>
      <c r="E287">
        <f t="shared" si="68"/>
        <v>4.6609784476459026E-8</v>
      </c>
      <c r="F287">
        <f t="shared" si="74"/>
        <v>-9.4369170255959034E-9</v>
      </c>
      <c r="G287">
        <f t="shared" si="75"/>
        <v>4.6609784476459026E-8</v>
      </c>
      <c r="L287" s="7">
        <f t="shared" si="69"/>
        <v>4.9720262030229161E-2</v>
      </c>
      <c r="M287" s="7">
        <f t="shared" si="70"/>
        <v>4.9720262030229168E-2</v>
      </c>
      <c r="N287" s="20">
        <f t="shared" si="64"/>
        <v>4.9720262030229168E-2</v>
      </c>
      <c r="O287">
        <f t="shared" si="71"/>
        <v>5.8207660913467407E-10</v>
      </c>
      <c r="P287">
        <f t="shared" si="72"/>
        <v>-3.4924596548080444E-10</v>
      </c>
      <c r="Q287">
        <f t="shared" si="73"/>
        <v>-3.4924596548080444E-10</v>
      </c>
    </row>
    <row r="288" spans="2:17" x14ac:dyDescent="0.25">
      <c r="B288" s="18">
        <f t="shared" si="65"/>
        <v>1.584452641983925E-4</v>
      </c>
      <c r="C288" s="18">
        <f t="shared" si="66"/>
        <v>1.5844526419839253E-4</v>
      </c>
      <c r="D288" s="18">
        <f t="shared" si="67"/>
        <v>1.584452641983925E-4</v>
      </c>
      <c r="E288">
        <f t="shared" si="68"/>
        <v>4.6609784476459026E-8</v>
      </c>
      <c r="F288">
        <f t="shared" si="74"/>
        <v>-9.4369170255959034E-9</v>
      </c>
      <c r="G288">
        <f t="shared" si="75"/>
        <v>4.6609784476459026E-8</v>
      </c>
      <c r="L288" s="7">
        <f t="shared" si="69"/>
        <v>4.9720262030229161E-2</v>
      </c>
      <c r="M288" s="7">
        <f t="shared" si="70"/>
        <v>4.9720262030229168E-2</v>
      </c>
      <c r="N288" s="20">
        <f t="shared" si="64"/>
        <v>4.9720262030229168E-2</v>
      </c>
      <c r="O288">
        <f t="shared" si="71"/>
        <v>5.8207660913467407E-10</v>
      </c>
      <c r="P288">
        <f t="shared" si="72"/>
        <v>-3.4924596548080444E-10</v>
      </c>
      <c r="Q288">
        <f t="shared" si="73"/>
        <v>-3.4924596548080444E-10</v>
      </c>
    </row>
    <row r="289" spans="2:17" x14ac:dyDescent="0.25">
      <c r="B289" s="18">
        <f t="shared" si="65"/>
        <v>1.584452641983925E-4</v>
      </c>
      <c r="C289" s="18">
        <f t="shared" si="66"/>
        <v>1.5844526419839253E-4</v>
      </c>
      <c r="D289" s="18">
        <f t="shared" si="67"/>
        <v>1.584452641983925E-4</v>
      </c>
      <c r="E289">
        <f t="shared" si="68"/>
        <v>4.6609784476459026E-8</v>
      </c>
      <c r="F289">
        <f t="shared" si="74"/>
        <v>-9.4369170255959034E-9</v>
      </c>
      <c r="G289">
        <f t="shared" si="75"/>
        <v>4.6609784476459026E-8</v>
      </c>
      <c r="L289" s="7">
        <f t="shared" si="69"/>
        <v>4.9720262030229161E-2</v>
      </c>
      <c r="M289" s="7">
        <f t="shared" si="70"/>
        <v>4.9720262030229168E-2</v>
      </c>
      <c r="N289" s="20">
        <f t="shared" si="64"/>
        <v>4.9720262030229168E-2</v>
      </c>
      <c r="O289">
        <f t="shared" si="71"/>
        <v>5.8207660913467407E-10</v>
      </c>
      <c r="P289">
        <f t="shared" si="72"/>
        <v>-3.4924596548080444E-10</v>
      </c>
      <c r="Q289">
        <f t="shared" si="73"/>
        <v>-3.4924596548080444E-10</v>
      </c>
    </row>
    <row r="290" spans="2:17" x14ac:dyDescent="0.25">
      <c r="B290" s="18">
        <f t="shared" si="65"/>
        <v>1.584452641983925E-4</v>
      </c>
      <c r="C290" s="18">
        <f t="shared" si="66"/>
        <v>1.5844526419839253E-4</v>
      </c>
      <c r="D290" s="18">
        <f t="shared" si="67"/>
        <v>1.584452641983925E-4</v>
      </c>
      <c r="E290">
        <f t="shared" si="68"/>
        <v>4.6609784476459026E-8</v>
      </c>
      <c r="F290">
        <f t="shared" si="74"/>
        <v>-9.4369170255959034E-9</v>
      </c>
      <c r="G290">
        <f t="shared" si="75"/>
        <v>4.6609784476459026E-8</v>
      </c>
      <c r="L290" s="7">
        <f t="shared" si="69"/>
        <v>4.9720262030229161E-2</v>
      </c>
      <c r="M290" s="7">
        <f t="shared" si="70"/>
        <v>4.9720262030229168E-2</v>
      </c>
      <c r="N290" s="20">
        <f t="shared" si="64"/>
        <v>4.9720262030229168E-2</v>
      </c>
      <c r="O290">
        <f t="shared" si="71"/>
        <v>5.8207660913467407E-10</v>
      </c>
      <c r="P290">
        <f t="shared" si="72"/>
        <v>-3.4924596548080444E-10</v>
      </c>
      <c r="Q290">
        <f t="shared" si="73"/>
        <v>-3.4924596548080444E-10</v>
      </c>
    </row>
    <row r="291" spans="2:17" x14ac:dyDescent="0.25">
      <c r="B291" s="18">
        <f t="shared" si="65"/>
        <v>1.584452641983925E-4</v>
      </c>
      <c r="C291" s="18">
        <f t="shared" si="66"/>
        <v>1.5844526419839253E-4</v>
      </c>
      <c r="D291" s="18">
        <f t="shared" si="67"/>
        <v>1.584452641983925E-4</v>
      </c>
      <c r="E291">
        <f t="shared" si="68"/>
        <v>4.6609784476459026E-8</v>
      </c>
      <c r="F291">
        <f t="shared" si="74"/>
        <v>-9.4369170255959034E-9</v>
      </c>
      <c r="G291">
        <f t="shared" si="75"/>
        <v>4.6609784476459026E-8</v>
      </c>
      <c r="L291" s="7">
        <f t="shared" si="69"/>
        <v>4.9720262030229161E-2</v>
      </c>
      <c r="M291" s="7">
        <f t="shared" si="70"/>
        <v>4.9720262030229168E-2</v>
      </c>
      <c r="N291" s="20">
        <f t="shared" si="64"/>
        <v>4.9720262030229168E-2</v>
      </c>
      <c r="O291">
        <f t="shared" si="71"/>
        <v>5.8207660913467407E-10</v>
      </c>
      <c r="P291">
        <f t="shared" si="72"/>
        <v>-3.4924596548080444E-10</v>
      </c>
      <c r="Q291">
        <f t="shared" si="73"/>
        <v>-3.4924596548080444E-10</v>
      </c>
    </row>
    <row r="292" spans="2:17" x14ac:dyDescent="0.25">
      <c r="B292" s="18">
        <f t="shared" si="65"/>
        <v>1.584452641983925E-4</v>
      </c>
      <c r="C292" s="18">
        <f t="shared" si="66"/>
        <v>1.5844526419839253E-4</v>
      </c>
      <c r="D292" s="18">
        <f t="shared" si="67"/>
        <v>1.584452641983925E-4</v>
      </c>
      <c r="E292">
        <f t="shared" si="68"/>
        <v>4.6609784476459026E-8</v>
      </c>
      <c r="F292">
        <f t="shared" si="74"/>
        <v>-9.4369170255959034E-9</v>
      </c>
      <c r="G292">
        <f t="shared" si="75"/>
        <v>4.6609784476459026E-8</v>
      </c>
      <c r="L292" s="7">
        <f t="shared" si="69"/>
        <v>4.9720262030229161E-2</v>
      </c>
      <c r="M292" s="7">
        <f t="shared" si="70"/>
        <v>4.9720262030229168E-2</v>
      </c>
      <c r="N292" s="20">
        <f t="shared" si="64"/>
        <v>4.9720262030229168E-2</v>
      </c>
      <c r="O292">
        <f t="shared" si="71"/>
        <v>5.8207660913467407E-10</v>
      </c>
      <c r="P292">
        <f t="shared" si="72"/>
        <v>-3.4924596548080444E-10</v>
      </c>
      <c r="Q292">
        <f t="shared" si="73"/>
        <v>-3.4924596548080444E-10</v>
      </c>
    </row>
    <row r="293" spans="2:17" x14ac:dyDescent="0.25">
      <c r="B293" s="18">
        <f t="shared" si="65"/>
        <v>1.584452641983925E-4</v>
      </c>
      <c r="C293" s="18">
        <f t="shared" si="66"/>
        <v>1.5844526419839253E-4</v>
      </c>
      <c r="D293" s="18">
        <f t="shared" si="67"/>
        <v>1.584452641983925E-4</v>
      </c>
      <c r="E293">
        <f t="shared" si="68"/>
        <v>4.6609784476459026E-8</v>
      </c>
      <c r="F293">
        <f t="shared" si="74"/>
        <v>-9.4369170255959034E-9</v>
      </c>
      <c r="G293">
        <f t="shared" si="75"/>
        <v>4.6609784476459026E-8</v>
      </c>
      <c r="L293" s="7">
        <f t="shared" si="69"/>
        <v>4.9720262030229161E-2</v>
      </c>
      <c r="M293" s="7">
        <f t="shared" si="70"/>
        <v>4.9720262030229168E-2</v>
      </c>
      <c r="N293" s="20">
        <f t="shared" si="64"/>
        <v>4.9720262030229168E-2</v>
      </c>
      <c r="O293">
        <f t="shared" si="71"/>
        <v>5.8207660913467407E-10</v>
      </c>
      <c r="P293">
        <f t="shared" si="72"/>
        <v>-3.4924596548080444E-10</v>
      </c>
      <c r="Q293">
        <f t="shared" si="73"/>
        <v>-3.4924596548080444E-10</v>
      </c>
    </row>
    <row r="294" spans="2:17" x14ac:dyDescent="0.25">
      <c r="B294" s="18">
        <f t="shared" si="65"/>
        <v>1.584452641983925E-4</v>
      </c>
      <c r="C294" s="18">
        <f t="shared" si="66"/>
        <v>1.5844526419839253E-4</v>
      </c>
      <c r="D294" s="18">
        <f t="shared" si="67"/>
        <v>1.584452641983925E-4</v>
      </c>
      <c r="E294">
        <f t="shared" si="68"/>
        <v>4.6609784476459026E-8</v>
      </c>
      <c r="F294">
        <f t="shared" si="74"/>
        <v>-9.4369170255959034E-9</v>
      </c>
      <c r="G294">
        <f t="shared" si="75"/>
        <v>4.6609784476459026E-8</v>
      </c>
      <c r="L294" s="7">
        <f t="shared" si="69"/>
        <v>4.9720262030229161E-2</v>
      </c>
      <c r="M294" s="7">
        <f t="shared" si="70"/>
        <v>4.9720262030229168E-2</v>
      </c>
      <c r="N294" s="20">
        <f t="shared" si="64"/>
        <v>4.9720262030229168E-2</v>
      </c>
      <c r="O294">
        <f t="shared" si="71"/>
        <v>5.8207660913467407E-10</v>
      </c>
      <c r="P294">
        <f t="shared" si="72"/>
        <v>-3.4924596548080444E-10</v>
      </c>
      <c r="Q294">
        <f t="shared" si="73"/>
        <v>-3.4924596548080444E-10</v>
      </c>
    </row>
    <row r="295" spans="2:17" x14ac:dyDescent="0.25">
      <c r="B295" s="18">
        <f t="shared" si="65"/>
        <v>1.584452641983925E-4</v>
      </c>
      <c r="C295" s="18">
        <f t="shared" si="66"/>
        <v>1.5844526419839253E-4</v>
      </c>
      <c r="D295" s="18">
        <f t="shared" si="67"/>
        <v>1.584452641983925E-4</v>
      </c>
      <c r="E295">
        <f t="shared" si="68"/>
        <v>4.6609784476459026E-8</v>
      </c>
      <c r="F295">
        <f t="shared" si="74"/>
        <v>-9.4369170255959034E-9</v>
      </c>
      <c r="G295">
        <f t="shared" si="75"/>
        <v>4.6609784476459026E-8</v>
      </c>
      <c r="L295" s="7">
        <f t="shared" si="69"/>
        <v>4.9720262030229161E-2</v>
      </c>
      <c r="M295" s="7">
        <f t="shared" si="70"/>
        <v>4.9720262030229168E-2</v>
      </c>
      <c r="N295" s="20">
        <f t="shared" si="64"/>
        <v>4.9720262030229168E-2</v>
      </c>
      <c r="O295">
        <f t="shared" si="71"/>
        <v>5.8207660913467407E-10</v>
      </c>
      <c r="P295">
        <f t="shared" si="72"/>
        <v>-3.4924596548080444E-10</v>
      </c>
      <c r="Q295">
        <f t="shared" si="73"/>
        <v>-3.4924596548080444E-10</v>
      </c>
    </row>
    <row r="296" spans="2:17" x14ac:dyDescent="0.25">
      <c r="B296" s="18">
        <f t="shared" si="65"/>
        <v>1.584452641983925E-4</v>
      </c>
      <c r="C296" s="18">
        <f t="shared" si="66"/>
        <v>1.5844526419839253E-4</v>
      </c>
      <c r="D296" s="18">
        <f t="shared" si="67"/>
        <v>1.584452641983925E-4</v>
      </c>
      <c r="E296">
        <f t="shared" si="68"/>
        <v>4.6609784476459026E-8</v>
      </c>
      <c r="F296">
        <f t="shared" si="74"/>
        <v>-9.4369170255959034E-9</v>
      </c>
      <c r="G296">
        <f t="shared" si="75"/>
        <v>4.6609784476459026E-8</v>
      </c>
      <c r="L296" s="7">
        <f t="shared" si="69"/>
        <v>4.9720262030229161E-2</v>
      </c>
      <c r="M296" s="7">
        <f t="shared" si="70"/>
        <v>4.9720262030229168E-2</v>
      </c>
      <c r="N296" s="20">
        <f t="shared" si="64"/>
        <v>4.9720262030229168E-2</v>
      </c>
      <c r="O296">
        <f t="shared" si="71"/>
        <v>5.8207660913467407E-10</v>
      </c>
      <c r="P296">
        <f t="shared" si="72"/>
        <v>-3.4924596548080444E-10</v>
      </c>
      <c r="Q296">
        <f t="shared" si="73"/>
        <v>-3.4924596548080444E-10</v>
      </c>
    </row>
    <row r="297" spans="2:17" x14ac:dyDescent="0.25">
      <c r="B297" s="18">
        <f t="shared" si="65"/>
        <v>1.584452641983925E-4</v>
      </c>
      <c r="C297" s="18">
        <f t="shared" si="66"/>
        <v>1.5844526419839253E-4</v>
      </c>
      <c r="D297" s="18">
        <f t="shared" si="67"/>
        <v>1.584452641983925E-4</v>
      </c>
      <c r="E297">
        <f t="shared" si="68"/>
        <v>4.6609784476459026E-8</v>
      </c>
      <c r="F297">
        <f t="shared" si="74"/>
        <v>-9.4369170255959034E-9</v>
      </c>
      <c r="G297">
        <f t="shared" si="75"/>
        <v>4.6609784476459026E-8</v>
      </c>
      <c r="L297" s="7">
        <f t="shared" si="69"/>
        <v>4.9720262030229161E-2</v>
      </c>
      <c r="M297" s="7">
        <f t="shared" si="70"/>
        <v>4.9720262030229168E-2</v>
      </c>
      <c r="N297" s="20">
        <f t="shared" si="64"/>
        <v>4.9720262030229168E-2</v>
      </c>
      <c r="O297">
        <f t="shared" si="71"/>
        <v>5.8207660913467407E-10</v>
      </c>
      <c r="P297">
        <f t="shared" si="72"/>
        <v>-3.4924596548080444E-10</v>
      </c>
      <c r="Q297">
        <f t="shared" si="73"/>
        <v>-3.4924596548080444E-10</v>
      </c>
    </row>
    <row r="298" spans="2:17" x14ac:dyDescent="0.25">
      <c r="B298" s="18">
        <f t="shared" si="65"/>
        <v>1.584452641983925E-4</v>
      </c>
      <c r="C298" s="18">
        <f t="shared" si="66"/>
        <v>1.5844526419839253E-4</v>
      </c>
      <c r="D298" s="18">
        <f t="shared" si="67"/>
        <v>1.584452641983925E-4</v>
      </c>
      <c r="E298">
        <f t="shared" si="68"/>
        <v>4.6609784476459026E-8</v>
      </c>
      <c r="F298">
        <f t="shared" si="74"/>
        <v>-9.4369170255959034E-9</v>
      </c>
      <c r="G298">
        <f t="shared" si="75"/>
        <v>4.6609784476459026E-8</v>
      </c>
      <c r="L298" s="7">
        <f t="shared" si="69"/>
        <v>4.9720262030229161E-2</v>
      </c>
      <c r="M298" s="7">
        <f t="shared" si="70"/>
        <v>4.9720262030229168E-2</v>
      </c>
      <c r="N298" s="20">
        <f t="shared" si="64"/>
        <v>4.9720262030229168E-2</v>
      </c>
      <c r="O298">
        <f t="shared" si="71"/>
        <v>5.8207660913467407E-10</v>
      </c>
      <c r="P298">
        <f t="shared" si="72"/>
        <v>-3.4924596548080444E-10</v>
      </c>
      <c r="Q298">
        <f t="shared" si="73"/>
        <v>-3.4924596548080444E-10</v>
      </c>
    </row>
    <row r="299" spans="2:17" x14ac:dyDescent="0.25">
      <c r="B299" s="18">
        <f t="shared" si="65"/>
        <v>1.584452641983925E-4</v>
      </c>
      <c r="C299" s="18">
        <f t="shared" si="66"/>
        <v>1.5844526419839253E-4</v>
      </c>
      <c r="D299" s="18">
        <f t="shared" si="67"/>
        <v>1.584452641983925E-4</v>
      </c>
      <c r="E299">
        <f t="shared" si="68"/>
        <v>4.6609784476459026E-8</v>
      </c>
      <c r="F299">
        <f t="shared" si="74"/>
        <v>-9.4369170255959034E-9</v>
      </c>
      <c r="G299">
        <f t="shared" si="75"/>
        <v>4.6609784476459026E-8</v>
      </c>
      <c r="L299" s="7">
        <f t="shared" si="69"/>
        <v>4.9720262030229161E-2</v>
      </c>
      <c r="M299" s="7">
        <f t="shared" si="70"/>
        <v>4.9720262030229168E-2</v>
      </c>
      <c r="N299" s="20">
        <f t="shared" si="64"/>
        <v>4.9720262030229168E-2</v>
      </c>
      <c r="O299">
        <f t="shared" si="71"/>
        <v>5.8207660913467407E-10</v>
      </c>
      <c r="P299">
        <f t="shared" si="72"/>
        <v>-3.4924596548080444E-10</v>
      </c>
      <c r="Q299">
        <f t="shared" si="73"/>
        <v>-3.4924596548080444E-10</v>
      </c>
    </row>
    <row r="300" spans="2:17" x14ac:dyDescent="0.25">
      <c r="B300" s="18">
        <f t="shared" si="65"/>
        <v>1.584452641983925E-4</v>
      </c>
      <c r="C300" s="18">
        <f t="shared" si="66"/>
        <v>1.5844526419839253E-4</v>
      </c>
      <c r="D300" s="18">
        <f t="shared" si="67"/>
        <v>1.584452641983925E-4</v>
      </c>
      <c r="E300">
        <f t="shared" si="68"/>
        <v>4.6609784476459026E-8</v>
      </c>
      <c r="F300">
        <f t="shared" si="74"/>
        <v>-9.4369170255959034E-9</v>
      </c>
      <c r="G300">
        <f t="shared" si="75"/>
        <v>4.6609784476459026E-8</v>
      </c>
      <c r="L300" s="7">
        <f t="shared" si="69"/>
        <v>4.9720262030229161E-2</v>
      </c>
      <c r="M300" s="7">
        <f t="shared" si="70"/>
        <v>4.9720262030229168E-2</v>
      </c>
      <c r="N300" s="20">
        <f t="shared" si="64"/>
        <v>4.9720262030229168E-2</v>
      </c>
      <c r="O300">
        <f t="shared" si="71"/>
        <v>5.8207660913467407E-10</v>
      </c>
      <c r="P300">
        <f t="shared" si="72"/>
        <v>-3.4924596548080444E-10</v>
      </c>
      <c r="Q300">
        <f t="shared" si="73"/>
        <v>-3.4924596548080444E-10</v>
      </c>
    </row>
    <row r="301" spans="2:17" x14ac:dyDescent="0.25">
      <c r="B301" s="18">
        <f t="shared" si="65"/>
        <v>1.584452641983925E-4</v>
      </c>
      <c r="C301" s="18">
        <f t="shared" si="66"/>
        <v>1.5844526419839253E-4</v>
      </c>
      <c r="D301" s="18">
        <f t="shared" si="67"/>
        <v>1.584452641983925E-4</v>
      </c>
      <c r="E301">
        <f t="shared" si="68"/>
        <v>4.6609784476459026E-8</v>
      </c>
      <c r="F301">
        <f t="shared" si="74"/>
        <v>-9.4369170255959034E-9</v>
      </c>
      <c r="G301">
        <f t="shared" si="75"/>
        <v>4.6609784476459026E-8</v>
      </c>
      <c r="L301" s="7">
        <f t="shared" si="69"/>
        <v>4.9720262030229161E-2</v>
      </c>
      <c r="M301" s="7">
        <f t="shared" si="70"/>
        <v>4.9720262030229168E-2</v>
      </c>
      <c r="N301" s="20">
        <f t="shared" si="64"/>
        <v>4.9720262030229168E-2</v>
      </c>
      <c r="O301">
        <f t="shared" si="71"/>
        <v>5.8207660913467407E-10</v>
      </c>
      <c r="P301">
        <f t="shared" si="72"/>
        <v>-3.4924596548080444E-10</v>
      </c>
      <c r="Q301">
        <f t="shared" si="73"/>
        <v>-3.4924596548080444E-10</v>
      </c>
    </row>
    <row r="302" spans="2:17" x14ac:dyDescent="0.25">
      <c r="B302" s="18">
        <f t="shared" si="65"/>
        <v>1.584452641983925E-4</v>
      </c>
      <c r="C302" s="18">
        <f t="shared" si="66"/>
        <v>1.5844526419839253E-4</v>
      </c>
      <c r="D302" s="18">
        <f t="shared" si="67"/>
        <v>1.584452641983925E-4</v>
      </c>
      <c r="E302">
        <f t="shared" si="68"/>
        <v>4.6609784476459026E-8</v>
      </c>
      <c r="F302">
        <f t="shared" si="74"/>
        <v>-9.4369170255959034E-9</v>
      </c>
      <c r="G302">
        <f t="shared" si="75"/>
        <v>4.6609784476459026E-8</v>
      </c>
      <c r="L302" s="7">
        <f t="shared" si="69"/>
        <v>4.9720262030229161E-2</v>
      </c>
      <c r="M302" s="7">
        <f t="shared" si="70"/>
        <v>4.9720262030229168E-2</v>
      </c>
      <c r="N302" s="20">
        <f t="shared" si="64"/>
        <v>4.9720262030229168E-2</v>
      </c>
      <c r="O302">
        <f t="shared" si="71"/>
        <v>5.8207660913467407E-10</v>
      </c>
      <c r="P302">
        <f t="shared" si="72"/>
        <v>-3.4924596548080444E-10</v>
      </c>
      <c r="Q302">
        <f t="shared" si="73"/>
        <v>-3.4924596548080444E-10</v>
      </c>
    </row>
    <row r="303" spans="2:17" x14ac:dyDescent="0.25">
      <c r="B303" s="18">
        <f t="shared" si="65"/>
        <v>1.584452641983925E-4</v>
      </c>
      <c r="C303" s="18">
        <f t="shared" si="66"/>
        <v>1.5844526419839253E-4</v>
      </c>
      <c r="D303" s="18">
        <f t="shared" si="67"/>
        <v>1.584452641983925E-4</v>
      </c>
      <c r="E303">
        <f t="shared" si="68"/>
        <v>4.6609784476459026E-8</v>
      </c>
      <c r="F303">
        <f t="shared" si="74"/>
        <v>-9.4369170255959034E-9</v>
      </c>
      <c r="G303">
        <f t="shared" si="75"/>
        <v>4.6609784476459026E-8</v>
      </c>
      <c r="L303" s="7">
        <f t="shared" si="69"/>
        <v>4.9720262030229161E-2</v>
      </c>
      <c r="M303" s="7">
        <f t="shared" si="70"/>
        <v>4.9720262030229168E-2</v>
      </c>
      <c r="N303" s="20">
        <f t="shared" si="64"/>
        <v>4.9720262030229168E-2</v>
      </c>
      <c r="O303">
        <f t="shared" si="71"/>
        <v>5.8207660913467407E-10</v>
      </c>
      <c r="P303">
        <f t="shared" si="72"/>
        <v>-3.4924596548080444E-10</v>
      </c>
      <c r="Q303">
        <f t="shared" si="73"/>
        <v>-3.4924596548080444E-10</v>
      </c>
    </row>
    <row r="304" spans="2:17" x14ac:dyDescent="0.25">
      <c r="B304" s="18">
        <f t="shared" si="65"/>
        <v>1.584452641983925E-4</v>
      </c>
      <c r="C304" s="18">
        <f t="shared" si="66"/>
        <v>1.5844526419839253E-4</v>
      </c>
      <c r="D304" s="18">
        <f t="shared" si="67"/>
        <v>1.584452641983925E-4</v>
      </c>
      <c r="E304">
        <f t="shared" si="68"/>
        <v>4.6609784476459026E-8</v>
      </c>
      <c r="F304">
        <f t="shared" si="74"/>
        <v>-9.4369170255959034E-9</v>
      </c>
      <c r="G304">
        <f t="shared" si="75"/>
        <v>4.6609784476459026E-8</v>
      </c>
      <c r="L304" s="7">
        <f t="shared" si="69"/>
        <v>4.9720262030229161E-2</v>
      </c>
      <c r="M304" s="7">
        <f t="shared" si="70"/>
        <v>4.9720262030229168E-2</v>
      </c>
      <c r="N304" s="20">
        <f t="shared" si="64"/>
        <v>4.9720262030229168E-2</v>
      </c>
      <c r="O304">
        <f t="shared" si="71"/>
        <v>5.8207660913467407E-10</v>
      </c>
      <c r="P304">
        <f t="shared" si="72"/>
        <v>-3.4924596548080444E-10</v>
      </c>
      <c r="Q304">
        <f t="shared" si="73"/>
        <v>-3.4924596548080444E-10</v>
      </c>
    </row>
    <row r="305" spans="2:17" x14ac:dyDescent="0.25">
      <c r="B305" s="18">
        <f t="shared" si="65"/>
        <v>1.584452641983925E-4</v>
      </c>
      <c r="C305" s="18">
        <f t="shared" si="66"/>
        <v>1.5844526419839253E-4</v>
      </c>
      <c r="D305" s="18">
        <f t="shared" si="67"/>
        <v>1.584452641983925E-4</v>
      </c>
      <c r="E305">
        <f t="shared" si="68"/>
        <v>4.6609784476459026E-8</v>
      </c>
      <c r="F305">
        <f t="shared" si="74"/>
        <v>-9.4369170255959034E-9</v>
      </c>
      <c r="G305">
        <f t="shared" si="75"/>
        <v>4.6609784476459026E-8</v>
      </c>
      <c r="L305" s="7">
        <f t="shared" si="69"/>
        <v>4.9720262030229161E-2</v>
      </c>
      <c r="M305" s="7">
        <f t="shared" si="70"/>
        <v>4.9720262030229168E-2</v>
      </c>
      <c r="N305" s="20">
        <f t="shared" si="64"/>
        <v>4.9720262030229168E-2</v>
      </c>
      <c r="O305">
        <f t="shared" si="71"/>
        <v>5.8207660913467407E-10</v>
      </c>
      <c r="P305">
        <f t="shared" si="72"/>
        <v>-3.4924596548080444E-10</v>
      </c>
      <c r="Q305">
        <f t="shared" si="73"/>
        <v>-3.4924596548080444E-10</v>
      </c>
    </row>
    <row r="306" spans="2:17" x14ac:dyDescent="0.25">
      <c r="B306" s="18">
        <f t="shared" si="65"/>
        <v>1.584452641983925E-4</v>
      </c>
      <c r="C306" s="18">
        <f t="shared" si="66"/>
        <v>1.5844526419839253E-4</v>
      </c>
      <c r="D306" s="18">
        <f t="shared" si="67"/>
        <v>1.584452641983925E-4</v>
      </c>
      <c r="E306">
        <f t="shared" si="68"/>
        <v>4.6609784476459026E-8</v>
      </c>
      <c r="F306">
        <f t="shared" si="74"/>
        <v>-9.4369170255959034E-9</v>
      </c>
      <c r="G306">
        <f t="shared" si="75"/>
        <v>4.6609784476459026E-8</v>
      </c>
      <c r="L306" s="7">
        <f t="shared" si="69"/>
        <v>4.9720262030229161E-2</v>
      </c>
      <c r="M306" s="7">
        <f t="shared" si="70"/>
        <v>4.9720262030229168E-2</v>
      </c>
      <c r="N306" s="20">
        <f t="shared" si="64"/>
        <v>4.9720262030229168E-2</v>
      </c>
      <c r="O306">
        <f t="shared" si="71"/>
        <v>5.8207660913467407E-10</v>
      </c>
      <c r="P306">
        <f t="shared" si="72"/>
        <v>-3.4924596548080444E-10</v>
      </c>
      <c r="Q306">
        <f t="shared" si="73"/>
        <v>-3.4924596548080444E-10</v>
      </c>
    </row>
    <row r="307" spans="2:17" x14ac:dyDescent="0.25">
      <c r="B307" s="18">
        <f t="shared" si="65"/>
        <v>1.584452641983925E-4</v>
      </c>
      <c r="C307" s="18">
        <f t="shared" si="66"/>
        <v>1.5844526419839253E-4</v>
      </c>
      <c r="D307" s="18">
        <f t="shared" si="67"/>
        <v>1.584452641983925E-4</v>
      </c>
      <c r="E307">
        <f t="shared" si="68"/>
        <v>4.6609784476459026E-8</v>
      </c>
      <c r="F307">
        <f t="shared" si="74"/>
        <v>-9.4369170255959034E-9</v>
      </c>
      <c r="G307">
        <f t="shared" si="75"/>
        <v>4.6609784476459026E-8</v>
      </c>
      <c r="L307" s="7">
        <f t="shared" si="69"/>
        <v>4.9720262030229161E-2</v>
      </c>
      <c r="M307" s="7">
        <f t="shared" si="70"/>
        <v>4.9720262030229168E-2</v>
      </c>
      <c r="N307" s="20">
        <f t="shared" si="64"/>
        <v>4.9720262030229168E-2</v>
      </c>
      <c r="O307">
        <f t="shared" si="71"/>
        <v>5.8207660913467407E-10</v>
      </c>
      <c r="P307">
        <f t="shared" si="72"/>
        <v>-3.4924596548080444E-10</v>
      </c>
      <c r="Q307">
        <f t="shared" si="73"/>
        <v>-3.4924596548080444E-10</v>
      </c>
    </row>
    <row r="308" spans="2:17" x14ac:dyDescent="0.25">
      <c r="B308" s="18">
        <f t="shared" si="65"/>
        <v>1.584452641983925E-4</v>
      </c>
      <c r="C308" s="18">
        <f t="shared" si="66"/>
        <v>1.5844526419839253E-4</v>
      </c>
      <c r="D308" s="18">
        <f t="shared" si="67"/>
        <v>1.584452641983925E-4</v>
      </c>
      <c r="E308">
        <f t="shared" si="68"/>
        <v>4.6609784476459026E-8</v>
      </c>
      <c r="F308">
        <f t="shared" si="74"/>
        <v>-9.4369170255959034E-9</v>
      </c>
      <c r="G308">
        <f t="shared" si="75"/>
        <v>4.6609784476459026E-8</v>
      </c>
      <c r="L308" s="7">
        <f t="shared" si="69"/>
        <v>4.9720262030229161E-2</v>
      </c>
      <c r="M308" s="7">
        <f t="shared" si="70"/>
        <v>4.9720262030229168E-2</v>
      </c>
      <c r="N308" s="20">
        <f t="shared" si="64"/>
        <v>4.9720262030229168E-2</v>
      </c>
      <c r="O308">
        <f t="shared" si="71"/>
        <v>5.8207660913467407E-10</v>
      </c>
      <c r="P308">
        <f t="shared" si="72"/>
        <v>-3.4924596548080444E-10</v>
      </c>
      <c r="Q308">
        <f t="shared" si="73"/>
        <v>-3.4924596548080444E-10</v>
      </c>
    </row>
    <row r="309" spans="2:17" x14ac:dyDescent="0.25">
      <c r="B309" s="18">
        <f t="shared" si="65"/>
        <v>1.584452641983925E-4</v>
      </c>
      <c r="C309" s="18">
        <f t="shared" si="66"/>
        <v>1.5844526419839253E-4</v>
      </c>
      <c r="D309" s="18">
        <f t="shared" si="67"/>
        <v>1.584452641983925E-4</v>
      </c>
      <c r="E309">
        <f t="shared" si="68"/>
        <v>4.6609784476459026E-8</v>
      </c>
      <c r="F309">
        <f t="shared" si="74"/>
        <v>-9.4369170255959034E-9</v>
      </c>
      <c r="G309">
        <f t="shared" si="75"/>
        <v>4.6609784476459026E-8</v>
      </c>
      <c r="L309" s="7">
        <f t="shared" si="69"/>
        <v>4.9720262030229161E-2</v>
      </c>
      <c r="M309" s="7">
        <f t="shared" si="70"/>
        <v>4.9720262030229168E-2</v>
      </c>
      <c r="N309" s="20">
        <f t="shared" si="64"/>
        <v>4.9720262030229168E-2</v>
      </c>
      <c r="O309">
        <f t="shared" si="71"/>
        <v>5.8207660913467407E-10</v>
      </c>
      <c r="P309">
        <f t="shared" si="72"/>
        <v>-3.4924596548080444E-10</v>
      </c>
      <c r="Q309">
        <f t="shared" si="73"/>
        <v>-3.4924596548080444E-10</v>
      </c>
    </row>
    <row r="310" spans="2:17" x14ac:dyDescent="0.25">
      <c r="B310" s="18">
        <f t="shared" si="65"/>
        <v>1.584452641983925E-4</v>
      </c>
      <c r="C310" s="18">
        <f t="shared" si="66"/>
        <v>1.5844526419839253E-4</v>
      </c>
      <c r="D310" s="18">
        <f t="shared" si="67"/>
        <v>1.584452641983925E-4</v>
      </c>
      <c r="E310">
        <f t="shared" si="68"/>
        <v>4.6609784476459026E-8</v>
      </c>
      <c r="F310">
        <f t="shared" si="74"/>
        <v>-9.4369170255959034E-9</v>
      </c>
      <c r="G310">
        <f t="shared" si="75"/>
        <v>4.6609784476459026E-8</v>
      </c>
      <c r="L310" s="7">
        <f t="shared" si="69"/>
        <v>4.9720262030229161E-2</v>
      </c>
      <c r="M310" s="7">
        <f t="shared" si="70"/>
        <v>4.9720262030229168E-2</v>
      </c>
      <c r="N310" s="20">
        <f t="shared" si="64"/>
        <v>4.9720262030229168E-2</v>
      </c>
      <c r="O310">
        <f t="shared" si="71"/>
        <v>5.8207660913467407E-10</v>
      </c>
      <c r="P310">
        <f t="shared" si="72"/>
        <v>-3.4924596548080444E-10</v>
      </c>
      <c r="Q310">
        <f t="shared" si="73"/>
        <v>-3.4924596548080444E-10</v>
      </c>
    </row>
    <row r="311" spans="2:17" x14ac:dyDescent="0.25">
      <c r="B311" s="18">
        <f t="shared" si="65"/>
        <v>1.584452641983925E-4</v>
      </c>
      <c r="C311" s="18">
        <f t="shared" si="66"/>
        <v>1.5844526419839253E-4</v>
      </c>
      <c r="D311" s="18">
        <f t="shared" si="67"/>
        <v>1.584452641983925E-4</v>
      </c>
      <c r="E311">
        <f t="shared" si="68"/>
        <v>4.6609784476459026E-8</v>
      </c>
      <c r="F311">
        <f t="shared" si="74"/>
        <v>-9.4369170255959034E-9</v>
      </c>
      <c r="G311">
        <f t="shared" si="75"/>
        <v>4.6609784476459026E-8</v>
      </c>
      <c r="L311" s="7">
        <f t="shared" si="69"/>
        <v>4.9720262030229161E-2</v>
      </c>
      <c r="M311" s="7">
        <f t="shared" si="70"/>
        <v>4.9720262030229168E-2</v>
      </c>
      <c r="N311" s="20">
        <f t="shared" si="64"/>
        <v>4.9720262030229168E-2</v>
      </c>
      <c r="O311">
        <f t="shared" si="71"/>
        <v>5.8207660913467407E-10</v>
      </c>
      <c r="P311">
        <f t="shared" si="72"/>
        <v>-3.4924596548080444E-10</v>
      </c>
      <c r="Q311">
        <f t="shared" si="73"/>
        <v>-3.4924596548080444E-10</v>
      </c>
    </row>
    <row r="312" spans="2:17" x14ac:dyDescent="0.25">
      <c r="B312" s="18">
        <f t="shared" si="65"/>
        <v>1.584452641983925E-4</v>
      </c>
      <c r="C312" s="18">
        <f t="shared" si="66"/>
        <v>1.5844526419839253E-4</v>
      </c>
      <c r="D312" s="18">
        <f t="shared" si="67"/>
        <v>1.584452641983925E-4</v>
      </c>
      <c r="E312">
        <f t="shared" si="68"/>
        <v>4.6609784476459026E-8</v>
      </c>
      <c r="F312">
        <f t="shared" si="74"/>
        <v>-9.4369170255959034E-9</v>
      </c>
      <c r="G312">
        <f t="shared" si="75"/>
        <v>4.6609784476459026E-8</v>
      </c>
      <c r="L312" s="7">
        <f t="shared" si="69"/>
        <v>4.9720262030229161E-2</v>
      </c>
      <c r="M312" s="7">
        <f t="shared" si="70"/>
        <v>4.9720262030229168E-2</v>
      </c>
      <c r="N312" s="20">
        <f t="shared" si="64"/>
        <v>4.9720262030229168E-2</v>
      </c>
      <c r="O312">
        <f t="shared" si="71"/>
        <v>5.8207660913467407E-10</v>
      </c>
      <c r="P312">
        <f t="shared" si="72"/>
        <v>-3.4924596548080444E-10</v>
      </c>
      <c r="Q312">
        <f t="shared" si="73"/>
        <v>-3.4924596548080444E-10</v>
      </c>
    </row>
    <row r="313" spans="2:17" x14ac:dyDescent="0.25">
      <c r="B313" s="18">
        <f t="shared" si="65"/>
        <v>1.584452641983925E-4</v>
      </c>
      <c r="C313" s="18">
        <f t="shared" si="66"/>
        <v>1.5844526419839253E-4</v>
      </c>
      <c r="D313" s="18">
        <f t="shared" si="67"/>
        <v>1.584452641983925E-4</v>
      </c>
      <c r="E313">
        <f t="shared" si="68"/>
        <v>4.6609784476459026E-8</v>
      </c>
      <c r="F313">
        <f t="shared" si="74"/>
        <v>-9.4369170255959034E-9</v>
      </c>
      <c r="G313">
        <f t="shared" si="75"/>
        <v>4.6609784476459026E-8</v>
      </c>
      <c r="L313" s="7">
        <f t="shared" si="69"/>
        <v>4.9720262030229161E-2</v>
      </c>
      <c r="M313" s="7">
        <f t="shared" si="70"/>
        <v>4.9720262030229168E-2</v>
      </c>
      <c r="N313" s="20">
        <f t="shared" si="64"/>
        <v>4.9720262030229168E-2</v>
      </c>
      <c r="O313">
        <f t="shared" si="71"/>
        <v>5.8207660913467407E-10</v>
      </c>
      <c r="P313">
        <f t="shared" si="72"/>
        <v>-3.4924596548080444E-10</v>
      </c>
      <c r="Q313">
        <f t="shared" si="73"/>
        <v>-3.4924596548080444E-10</v>
      </c>
    </row>
    <row r="314" spans="2:17" x14ac:dyDescent="0.25">
      <c r="B314" s="18">
        <f t="shared" si="65"/>
        <v>1.584452641983925E-4</v>
      </c>
      <c r="C314" s="18">
        <f t="shared" si="66"/>
        <v>1.5844526419839253E-4</v>
      </c>
      <c r="D314" s="18">
        <f t="shared" si="67"/>
        <v>1.584452641983925E-4</v>
      </c>
      <c r="E314">
        <f t="shared" si="68"/>
        <v>4.6609784476459026E-8</v>
      </c>
      <c r="F314">
        <f t="shared" si="74"/>
        <v>-9.4369170255959034E-9</v>
      </c>
      <c r="G314">
        <f t="shared" si="75"/>
        <v>4.6609784476459026E-8</v>
      </c>
      <c r="L314" s="7">
        <f t="shared" si="69"/>
        <v>4.9720262030229161E-2</v>
      </c>
      <c r="M314" s="7">
        <f t="shared" si="70"/>
        <v>4.9720262030229168E-2</v>
      </c>
      <c r="N314" s="20">
        <f t="shared" si="64"/>
        <v>4.9720262030229168E-2</v>
      </c>
      <c r="O314">
        <f t="shared" si="71"/>
        <v>5.8207660913467407E-10</v>
      </c>
      <c r="P314">
        <f t="shared" si="72"/>
        <v>-3.4924596548080444E-10</v>
      </c>
      <c r="Q314">
        <f t="shared" si="73"/>
        <v>-3.4924596548080444E-10</v>
      </c>
    </row>
    <row r="315" spans="2:17" x14ac:dyDescent="0.25">
      <c r="B315" s="18">
        <f t="shared" si="65"/>
        <v>1.584452641983925E-4</v>
      </c>
      <c r="C315" s="18">
        <f t="shared" si="66"/>
        <v>1.5844526419839253E-4</v>
      </c>
      <c r="D315" s="18">
        <f t="shared" si="67"/>
        <v>1.584452641983925E-4</v>
      </c>
      <c r="E315">
        <f t="shared" si="68"/>
        <v>4.6609784476459026E-8</v>
      </c>
      <c r="F315">
        <f t="shared" si="74"/>
        <v>-9.4369170255959034E-9</v>
      </c>
      <c r="G315">
        <f t="shared" si="75"/>
        <v>4.6609784476459026E-8</v>
      </c>
      <c r="L315" s="7">
        <f t="shared" si="69"/>
        <v>4.9720262030229161E-2</v>
      </c>
      <c r="M315" s="7">
        <f t="shared" si="70"/>
        <v>4.9720262030229168E-2</v>
      </c>
      <c r="N315" s="20">
        <f t="shared" si="64"/>
        <v>4.9720262030229168E-2</v>
      </c>
      <c r="O315">
        <f t="shared" si="71"/>
        <v>5.8207660913467407E-10</v>
      </c>
      <c r="P315">
        <f t="shared" si="72"/>
        <v>-3.4924596548080444E-10</v>
      </c>
      <c r="Q315">
        <f t="shared" si="73"/>
        <v>-3.4924596548080444E-10</v>
      </c>
    </row>
    <row r="316" spans="2:17" x14ac:dyDescent="0.25">
      <c r="B316" s="18">
        <f t="shared" si="65"/>
        <v>1.584452641983925E-4</v>
      </c>
      <c r="C316" s="18">
        <f t="shared" si="66"/>
        <v>1.5844526419839253E-4</v>
      </c>
      <c r="D316" s="18">
        <f t="shared" si="67"/>
        <v>1.584452641983925E-4</v>
      </c>
      <c r="E316">
        <f t="shared" si="68"/>
        <v>4.6609784476459026E-8</v>
      </c>
      <c r="F316">
        <f t="shared" si="74"/>
        <v>-9.4369170255959034E-9</v>
      </c>
      <c r="G316">
        <f t="shared" si="75"/>
        <v>4.6609784476459026E-8</v>
      </c>
      <c r="L316" s="7">
        <f t="shared" si="69"/>
        <v>4.9720262030229161E-2</v>
      </c>
      <c r="M316" s="7">
        <f t="shared" si="70"/>
        <v>4.9720262030229168E-2</v>
      </c>
      <c r="N316" s="20">
        <f t="shared" si="64"/>
        <v>4.9720262030229168E-2</v>
      </c>
      <c r="O316">
        <f t="shared" si="71"/>
        <v>5.8207660913467407E-10</v>
      </c>
      <c r="P316">
        <f t="shared" si="72"/>
        <v>-3.4924596548080444E-10</v>
      </c>
      <c r="Q316">
        <f t="shared" si="73"/>
        <v>-3.4924596548080444E-10</v>
      </c>
    </row>
    <row r="317" spans="2:17" x14ac:dyDescent="0.25">
      <c r="B317" s="18">
        <f t="shared" si="65"/>
        <v>1.584452641983925E-4</v>
      </c>
      <c r="C317" s="18">
        <f t="shared" si="66"/>
        <v>1.5844526419839253E-4</v>
      </c>
      <c r="D317" s="18">
        <f t="shared" si="67"/>
        <v>1.584452641983925E-4</v>
      </c>
      <c r="E317">
        <f t="shared" si="68"/>
        <v>4.6609784476459026E-8</v>
      </c>
      <c r="F317">
        <f t="shared" si="74"/>
        <v>-9.4369170255959034E-9</v>
      </c>
      <c r="G317">
        <f t="shared" si="75"/>
        <v>4.6609784476459026E-8</v>
      </c>
      <c r="L317" s="7">
        <f t="shared" si="69"/>
        <v>4.9720262030229161E-2</v>
      </c>
      <c r="M317" s="7">
        <f t="shared" si="70"/>
        <v>4.9720262030229168E-2</v>
      </c>
      <c r="N317" s="20">
        <f t="shared" si="64"/>
        <v>4.9720262030229168E-2</v>
      </c>
      <c r="O317">
        <f t="shared" si="71"/>
        <v>5.8207660913467407E-10</v>
      </c>
      <c r="P317">
        <f t="shared" si="72"/>
        <v>-3.4924596548080444E-10</v>
      </c>
      <c r="Q317">
        <f t="shared" si="73"/>
        <v>-3.4924596548080444E-10</v>
      </c>
    </row>
    <row r="318" spans="2:17" x14ac:dyDescent="0.25">
      <c r="B318" s="18">
        <f t="shared" si="65"/>
        <v>1.584452641983925E-4</v>
      </c>
      <c r="C318" s="18">
        <f t="shared" si="66"/>
        <v>1.5844526419839253E-4</v>
      </c>
      <c r="D318" s="18">
        <f t="shared" si="67"/>
        <v>1.584452641983925E-4</v>
      </c>
      <c r="E318">
        <f t="shared" si="68"/>
        <v>4.6609784476459026E-8</v>
      </c>
      <c r="F318">
        <f t="shared" si="74"/>
        <v>-9.4369170255959034E-9</v>
      </c>
      <c r="G318">
        <f t="shared" si="75"/>
        <v>4.6609784476459026E-8</v>
      </c>
      <c r="L318" s="7">
        <f t="shared" si="69"/>
        <v>4.9720262030229161E-2</v>
      </c>
      <c r="M318" s="7">
        <f t="shared" si="70"/>
        <v>4.9720262030229168E-2</v>
      </c>
      <c r="N318" s="20">
        <f t="shared" si="64"/>
        <v>4.9720262030229168E-2</v>
      </c>
      <c r="O318">
        <f t="shared" si="71"/>
        <v>5.8207660913467407E-10</v>
      </c>
      <c r="P318">
        <f t="shared" si="72"/>
        <v>-3.4924596548080444E-10</v>
      </c>
      <c r="Q318">
        <f t="shared" si="73"/>
        <v>-3.4924596548080444E-10</v>
      </c>
    </row>
    <row r="319" spans="2:17" x14ac:dyDescent="0.25">
      <c r="B319" s="18">
        <f t="shared" si="65"/>
        <v>1.584452641983925E-4</v>
      </c>
      <c r="C319" s="18">
        <f t="shared" si="66"/>
        <v>1.5844526419839253E-4</v>
      </c>
      <c r="D319" s="18">
        <f t="shared" si="67"/>
        <v>1.584452641983925E-4</v>
      </c>
      <c r="E319">
        <f t="shared" si="68"/>
        <v>4.6609784476459026E-8</v>
      </c>
      <c r="F319">
        <f t="shared" si="74"/>
        <v>-9.4369170255959034E-9</v>
      </c>
      <c r="G319">
        <f t="shared" si="75"/>
        <v>4.6609784476459026E-8</v>
      </c>
      <c r="L319" s="7">
        <f t="shared" si="69"/>
        <v>4.9720262030229161E-2</v>
      </c>
      <c r="M319" s="7">
        <f t="shared" si="70"/>
        <v>4.9720262030229168E-2</v>
      </c>
      <c r="N319" s="20">
        <f t="shared" si="64"/>
        <v>4.9720262030229168E-2</v>
      </c>
      <c r="O319">
        <f t="shared" si="71"/>
        <v>5.8207660913467407E-10</v>
      </c>
      <c r="P319">
        <f t="shared" si="72"/>
        <v>-3.4924596548080444E-10</v>
      </c>
      <c r="Q319">
        <f t="shared" si="73"/>
        <v>-3.4924596548080444E-10</v>
      </c>
    </row>
    <row r="320" spans="2:17" x14ac:dyDescent="0.25">
      <c r="B320" s="18">
        <f t="shared" si="65"/>
        <v>1.584452641983925E-4</v>
      </c>
      <c r="C320" s="18">
        <f t="shared" si="66"/>
        <v>1.5844526419839253E-4</v>
      </c>
      <c r="D320" s="18">
        <f t="shared" si="67"/>
        <v>1.584452641983925E-4</v>
      </c>
      <c r="E320">
        <f t="shared" si="68"/>
        <v>4.6609784476459026E-8</v>
      </c>
      <c r="F320">
        <f t="shared" si="74"/>
        <v>-9.4369170255959034E-9</v>
      </c>
      <c r="G320">
        <f t="shared" si="75"/>
        <v>4.6609784476459026E-8</v>
      </c>
      <c r="L320" s="7">
        <f t="shared" si="69"/>
        <v>4.9720262030229161E-2</v>
      </c>
      <c r="M320" s="7">
        <f t="shared" si="70"/>
        <v>4.9720262030229168E-2</v>
      </c>
      <c r="N320" s="20">
        <f t="shared" si="64"/>
        <v>4.9720262030229168E-2</v>
      </c>
      <c r="O320">
        <f t="shared" si="71"/>
        <v>5.8207660913467407E-10</v>
      </c>
      <c r="P320">
        <f t="shared" si="72"/>
        <v>-3.4924596548080444E-10</v>
      </c>
      <c r="Q320">
        <f t="shared" si="73"/>
        <v>-3.4924596548080444E-10</v>
      </c>
    </row>
    <row r="321" spans="2:17" x14ac:dyDescent="0.25">
      <c r="B321" s="18">
        <f t="shared" si="65"/>
        <v>1.584452641983925E-4</v>
      </c>
      <c r="C321" s="18">
        <f t="shared" si="66"/>
        <v>1.5844526419839253E-4</v>
      </c>
      <c r="D321" s="18">
        <f t="shared" si="67"/>
        <v>1.584452641983925E-4</v>
      </c>
      <c r="E321">
        <f t="shared" si="68"/>
        <v>4.6609784476459026E-8</v>
      </c>
      <c r="F321">
        <f t="shared" si="74"/>
        <v>-9.4369170255959034E-9</v>
      </c>
      <c r="G321">
        <f t="shared" si="75"/>
        <v>4.6609784476459026E-8</v>
      </c>
      <c r="L321" s="7">
        <f t="shared" si="69"/>
        <v>4.9720262030229161E-2</v>
      </c>
      <c r="M321" s="7">
        <f t="shared" si="70"/>
        <v>4.9720262030229168E-2</v>
      </c>
      <c r="N321" s="20">
        <f t="shared" si="64"/>
        <v>4.9720262030229168E-2</v>
      </c>
      <c r="O321">
        <f t="shared" si="71"/>
        <v>5.8207660913467407E-10</v>
      </c>
      <c r="P321">
        <f t="shared" si="72"/>
        <v>-3.4924596548080444E-10</v>
      </c>
      <c r="Q321">
        <f t="shared" si="73"/>
        <v>-3.4924596548080444E-10</v>
      </c>
    </row>
    <row r="322" spans="2:17" x14ac:dyDescent="0.25">
      <c r="B322" s="18">
        <f t="shared" si="65"/>
        <v>1.584452641983925E-4</v>
      </c>
      <c r="C322" s="18">
        <f t="shared" si="66"/>
        <v>1.5844526419839253E-4</v>
      </c>
      <c r="D322" s="18">
        <f t="shared" si="67"/>
        <v>1.584452641983925E-4</v>
      </c>
      <c r="E322">
        <f t="shared" si="68"/>
        <v>4.6609784476459026E-8</v>
      </c>
      <c r="F322">
        <f t="shared" si="74"/>
        <v>-9.4369170255959034E-9</v>
      </c>
      <c r="G322">
        <f t="shared" si="75"/>
        <v>4.6609784476459026E-8</v>
      </c>
      <c r="L322" s="7">
        <f t="shared" si="69"/>
        <v>4.9720262030229161E-2</v>
      </c>
      <c r="M322" s="7">
        <f t="shared" si="70"/>
        <v>4.9720262030229168E-2</v>
      </c>
      <c r="N322" s="20">
        <f t="shared" si="64"/>
        <v>4.9720262030229168E-2</v>
      </c>
      <c r="O322">
        <f t="shared" si="71"/>
        <v>5.8207660913467407E-10</v>
      </c>
      <c r="P322">
        <f t="shared" si="72"/>
        <v>-3.4924596548080444E-10</v>
      </c>
      <c r="Q322">
        <f t="shared" si="73"/>
        <v>-3.4924596548080444E-10</v>
      </c>
    </row>
    <row r="323" spans="2:17" x14ac:dyDescent="0.25">
      <c r="B323" s="18">
        <f t="shared" si="65"/>
        <v>1.584452641983925E-4</v>
      </c>
      <c r="C323" s="18">
        <f t="shared" si="66"/>
        <v>1.5844526419839253E-4</v>
      </c>
      <c r="D323" s="18">
        <f t="shared" si="67"/>
        <v>1.584452641983925E-4</v>
      </c>
      <c r="E323">
        <f t="shared" si="68"/>
        <v>4.6609784476459026E-8</v>
      </c>
      <c r="F323">
        <f t="shared" si="74"/>
        <v>-9.4369170255959034E-9</v>
      </c>
      <c r="G323">
        <f t="shared" si="75"/>
        <v>4.6609784476459026E-8</v>
      </c>
      <c r="L323" s="7">
        <f t="shared" si="69"/>
        <v>4.9720262030229161E-2</v>
      </c>
      <c r="M323" s="7">
        <f t="shared" si="70"/>
        <v>4.9720262030229168E-2</v>
      </c>
      <c r="N323" s="20">
        <f t="shared" si="64"/>
        <v>4.9720262030229168E-2</v>
      </c>
      <c r="O323">
        <f t="shared" si="71"/>
        <v>5.8207660913467407E-10</v>
      </c>
      <c r="P323">
        <f t="shared" si="72"/>
        <v>-3.4924596548080444E-10</v>
      </c>
      <c r="Q323">
        <f t="shared" si="73"/>
        <v>-3.4924596548080444E-10</v>
      </c>
    </row>
    <row r="324" spans="2:17" x14ac:dyDescent="0.25">
      <c r="B324" s="18">
        <f t="shared" si="65"/>
        <v>1.584452641983925E-4</v>
      </c>
      <c r="C324" s="18">
        <f t="shared" si="66"/>
        <v>1.5844526419839253E-4</v>
      </c>
      <c r="D324" s="18">
        <f t="shared" si="67"/>
        <v>1.584452641983925E-4</v>
      </c>
      <c r="E324">
        <f t="shared" si="68"/>
        <v>4.6609784476459026E-8</v>
      </c>
      <c r="F324">
        <f t="shared" si="74"/>
        <v>-9.4369170255959034E-9</v>
      </c>
      <c r="G324">
        <f t="shared" si="75"/>
        <v>4.6609784476459026E-8</v>
      </c>
      <c r="L324" s="7">
        <f t="shared" si="69"/>
        <v>4.9720262030229161E-2</v>
      </c>
      <c r="M324" s="7">
        <f t="shared" si="70"/>
        <v>4.9720262030229168E-2</v>
      </c>
      <c r="N324" s="20">
        <f t="shared" si="64"/>
        <v>4.9720262030229168E-2</v>
      </c>
      <c r="O324">
        <f t="shared" si="71"/>
        <v>5.8207660913467407E-10</v>
      </c>
      <c r="P324">
        <f t="shared" si="72"/>
        <v>-3.4924596548080444E-10</v>
      </c>
      <c r="Q324">
        <f t="shared" si="73"/>
        <v>-3.4924596548080444E-10</v>
      </c>
    </row>
    <row r="325" spans="2:17" x14ac:dyDescent="0.25">
      <c r="B325" s="18">
        <f t="shared" si="65"/>
        <v>1.584452641983925E-4</v>
      </c>
      <c r="C325" s="18">
        <f t="shared" si="66"/>
        <v>1.5844526419839253E-4</v>
      </c>
      <c r="D325" s="18">
        <f t="shared" si="67"/>
        <v>1.584452641983925E-4</v>
      </c>
      <c r="E325">
        <f t="shared" si="68"/>
        <v>4.6609784476459026E-8</v>
      </c>
      <c r="F325">
        <f t="shared" si="74"/>
        <v>-9.4369170255959034E-9</v>
      </c>
      <c r="G325">
        <f t="shared" si="75"/>
        <v>4.6609784476459026E-8</v>
      </c>
      <c r="L325" s="7">
        <f t="shared" si="69"/>
        <v>4.9720262030229161E-2</v>
      </c>
      <c r="M325" s="7">
        <f t="shared" si="70"/>
        <v>4.9720262030229168E-2</v>
      </c>
      <c r="N325" s="20">
        <f t="shared" si="64"/>
        <v>4.9720262030229168E-2</v>
      </c>
      <c r="O325">
        <f t="shared" si="71"/>
        <v>5.8207660913467407E-10</v>
      </c>
      <c r="P325">
        <f t="shared" si="72"/>
        <v>-3.4924596548080444E-10</v>
      </c>
      <c r="Q325">
        <f t="shared" si="73"/>
        <v>-3.4924596548080444E-10</v>
      </c>
    </row>
    <row r="326" spans="2:17" x14ac:dyDescent="0.25">
      <c r="B326" s="18">
        <f t="shared" si="65"/>
        <v>1.584452641983925E-4</v>
      </c>
      <c r="C326" s="18">
        <f t="shared" si="66"/>
        <v>1.5844526419839253E-4</v>
      </c>
      <c r="D326" s="18">
        <f t="shared" si="67"/>
        <v>1.584452641983925E-4</v>
      </c>
      <c r="E326">
        <f t="shared" si="68"/>
        <v>4.6609784476459026E-8</v>
      </c>
      <c r="F326">
        <f t="shared" si="74"/>
        <v>-9.4369170255959034E-9</v>
      </c>
      <c r="G326">
        <f t="shared" si="75"/>
        <v>4.6609784476459026E-8</v>
      </c>
      <c r="L326" s="7">
        <f t="shared" si="69"/>
        <v>4.9720262030229161E-2</v>
      </c>
      <c r="M326" s="7">
        <f t="shared" si="70"/>
        <v>4.9720262030229168E-2</v>
      </c>
      <c r="N326" s="20">
        <f t="shared" si="64"/>
        <v>4.9720262030229168E-2</v>
      </c>
      <c r="O326">
        <f t="shared" si="71"/>
        <v>5.8207660913467407E-10</v>
      </c>
      <c r="P326">
        <f t="shared" si="72"/>
        <v>-3.4924596548080444E-10</v>
      </c>
      <c r="Q326">
        <f t="shared" si="73"/>
        <v>-3.4924596548080444E-10</v>
      </c>
    </row>
    <row r="327" spans="2:17" x14ac:dyDescent="0.25">
      <c r="B327" s="18">
        <f t="shared" si="65"/>
        <v>1.584452641983925E-4</v>
      </c>
      <c r="C327" s="18">
        <f t="shared" si="66"/>
        <v>1.5844526419839253E-4</v>
      </c>
      <c r="D327" s="18">
        <f t="shared" si="67"/>
        <v>1.584452641983925E-4</v>
      </c>
      <c r="E327">
        <f t="shared" si="68"/>
        <v>4.6609784476459026E-8</v>
      </c>
      <c r="F327">
        <f t="shared" si="74"/>
        <v>-9.4369170255959034E-9</v>
      </c>
      <c r="G327">
        <f t="shared" si="75"/>
        <v>4.6609784476459026E-8</v>
      </c>
      <c r="L327" s="7">
        <f t="shared" si="69"/>
        <v>4.9720262030229161E-2</v>
      </c>
      <c r="M327" s="7">
        <f t="shared" si="70"/>
        <v>4.9720262030229168E-2</v>
      </c>
      <c r="N327" s="20">
        <f t="shared" si="64"/>
        <v>4.9720262030229168E-2</v>
      </c>
      <c r="O327">
        <f t="shared" si="71"/>
        <v>5.8207660913467407E-10</v>
      </c>
      <c r="P327">
        <f t="shared" si="72"/>
        <v>-3.4924596548080444E-10</v>
      </c>
      <c r="Q327">
        <f t="shared" si="73"/>
        <v>-3.4924596548080444E-10</v>
      </c>
    </row>
    <row r="328" spans="2:17" x14ac:dyDescent="0.25">
      <c r="B328" s="18">
        <f t="shared" si="65"/>
        <v>1.584452641983925E-4</v>
      </c>
      <c r="C328" s="18">
        <f t="shared" si="66"/>
        <v>1.5844526419839253E-4</v>
      </c>
      <c r="D328" s="18">
        <f t="shared" si="67"/>
        <v>1.584452641983925E-4</v>
      </c>
      <c r="E328">
        <f t="shared" si="68"/>
        <v>4.6609784476459026E-8</v>
      </c>
      <c r="F328">
        <f t="shared" si="74"/>
        <v>-9.4369170255959034E-9</v>
      </c>
      <c r="G328">
        <f t="shared" si="75"/>
        <v>4.6609784476459026E-8</v>
      </c>
      <c r="L328" s="7">
        <f t="shared" si="69"/>
        <v>4.9720262030229161E-2</v>
      </c>
      <c r="M328" s="7">
        <f t="shared" si="70"/>
        <v>4.9720262030229168E-2</v>
      </c>
      <c r="N328" s="20">
        <f t="shared" si="64"/>
        <v>4.9720262030229168E-2</v>
      </c>
      <c r="O328">
        <f t="shared" si="71"/>
        <v>5.8207660913467407E-10</v>
      </c>
      <c r="P328">
        <f t="shared" si="72"/>
        <v>-3.4924596548080444E-10</v>
      </c>
      <c r="Q328">
        <f t="shared" si="73"/>
        <v>-3.4924596548080444E-10</v>
      </c>
    </row>
    <row r="329" spans="2:17" x14ac:dyDescent="0.25">
      <c r="B329" s="18">
        <f t="shared" si="65"/>
        <v>1.584452641983925E-4</v>
      </c>
      <c r="C329" s="18">
        <f t="shared" si="66"/>
        <v>1.5844526419839253E-4</v>
      </c>
      <c r="D329" s="18">
        <f t="shared" si="67"/>
        <v>1.584452641983925E-4</v>
      </c>
      <c r="E329">
        <f t="shared" si="68"/>
        <v>4.6609784476459026E-8</v>
      </c>
      <c r="F329">
        <f t="shared" si="74"/>
        <v>-9.4369170255959034E-9</v>
      </c>
      <c r="G329">
        <f t="shared" si="75"/>
        <v>4.6609784476459026E-8</v>
      </c>
      <c r="L329" s="7">
        <f t="shared" si="69"/>
        <v>4.9720262030229161E-2</v>
      </c>
      <c r="M329" s="7">
        <f t="shared" si="70"/>
        <v>4.9720262030229168E-2</v>
      </c>
      <c r="N329" s="20">
        <f t="shared" si="64"/>
        <v>4.9720262030229168E-2</v>
      </c>
      <c r="O329">
        <f t="shared" si="71"/>
        <v>5.8207660913467407E-10</v>
      </c>
      <c r="P329">
        <f t="shared" si="72"/>
        <v>-3.4924596548080444E-10</v>
      </c>
      <c r="Q329">
        <f t="shared" si="73"/>
        <v>-3.4924596548080444E-10</v>
      </c>
    </row>
    <row r="330" spans="2:17" x14ac:dyDescent="0.25">
      <c r="B330" s="18">
        <f t="shared" si="65"/>
        <v>1.584452641983925E-4</v>
      </c>
      <c r="C330" s="18">
        <f t="shared" si="66"/>
        <v>1.5844526419839253E-4</v>
      </c>
      <c r="D330" s="18">
        <f t="shared" si="67"/>
        <v>1.584452641983925E-4</v>
      </c>
      <c r="E330">
        <f t="shared" si="68"/>
        <v>4.6609784476459026E-8</v>
      </c>
      <c r="F330">
        <f t="shared" si="74"/>
        <v>-9.4369170255959034E-9</v>
      </c>
      <c r="G330">
        <f t="shared" si="75"/>
        <v>4.6609784476459026E-8</v>
      </c>
      <c r="L330" s="7">
        <f t="shared" si="69"/>
        <v>4.9720262030229161E-2</v>
      </c>
      <c r="M330" s="7">
        <f t="shared" si="70"/>
        <v>4.9720262030229168E-2</v>
      </c>
      <c r="N330" s="20">
        <f t="shared" si="64"/>
        <v>4.9720262030229168E-2</v>
      </c>
      <c r="O330">
        <f t="shared" si="71"/>
        <v>5.8207660913467407E-10</v>
      </c>
      <c r="P330">
        <f t="shared" si="72"/>
        <v>-3.4924596548080444E-10</v>
      </c>
      <c r="Q330">
        <f t="shared" si="73"/>
        <v>-3.4924596548080444E-10</v>
      </c>
    </row>
    <row r="331" spans="2:17" x14ac:dyDescent="0.25">
      <c r="B331" s="18">
        <f t="shared" si="65"/>
        <v>1.584452641983925E-4</v>
      </c>
      <c r="C331" s="18">
        <f t="shared" si="66"/>
        <v>1.5844526419839253E-4</v>
      </c>
      <c r="D331" s="18">
        <f t="shared" si="67"/>
        <v>1.584452641983925E-4</v>
      </c>
      <c r="E331">
        <f t="shared" si="68"/>
        <v>4.6609784476459026E-8</v>
      </c>
      <c r="F331">
        <f t="shared" si="74"/>
        <v>-9.4369170255959034E-9</v>
      </c>
      <c r="G331">
        <f t="shared" si="75"/>
        <v>4.6609784476459026E-8</v>
      </c>
      <c r="L331" s="7">
        <f t="shared" si="69"/>
        <v>4.9720262030229161E-2</v>
      </c>
      <c r="M331" s="7">
        <f t="shared" si="70"/>
        <v>4.9720262030229168E-2</v>
      </c>
      <c r="N331" s="20">
        <f t="shared" si="64"/>
        <v>4.9720262030229168E-2</v>
      </c>
      <c r="O331">
        <f t="shared" si="71"/>
        <v>5.8207660913467407E-10</v>
      </c>
      <c r="P331">
        <f t="shared" si="72"/>
        <v>-3.4924596548080444E-10</v>
      </c>
      <c r="Q331">
        <f t="shared" si="73"/>
        <v>-3.4924596548080444E-10</v>
      </c>
    </row>
    <row r="332" spans="2:17" x14ac:dyDescent="0.25">
      <c r="B332" s="18">
        <f t="shared" si="65"/>
        <v>1.584452641983925E-4</v>
      </c>
      <c r="C332" s="18">
        <f t="shared" si="66"/>
        <v>1.5844526419839253E-4</v>
      </c>
      <c r="D332" s="18">
        <f t="shared" si="67"/>
        <v>1.584452641983925E-4</v>
      </c>
      <c r="E332">
        <f t="shared" si="68"/>
        <v>4.6609784476459026E-8</v>
      </c>
      <c r="F332">
        <f t="shared" si="74"/>
        <v>-9.4369170255959034E-9</v>
      </c>
      <c r="G332">
        <f t="shared" si="75"/>
        <v>4.6609784476459026E-8</v>
      </c>
      <c r="L332" s="7">
        <f t="shared" si="69"/>
        <v>4.9720262030229161E-2</v>
      </c>
      <c r="M332" s="7">
        <f t="shared" si="70"/>
        <v>4.9720262030229168E-2</v>
      </c>
      <c r="N332" s="20">
        <f t="shared" si="64"/>
        <v>4.9720262030229168E-2</v>
      </c>
      <c r="O332">
        <f t="shared" si="71"/>
        <v>5.8207660913467407E-10</v>
      </c>
      <c r="P332">
        <f t="shared" si="72"/>
        <v>-3.4924596548080444E-10</v>
      </c>
      <c r="Q332">
        <f t="shared" si="73"/>
        <v>-3.4924596548080444E-10</v>
      </c>
    </row>
    <row r="333" spans="2:17" x14ac:dyDescent="0.25">
      <c r="B333" s="18">
        <f t="shared" si="65"/>
        <v>1.584452641983925E-4</v>
      </c>
      <c r="C333" s="18">
        <f t="shared" si="66"/>
        <v>1.5844526419839253E-4</v>
      </c>
      <c r="D333" s="18">
        <f t="shared" si="67"/>
        <v>1.584452641983925E-4</v>
      </c>
      <c r="E333">
        <f t="shared" si="68"/>
        <v>4.6609784476459026E-8</v>
      </c>
      <c r="F333">
        <f t="shared" si="74"/>
        <v>-9.4369170255959034E-9</v>
      </c>
      <c r="G333">
        <f t="shared" si="75"/>
        <v>4.6609784476459026E-8</v>
      </c>
      <c r="L333" s="7">
        <f t="shared" si="69"/>
        <v>4.9720262030229161E-2</v>
      </c>
      <c r="M333" s="7">
        <f t="shared" si="70"/>
        <v>4.9720262030229168E-2</v>
      </c>
      <c r="N333" s="20">
        <f t="shared" si="64"/>
        <v>4.9720262030229168E-2</v>
      </c>
      <c r="O333">
        <f t="shared" si="71"/>
        <v>5.8207660913467407E-10</v>
      </c>
      <c r="P333">
        <f t="shared" si="72"/>
        <v>-3.4924596548080444E-10</v>
      </c>
      <c r="Q333">
        <f t="shared" si="73"/>
        <v>-3.4924596548080444E-10</v>
      </c>
    </row>
    <row r="334" spans="2:17" x14ac:dyDescent="0.25">
      <c r="B334" s="18">
        <f t="shared" si="65"/>
        <v>1.584452641983925E-4</v>
      </c>
      <c r="C334" s="18">
        <f t="shared" si="66"/>
        <v>1.5844526419839253E-4</v>
      </c>
      <c r="D334" s="18">
        <f t="shared" si="67"/>
        <v>1.584452641983925E-4</v>
      </c>
      <c r="E334">
        <f t="shared" si="68"/>
        <v>4.6609784476459026E-8</v>
      </c>
      <c r="F334">
        <f t="shared" si="74"/>
        <v>-9.4369170255959034E-9</v>
      </c>
      <c r="G334">
        <f t="shared" si="75"/>
        <v>4.6609784476459026E-8</v>
      </c>
      <c r="L334" s="7">
        <f t="shared" si="69"/>
        <v>4.9720262030229161E-2</v>
      </c>
      <c r="M334" s="7">
        <f t="shared" si="70"/>
        <v>4.9720262030229168E-2</v>
      </c>
      <c r="N334" s="20">
        <f t="shared" si="64"/>
        <v>4.9720262030229168E-2</v>
      </c>
      <c r="O334">
        <f t="shared" si="71"/>
        <v>5.8207660913467407E-10</v>
      </c>
      <c r="P334">
        <f t="shared" si="72"/>
        <v>-3.4924596548080444E-10</v>
      </c>
      <c r="Q334">
        <f t="shared" si="73"/>
        <v>-3.4924596548080444E-10</v>
      </c>
    </row>
    <row r="335" spans="2:17" x14ac:dyDescent="0.25">
      <c r="B335" s="18">
        <f t="shared" si="65"/>
        <v>1.584452641983925E-4</v>
      </c>
      <c r="C335" s="18">
        <f t="shared" si="66"/>
        <v>1.5844526419839253E-4</v>
      </c>
      <c r="D335" s="18">
        <f t="shared" si="67"/>
        <v>1.584452641983925E-4</v>
      </c>
      <c r="E335">
        <f t="shared" si="68"/>
        <v>4.6609784476459026E-8</v>
      </c>
      <c r="F335">
        <f t="shared" si="74"/>
        <v>-9.4369170255959034E-9</v>
      </c>
      <c r="G335">
        <f t="shared" si="75"/>
        <v>4.6609784476459026E-8</v>
      </c>
      <c r="L335" s="7">
        <f t="shared" si="69"/>
        <v>4.9720262030229161E-2</v>
      </c>
      <c r="M335" s="7">
        <f t="shared" si="70"/>
        <v>4.9720262030229168E-2</v>
      </c>
      <c r="N335" s="20">
        <f t="shared" si="64"/>
        <v>4.9720262030229168E-2</v>
      </c>
      <c r="O335">
        <f t="shared" si="71"/>
        <v>5.8207660913467407E-10</v>
      </c>
      <c r="P335">
        <f t="shared" si="72"/>
        <v>-3.4924596548080444E-10</v>
      </c>
      <c r="Q335">
        <f t="shared" si="73"/>
        <v>-3.4924596548080444E-10</v>
      </c>
    </row>
    <row r="336" spans="2:17" x14ac:dyDescent="0.25">
      <c r="B336" s="18">
        <f t="shared" si="65"/>
        <v>1.584452641983925E-4</v>
      </c>
      <c r="C336" s="18">
        <f t="shared" si="66"/>
        <v>1.5844526419839253E-4</v>
      </c>
      <c r="D336" s="18">
        <f t="shared" si="67"/>
        <v>1.584452641983925E-4</v>
      </c>
      <c r="E336">
        <f t="shared" si="68"/>
        <v>4.6609784476459026E-8</v>
      </c>
      <c r="F336">
        <f t="shared" si="74"/>
        <v>-9.4369170255959034E-9</v>
      </c>
      <c r="G336">
        <f t="shared" si="75"/>
        <v>4.6609784476459026E-8</v>
      </c>
      <c r="L336" s="7">
        <f t="shared" si="69"/>
        <v>4.9720262030229161E-2</v>
      </c>
      <c r="M336" s="7">
        <f t="shared" si="70"/>
        <v>4.9720262030229168E-2</v>
      </c>
      <c r="N336" s="20">
        <f t="shared" si="64"/>
        <v>4.9720262030229168E-2</v>
      </c>
      <c r="O336">
        <f t="shared" si="71"/>
        <v>5.8207660913467407E-10</v>
      </c>
      <c r="P336">
        <f t="shared" si="72"/>
        <v>-3.4924596548080444E-10</v>
      </c>
      <c r="Q336">
        <f t="shared" si="73"/>
        <v>-3.4924596548080444E-10</v>
      </c>
    </row>
    <row r="337" spans="2:17" x14ac:dyDescent="0.25">
      <c r="B337" s="18">
        <f t="shared" si="65"/>
        <v>1.584452641983925E-4</v>
      </c>
      <c r="C337" s="18">
        <f t="shared" si="66"/>
        <v>1.5844526419839253E-4</v>
      </c>
      <c r="D337" s="18">
        <f t="shared" si="67"/>
        <v>1.584452641983925E-4</v>
      </c>
      <c r="E337">
        <f t="shared" si="68"/>
        <v>4.6609784476459026E-8</v>
      </c>
      <c r="F337">
        <f t="shared" si="74"/>
        <v>-9.4369170255959034E-9</v>
      </c>
      <c r="G337">
        <f t="shared" si="75"/>
        <v>4.6609784476459026E-8</v>
      </c>
      <c r="L337" s="7">
        <f t="shared" si="69"/>
        <v>4.9720262030229161E-2</v>
      </c>
      <c r="M337" s="7">
        <f t="shared" si="70"/>
        <v>4.9720262030229168E-2</v>
      </c>
      <c r="N337" s="20">
        <f t="shared" si="64"/>
        <v>4.9720262030229168E-2</v>
      </c>
      <c r="O337">
        <f t="shared" si="71"/>
        <v>5.8207660913467407E-10</v>
      </c>
      <c r="P337">
        <f t="shared" si="72"/>
        <v>-3.4924596548080444E-10</v>
      </c>
      <c r="Q337">
        <f t="shared" si="73"/>
        <v>-3.4924596548080444E-10</v>
      </c>
    </row>
    <row r="338" spans="2:17" x14ac:dyDescent="0.25">
      <c r="B338" s="18">
        <f t="shared" si="65"/>
        <v>1.584452641983925E-4</v>
      </c>
      <c r="C338" s="18">
        <f t="shared" si="66"/>
        <v>1.5844526419839253E-4</v>
      </c>
      <c r="D338" s="18">
        <f t="shared" si="67"/>
        <v>1.584452641983925E-4</v>
      </c>
      <c r="E338">
        <f t="shared" si="68"/>
        <v>4.6609784476459026E-8</v>
      </c>
      <c r="F338">
        <f t="shared" si="74"/>
        <v>-9.4369170255959034E-9</v>
      </c>
      <c r="G338">
        <f t="shared" si="75"/>
        <v>4.6609784476459026E-8</v>
      </c>
      <c r="L338" s="7">
        <f t="shared" si="69"/>
        <v>4.9720262030229161E-2</v>
      </c>
      <c r="M338" s="7">
        <f t="shared" si="70"/>
        <v>4.9720262030229168E-2</v>
      </c>
      <c r="N338" s="20">
        <f t="shared" si="64"/>
        <v>4.9720262030229168E-2</v>
      </c>
      <c r="O338">
        <f t="shared" si="71"/>
        <v>5.8207660913467407E-10</v>
      </c>
      <c r="P338">
        <f t="shared" si="72"/>
        <v>-3.4924596548080444E-10</v>
      </c>
      <c r="Q338">
        <f t="shared" si="73"/>
        <v>-3.4924596548080444E-10</v>
      </c>
    </row>
    <row r="339" spans="2:17" x14ac:dyDescent="0.25">
      <c r="B339" s="18">
        <f t="shared" si="65"/>
        <v>1.584452641983925E-4</v>
      </c>
      <c r="C339" s="18">
        <f t="shared" si="66"/>
        <v>1.5844526419839253E-4</v>
      </c>
      <c r="D339" s="18">
        <f t="shared" si="67"/>
        <v>1.584452641983925E-4</v>
      </c>
      <c r="E339">
        <f t="shared" si="68"/>
        <v>4.6609784476459026E-8</v>
      </c>
      <c r="F339">
        <f t="shared" si="74"/>
        <v>-9.4369170255959034E-9</v>
      </c>
      <c r="G339">
        <f t="shared" si="75"/>
        <v>4.6609784476459026E-8</v>
      </c>
      <c r="L339" s="7">
        <f t="shared" si="69"/>
        <v>4.9720262030229161E-2</v>
      </c>
      <c r="M339" s="7">
        <f t="shared" si="70"/>
        <v>4.9720262030229168E-2</v>
      </c>
      <c r="N339" s="20">
        <f t="shared" si="64"/>
        <v>4.9720262030229168E-2</v>
      </c>
      <c r="O339">
        <f t="shared" si="71"/>
        <v>5.8207660913467407E-10</v>
      </c>
      <c r="P339">
        <f t="shared" si="72"/>
        <v>-3.4924596548080444E-10</v>
      </c>
      <c r="Q339">
        <f t="shared" si="73"/>
        <v>-3.4924596548080444E-10</v>
      </c>
    </row>
    <row r="340" spans="2:17" x14ac:dyDescent="0.25">
      <c r="B340" s="18">
        <f t="shared" si="65"/>
        <v>1.584452641983925E-4</v>
      </c>
      <c r="C340" s="18">
        <f t="shared" si="66"/>
        <v>1.5844526419839253E-4</v>
      </c>
      <c r="D340" s="18">
        <f t="shared" si="67"/>
        <v>1.584452641983925E-4</v>
      </c>
      <c r="E340">
        <f t="shared" si="68"/>
        <v>4.6609784476459026E-8</v>
      </c>
      <c r="F340">
        <f t="shared" si="74"/>
        <v>-9.4369170255959034E-9</v>
      </c>
      <c r="G340">
        <f t="shared" si="75"/>
        <v>4.6609784476459026E-8</v>
      </c>
      <c r="L340" s="7">
        <f t="shared" si="69"/>
        <v>4.9720262030229161E-2</v>
      </c>
      <c r="M340" s="7">
        <f t="shared" si="70"/>
        <v>4.9720262030229168E-2</v>
      </c>
      <c r="N340" s="20">
        <f t="shared" si="64"/>
        <v>4.9720262030229168E-2</v>
      </c>
      <c r="O340">
        <f t="shared" si="71"/>
        <v>5.8207660913467407E-10</v>
      </c>
      <c r="P340">
        <f t="shared" si="72"/>
        <v>-3.4924596548080444E-10</v>
      </c>
      <c r="Q340">
        <f t="shared" si="73"/>
        <v>-3.4924596548080444E-10</v>
      </c>
    </row>
    <row r="341" spans="2:17" x14ac:dyDescent="0.25">
      <c r="B341" s="18">
        <f t="shared" si="65"/>
        <v>1.584452641983925E-4</v>
      </c>
      <c r="C341" s="18">
        <f t="shared" si="66"/>
        <v>1.5844526419839253E-4</v>
      </c>
      <c r="D341" s="18">
        <f t="shared" si="67"/>
        <v>1.584452641983925E-4</v>
      </c>
      <c r="E341">
        <f t="shared" si="68"/>
        <v>4.6609784476459026E-8</v>
      </c>
      <c r="F341">
        <f t="shared" si="74"/>
        <v>-9.4369170255959034E-9</v>
      </c>
      <c r="G341">
        <f t="shared" si="75"/>
        <v>4.6609784476459026E-8</v>
      </c>
      <c r="L341" s="7">
        <f t="shared" si="69"/>
        <v>4.9720262030229161E-2</v>
      </c>
      <c r="M341" s="7">
        <f t="shared" si="70"/>
        <v>4.9720262030229168E-2</v>
      </c>
      <c r="N341" s="20">
        <f t="shared" si="64"/>
        <v>4.9720262030229168E-2</v>
      </c>
      <c r="O341">
        <f t="shared" si="71"/>
        <v>5.8207660913467407E-10</v>
      </c>
      <c r="P341">
        <f t="shared" si="72"/>
        <v>-3.4924596548080444E-10</v>
      </c>
      <c r="Q341">
        <f t="shared" si="73"/>
        <v>-3.4924596548080444E-10</v>
      </c>
    </row>
    <row r="342" spans="2:17" x14ac:dyDescent="0.25">
      <c r="B342" s="18">
        <f t="shared" si="65"/>
        <v>1.584452641983925E-4</v>
      </c>
      <c r="C342" s="18">
        <f t="shared" si="66"/>
        <v>1.5844526419839253E-4</v>
      </c>
      <c r="D342" s="18">
        <f t="shared" si="67"/>
        <v>1.584452641983925E-4</v>
      </c>
      <c r="E342">
        <f t="shared" si="68"/>
        <v>4.6609784476459026E-8</v>
      </c>
      <c r="F342">
        <f t="shared" si="74"/>
        <v>-9.4369170255959034E-9</v>
      </c>
      <c r="G342">
        <f t="shared" si="75"/>
        <v>4.6609784476459026E-8</v>
      </c>
      <c r="L342" s="7">
        <f t="shared" si="69"/>
        <v>4.9720262030229161E-2</v>
      </c>
      <c r="M342" s="7">
        <f t="shared" si="70"/>
        <v>4.9720262030229168E-2</v>
      </c>
      <c r="N342" s="20">
        <f t="shared" si="64"/>
        <v>4.9720262030229168E-2</v>
      </c>
      <c r="O342">
        <f t="shared" si="71"/>
        <v>5.8207660913467407E-10</v>
      </c>
      <c r="P342">
        <f t="shared" si="72"/>
        <v>-3.4924596548080444E-10</v>
      </c>
      <c r="Q342">
        <f t="shared" si="73"/>
        <v>-3.4924596548080444E-10</v>
      </c>
    </row>
    <row r="343" spans="2:17" x14ac:dyDescent="0.25">
      <c r="B343" s="18">
        <f t="shared" si="65"/>
        <v>1.584452641983925E-4</v>
      </c>
      <c r="C343" s="18">
        <f t="shared" si="66"/>
        <v>1.5844526419839253E-4</v>
      </c>
      <c r="D343" s="18">
        <f t="shared" si="67"/>
        <v>1.584452641983925E-4</v>
      </c>
      <c r="E343">
        <f t="shared" si="68"/>
        <v>4.6609784476459026E-8</v>
      </c>
      <c r="F343">
        <f t="shared" si="74"/>
        <v>-9.4369170255959034E-9</v>
      </c>
      <c r="G343">
        <f t="shared" si="75"/>
        <v>4.6609784476459026E-8</v>
      </c>
      <c r="L343" s="7">
        <f t="shared" si="69"/>
        <v>4.9720262030229161E-2</v>
      </c>
      <c r="M343" s="7">
        <f t="shared" si="70"/>
        <v>4.9720262030229168E-2</v>
      </c>
      <c r="N343" s="20">
        <f t="shared" si="64"/>
        <v>4.9720262030229168E-2</v>
      </c>
      <c r="O343">
        <f t="shared" si="71"/>
        <v>5.8207660913467407E-10</v>
      </c>
      <c r="P343">
        <f t="shared" si="72"/>
        <v>-3.4924596548080444E-10</v>
      </c>
      <c r="Q343">
        <f t="shared" si="73"/>
        <v>-3.4924596548080444E-10</v>
      </c>
    </row>
    <row r="344" spans="2:17" x14ac:dyDescent="0.25">
      <c r="B344" s="18">
        <f t="shared" si="65"/>
        <v>1.584452641983925E-4</v>
      </c>
      <c r="C344" s="18">
        <f t="shared" si="66"/>
        <v>1.5844526419839253E-4</v>
      </c>
      <c r="D344" s="18">
        <f t="shared" si="67"/>
        <v>1.584452641983925E-4</v>
      </c>
      <c r="E344">
        <f t="shared" si="68"/>
        <v>4.6609784476459026E-8</v>
      </c>
      <c r="F344">
        <f t="shared" si="74"/>
        <v>-9.4369170255959034E-9</v>
      </c>
      <c r="G344">
        <f t="shared" si="75"/>
        <v>4.6609784476459026E-8</v>
      </c>
      <c r="L344" s="7">
        <f t="shared" si="69"/>
        <v>4.9720262030229161E-2</v>
      </c>
      <c r="M344" s="7">
        <f t="shared" si="70"/>
        <v>4.9720262030229168E-2</v>
      </c>
      <c r="N344" s="20">
        <f t="shared" si="64"/>
        <v>4.9720262030229168E-2</v>
      </c>
      <c r="O344">
        <f t="shared" si="71"/>
        <v>5.8207660913467407E-10</v>
      </c>
      <c r="P344">
        <f t="shared" si="72"/>
        <v>-3.4924596548080444E-10</v>
      </c>
      <c r="Q344">
        <f t="shared" si="73"/>
        <v>-3.4924596548080444E-10</v>
      </c>
    </row>
    <row r="345" spans="2:17" x14ac:dyDescent="0.25">
      <c r="B345" s="18">
        <f t="shared" si="65"/>
        <v>1.584452641983925E-4</v>
      </c>
      <c r="C345" s="18">
        <f t="shared" si="66"/>
        <v>1.5844526419839253E-4</v>
      </c>
      <c r="D345" s="18">
        <f t="shared" si="67"/>
        <v>1.584452641983925E-4</v>
      </c>
      <c r="E345">
        <f t="shared" si="68"/>
        <v>4.6609784476459026E-8</v>
      </c>
      <c r="F345">
        <f t="shared" si="74"/>
        <v>-9.4369170255959034E-9</v>
      </c>
      <c r="G345">
        <f t="shared" si="75"/>
        <v>4.6609784476459026E-8</v>
      </c>
      <c r="L345" s="7">
        <f t="shared" si="69"/>
        <v>4.9720262030229161E-2</v>
      </c>
      <c r="M345" s="7">
        <f t="shared" si="70"/>
        <v>4.9720262030229168E-2</v>
      </c>
      <c r="N345" s="20">
        <f t="shared" ref="N345:N408" si="76">(L345+M345)/2</f>
        <v>4.9720262030229168E-2</v>
      </c>
      <c r="O345">
        <f t="shared" si="71"/>
        <v>5.8207660913467407E-10</v>
      </c>
      <c r="P345">
        <f t="shared" si="72"/>
        <v>-3.4924596548080444E-10</v>
      </c>
      <c r="Q345">
        <f t="shared" si="73"/>
        <v>-3.4924596548080444E-10</v>
      </c>
    </row>
    <row r="346" spans="2:17" x14ac:dyDescent="0.25">
      <c r="B346" s="18">
        <f t="shared" ref="B346:B409" si="77">IF(E345*G345&lt;0,B345,D345)</f>
        <v>1.584452641983925E-4</v>
      </c>
      <c r="C346" s="18">
        <f t="shared" ref="C346:C409" si="78">IF(F345*G345&lt;0,C345,D345)</f>
        <v>1.5844526419839253E-4</v>
      </c>
      <c r="D346" s="18">
        <f t="shared" ref="D346:D409" si="79">(B346+C346)/2</f>
        <v>1.584452641983925E-4</v>
      </c>
      <c r="E346">
        <f t="shared" ref="E346:E409" si="80">IF($G$8 = "Future Value",$C$5-($D$5*(((1+B346)^($F$5*$G$5)-1)/B346)),$H$5-$D$5*((1-(1+B346)^(-1*$F$5*$G$5))/B346))</f>
        <v>4.6609784476459026E-8</v>
      </c>
      <c r="F346">
        <f t="shared" si="74"/>
        <v>-9.4369170255959034E-9</v>
      </c>
      <c r="G346">
        <f t="shared" si="75"/>
        <v>4.6609784476459026E-8</v>
      </c>
      <c r="L346" s="7">
        <f t="shared" ref="L346:L409" si="81">IF(O345*Q345&lt;0,L345,N345)</f>
        <v>4.9720262030229161E-2</v>
      </c>
      <c r="M346" s="7">
        <f t="shared" ref="M346:M409" si="82">IF(P345*Q345&lt;0,M345,N345)</f>
        <v>4.9720262030229168E-2</v>
      </c>
      <c r="N346" s="20">
        <f t="shared" si="76"/>
        <v>4.9720262030229168E-2</v>
      </c>
      <c r="O346">
        <f t="shared" ref="O346:O409" si="83">IF($Q$8 = "Future Value",$M$5-($N$5*(1+L346)*(((1+L346)^($P$5*$Q$5)-1)/L346)),$R$5-$N$5*(1+L346)*((1-(1+L346)^(-1*$P$5*$Q$5))/L346))</f>
        <v>5.8207660913467407E-10</v>
      </c>
      <c r="P346">
        <f t="shared" ref="P346:P409" si="84">IF($Q$8 = "Future Value",$M$5-($N$5*(1+M346)*(((1+M346)^($P$5*$Q$5)-1)/M346)),$R$5-$N$5*(1+M346)*((1-(1+M346)^(-1*$P$5*$Q$5))/M346))</f>
        <v>-3.4924596548080444E-10</v>
      </c>
      <c r="Q346">
        <f t="shared" ref="Q346:Q409" si="85">IF($Q$8 = "Future Value",$M$5-($N$5*(1+N346)*(((1+N346)^($P$5*$Q$5)-1)/N346)),$R$5-$N$5*(1+N346)*((1-(1+N346)^(-1*$P$5*$Q$5))/N346))</f>
        <v>-3.4924596548080444E-10</v>
      </c>
    </row>
    <row r="347" spans="2:17" x14ac:dyDescent="0.25">
      <c r="B347" s="18">
        <f t="shared" si="77"/>
        <v>1.584452641983925E-4</v>
      </c>
      <c r="C347" s="18">
        <f t="shared" si="78"/>
        <v>1.5844526419839253E-4</v>
      </c>
      <c r="D347" s="18">
        <f t="shared" si="79"/>
        <v>1.584452641983925E-4</v>
      </c>
      <c r="E347">
        <f t="shared" si="80"/>
        <v>4.6609784476459026E-8</v>
      </c>
      <c r="F347">
        <f t="shared" ref="F347:F410" si="86">IF($G$8 = "Future Value",$C$5-($D$5*(((1+C347)^($F$5*$G$5)-1)/C347)),$H$5-$D$5*((1-(1+C347)^(-1*$F$5*$G$5))/C347))</f>
        <v>-9.4369170255959034E-9</v>
      </c>
      <c r="G347">
        <f t="shared" ref="G347:G410" si="87">IF($G$8 = "Future Value",$C$5-($D$5*(((1+D347)^($F$5*$G$5)-1)/D347)),$H$5-$D$5*((1-(1+D347)^(-1*$F$5*$G$5))/D347))</f>
        <v>4.6609784476459026E-8</v>
      </c>
      <c r="L347" s="7">
        <f t="shared" si="81"/>
        <v>4.9720262030229161E-2</v>
      </c>
      <c r="M347" s="7">
        <f t="shared" si="82"/>
        <v>4.9720262030229168E-2</v>
      </c>
      <c r="N347" s="20">
        <f t="shared" si="76"/>
        <v>4.9720262030229168E-2</v>
      </c>
      <c r="O347">
        <f t="shared" si="83"/>
        <v>5.8207660913467407E-10</v>
      </c>
      <c r="P347">
        <f t="shared" si="84"/>
        <v>-3.4924596548080444E-10</v>
      </c>
      <c r="Q347">
        <f t="shared" si="85"/>
        <v>-3.4924596548080444E-10</v>
      </c>
    </row>
    <row r="348" spans="2:17" x14ac:dyDescent="0.25">
      <c r="B348" s="18">
        <f t="shared" si="77"/>
        <v>1.584452641983925E-4</v>
      </c>
      <c r="C348" s="18">
        <f t="shared" si="78"/>
        <v>1.5844526419839253E-4</v>
      </c>
      <c r="D348" s="18">
        <f t="shared" si="79"/>
        <v>1.584452641983925E-4</v>
      </c>
      <c r="E348">
        <f t="shared" si="80"/>
        <v>4.6609784476459026E-8</v>
      </c>
      <c r="F348">
        <f t="shared" si="86"/>
        <v>-9.4369170255959034E-9</v>
      </c>
      <c r="G348">
        <f t="shared" si="87"/>
        <v>4.6609784476459026E-8</v>
      </c>
      <c r="L348" s="7">
        <f t="shared" si="81"/>
        <v>4.9720262030229161E-2</v>
      </c>
      <c r="M348" s="7">
        <f t="shared" si="82"/>
        <v>4.9720262030229168E-2</v>
      </c>
      <c r="N348" s="20">
        <f t="shared" si="76"/>
        <v>4.9720262030229168E-2</v>
      </c>
      <c r="O348">
        <f t="shared" si="83"/>
        <v>5.8207660913467407E-10</v>
      </c>
      <c r="P348">
        <f t="shared" si="84"/>
        <v>-3.4924596548080444E-10</v>
      </c>
      <c r="Q348">
        <f t="shared" si="85"/>
        <v>-3.4924596548080444E-10</v>
      </c>
    </row>
    <row r="349" spans="2:17" x14ac:dyDescent="0.25">
      <c r="B349" s="18">
        <f t="shared" si="77"/>
        <v>1.584452641983925E-4</v>
      </c>
      <c r="C349" s="18">
        <f t="shared" si="78"/>
        <v>1.5844526419839253E-4</v>
      </c>
      <c r="D349" s="18">
        <f t="shared" si="79"/>
        <v>1.584452641983925E-4</v>
      </c>
      <c r="E349">
        <f t="shared" si="80"/>
        <v>4.6609784476459026E-8</v>
      </c>
      <c r="F349">
        <f t="shared" si="86"/>
        <v>-9.4369170255959034E-9</v>
      </c>
      <c r="G349">
        <f t="shared" si="87"/>
        <v>4.6609784476459026E-8</v>
      </c>
      <c r="L349" s="7">
        <f t="shared" si="81"/>
        <v>4.9720262030229161E-2</v>
      </c>
      <c r="M349" s="7">
        <f t="shared" si="82"/>
        <v>4.9720262030229168E-2</v>
      </c>
      <c r="N349" s="20">
        <f t="shared" si="76"/>
        <v>4.9720262030229168E-2</v>
      </c>
      <c r="O349">
        <f t="shared" si="83"/>
        <v>5.8207660913467407E-10</v>
      </c>
      <c r="P349">
        <f t="shared" si="84"/>
        <v>-3.4924596548080444E-10</v>
      </c>
      <c r="Q349">
        <f t="shared" si="85"/>
        <v>-3.4924596548080444E-10</v>
      </c>
    </row>
    <row r="350" spans="2:17" x14ac:dyDescent="0.25">
      <c r="B350" s="18">
        <f t="shared" si="77"/>
        <v>1.584452641983925E-4</v>
      </c>
      <c r="C350" s="18">
        <f t="shared" si="78"/>
        <v>1.5844526419839253E-4</v>
      </c>
      <c r="D350" s="18">
        <f t="shared" si="79"/>
        <v>1.584452641983925E-4</v>
      </c>
      <c r="E350">
        <f t="shared" si="80"/>
        <v>4.6609784476459026E-8</v>
      </c>
      <c r="F350">
        <f t="shared" si="86"/>
        <v>-9.4369170255959034E-9</v>
      </c>
      <c r="G350">
        <f t="shared" si="87"/>
        <v>4.6609784476459026E-8</v>
      </c>
      <c r="L350" s="7">
        <f t="shared" si="81"/>
        <v>4.9720262030229161E-2</v>
      </c>
      <c r="M350" s="7">
        <f t="shared" si="82"/>
        <v>4.9720262030229168E-2</v>
      </c>
      <c r="N350" s="20">
        <f t="shared" si="76"/>
        <v>4.9720262030229168E-2</v>
      </c>
      <c r="O350">
        <f t="shared" si="83"/>
        <v>5.8207660913467407E-10</v>
      </c>
      <c r="P350">
        <f t="shared" si="84"/>
        <v>-3.4924596548080444E-10</v>
      </c>
      <c r="Q350">
        <f t="shared" si="85"/>
        <v>-3.4924596548080444E-10</v>
      </c>
    </row>
    <row r="351" spans="2:17" x14ac:dyDescent="0.25">
      <c r="B351" s="18">
        <f t="shared" si="77"/>
        <v>1.584452641983925E-4</v>
      </c>
      <c r="C351" s="18">
        <f t="shared" si="78"/>
        <v>1.5844526419839253E-4</v>
      </c>
      <c r="D351" s="18">
        <f t="shared" si="79"/>
        <v>1.584452641983925E-4</v>
      </c>
      <c r="E351">
        <f t="shared" si="80"/>
        <v>4.6609784476459026E-8</v>
      </c>
      <c r="F351">
        <f t="shared" si="86"/>
        <v>-9.4369170255959034E-9</v>
      </c>
      <c r="G351">
        <f t="shared" si="87"/>
        <v>4.6609784476459026E-8</v>
      </c>
      <c r="L351" s="7">
        <f t="shared" si="81"/>
        <v>4.9720262030229161E-2</v>
      </c>
      <c r="M351" s="7">
        <f t="shared" si="82"/>
        <v>4.9720262030229168E-2</v>
      </c>
      <c r="N351" s="20">
        <f t="shared" si="76"/>
        <v>4.9720262030229168E-2</v>
      </c>
      <c r="O351">
        <f t="shared" si="83"/>
        <v>5.8207660913467407E-10</v>
      </c>
      <c r="P351">
        <f t="shared" si="84"/>
        <v>-3.4924596548080444E-10</v>
      </c>
      <c r="Q351">
        <f t="shared" si="85"/>
        <v>-3.4924596548080444E-10</v>
      </c>
    </row>
    <row r="352" spans="2:17" x14ac:dyDescent="0.25">
      <c r="B352" s="18">
        <f t="shared" si="77"/>
        <v>1.584452641983925E-4</v>
      </c>
      <c r="C352" s="18">
        <f t="shared" si="78"/>
        <v>1.5844526419839253E-4</v>
      </c>
      <c r="D352" s="18">
        <f t="shared" si="79"/>
        <v>1.584452641983925E-4</v>
      </c>
      <c r="E352">
        <f t="shared" si="80"/>
        <v>4.6609784476459026E-8</v>
      </c>
      <c r="F352">
        <f t="shared" si="86"/>
        <v>-9.4369170255959034E-9</v>
      </c>
      <c r="G352">
        <f t="shared" si="87"/>
        <v>4.6609784476459026E-8</v>
      </c>
      <c r="L352" s="7">
        <f t="shared" si="81"/>
        <v>4.9720262030229161E-2</v>
      </c>
      <c r="M352" s="7">
        <f t="shared" si="82"/>
        <v>4.9720262030229168E-2</v>
      </c>
      <c r="N352" s="20">
        <f t="shared" si="76"/>
        <v>4.9720262030229168E-2</v>
      </c>
      <c r="O352">
        <f t="shared" si="83"/>
        <v>5.8207660913467407E-10</v>
      </c>
      <c r="P352">
        <f t="shared" si="84"/>
        <v>-3.4924596548080444E-10</v>
      </c>
      <c r="Q352">
        <f t="shared" si="85"/>
        <v>-3.4924596548080444E-10</v>
      </c>
    </row>
    <row r="353" spans="2:17" x14ac:dyDescent="0.25">
      <c r="B353" s="18">
        <f t="shared" si="77"/>
        <v>1.584452641983925E-4</v>
      </c>
      <c r="C353" s="18">
        <f t="shared" si="78"/>
        <v>1.5844526419839253E-4</v>
      </c>
      <c r="D353" s="18">
        <f t="shared" si="79"/>
        <v>1.584452641983925E-4</v>
      </c>
      <c r="E353">
        <f t="shared" si="80"/>
        <v>4.6609784476459026E-8</v>
      </c>
      <c r="F353">
        <f t="shared" si="86"/>
        <v>-9.4369170255959034E-9</v>
      </c>
      <c r="G353">
        <f t="shared" si="87"/>
        <v>4.6609784476459026E-8</v>
      </c>
      <c r="L353" s="7">
        <f t="shared" si="81"/>
        <v>4.9720262030229161E-2</v>
      </c>
      <c r="M353" s="7">
        <f t="shared" si="82"/>
        <v>4.9720262030229168E-2</v>
      </c>
      <c r="N353" s="20">
        <f t="shared" si="76"/>
        <v>4.9720262030229168E-2</v>
      </c>
      <c r="O353">
        <f t="shared" si="83"/>
        <v>5.8207660913467407E-10</v>
      </c>
      <c r="P353">
        <f t="shared" si="84"/>
        <v>-3.4924596548080444E-10</v>
      </c>
      <c r="Q353">
        <f t="shared" si="85"/>
        <v>-3.4924596548080444E-10</v>
      </c>
    </row>
    <row r="354" spans="2:17" x14ac:dyDescent="0.25">
      <c r="B354" s="18">
        <f t="shared" si="77"/>
        <v>1.584452641983925E-4</v>
      </c>
      <c r="C354" s="18">
        <f t="shared" si="78"/>
        <v>1.5844526419839253E-4</v>
      </c>
      <c r="D354" s="18">
        <f t="shared" si="79"/>
        <v>1.584452641983925E-4</v>
      </c>
      <c r="E354">
        <f t="shared" si="80"/>
        <v>4.6609784476459026E-8</v>
      </c>
      <c r="F354">
        <f t="shared" si="86"/>
        <v>-9.4369170255959034E-9</v>
      </c>
      <c r="G354">
        <f t="shared" si="87"/>
        <v>4.6609784476459026E-8</v>
      </c>
      <c r="L354" s="7">
        <f t="shared" si="81"/>
        <v>4.9720262030229161E-2</v>
      </c>
      <c r="M354" s="7">
        <f t="shared" si="82"/>
        <v>4.9720262030229168E-2</v>
      </c>
      <c r="N354" s="20">
        <f t="shared" si="76"/>
        <v>4.9720262030229168E-2</v>
      </c>
      <c r="O354">
        <f t="shared" si="83"/>
        <v>5.8207660913467407E-10</v>
      </c>
      <c r="P354">
        <f t="shared" si="84"/>
        <v>-3.4924596548080444E-10</v>
      </c>
      <c r="Q354">
        <f t="shared" si="85"/>
        <v>-3.4924596548080444E-10</v>
      </c>
    </row>
    <row r="355" spans="2:17" x14ac:dyDescent="0.25">
      <c r="B355" s="18">
        <f t="shared" si="77"/>
        <v>1.584452641983925E-4</v>
      </c>
      <c r="C355" s="18">
        <f t="shared" si="78"/>
        <v>1.5844526419839253E-4</v>
      </c>
      <c r="D355" s="18">
        <f t="shared" si="79"/>
        <v>1.584452641983925E-4</v>
      </c>
      <c r="E355">
        <f t="shared" si="80"/>
        <v>4.6609784476459026E-8</v>
      </c>
      <c r="F355">
        <f t="shared" si="86"/>
        <v>-9.4369170255959034E-9</v>
      </c>
      <c r="G355">
        <f t="shared" si="87"/>
        <v>4.6609784476459026E-8</v>
      </c>
      <c r="L355" s="7">
        <f t="shared" si="81"/>
        <v>4.9720262030229161E-2</v>
      </c>
      <c r="M355" s="7">
        <f t="shared" si="82"/>
        <v>4.9720262030229168E-2</v>
      </c>
      <c r="N355" s="20">
        <f t="shared" si="76"/>
        <v>4.9720262030229168E-2</v>
      </c>
      <c r="O355">
        <f t="shared" si="83"/>
        <v>5.8207660913467407E-10</v>
      </c>
      <c r="P355">
        <f t="shared" si="84"/>
        <v>-3.4924596548080444E-10</v>
      </c>
      <c r="Q355">
        <f t="shared" si="85"/>
        <v>-3.4924596548080444E-10</v>
      </c>
    </row>
    <row r="356" spans="2:17" x14ac:dyDescent="0.25">
      <c r="B356" s="18">
        <f t="shared" si="77"/>
        <v>1.584452641983925E-4</v>
      </c>
      <c r="C356" s="18">
        <f t="shared" si="78"/>
        <v>1.5844526419839253E-4</v>
      </c>
      <c r="D356" s="18">
        <f t="shared" si="79"/>
        <v>1.584452641983925E-4</v>
      </c>
      <c r="E356">
        <f t="shared" si="80"/>
        <v>4.6609784476459026E-8</v>
      </c>
      <c r="F356">
        <f t="shared" si="86"/>
        <v>-9.4369170255959034E-9</v>
      </c>
      <c r="G356">
        <f t="shared" si="87"/>
        <v>4.6609784476459026E-8</v>
      </c>
      <c r="L356" s="7">
        <f t="shared" si="81"/>
        <v>4.9720262030229161E-2</v>
      </c>
      <c r="M356" s="7">
        <f t="shared" si="82"/>
        <v>4.9720262030229168E-2</v>
      </c>
      <c r="N356" s="20">
        <f t="shared" si="76"/>
        <v>4.9720262030229168E-2</v>
      </c>
      <c r="O356">
        <f t="shared" si="83"/>
        <v>5.8207660913467407E-10</v>
      </c>
      <c r="P356">
        <f t="shared" si="84"/>
        <v>-3.4924596548080444E-10</v>
      </c>
      <c r="Q356">
        <f t="shared" si="85"/>
        <v>-3.4924596548080444E-10</v>
      </c>
    </row>
    <row r="357" spans="2:17" x14ac:dyDescent="0.25">
      <c r="B357" s="18">
        <f t="shared" si="77"/>
        <v>1.584452641983925E-4</v>
      </c>
      <c r="C357" s="18">
        <f t="shared" si="78"/>
        <v>1.5844526419839253E-4</v>
      </c>
      <c r="D357" s="18">
        <f t="shared" si="79"/>
        <v>1.584452641983925E-4</v>
      </c>
      <c r="E357">
        <f t="shared" si="80"/>
        <v>4.6609784476459026E-8</v>
      </c>
      <c r="F357">
        <f t="shared" si="86"/>
        <v>-9.4369170255959034E-9</v>
      </c>
      <c r="G357">
        <f t="shared" si="87"/>
        <v>4.6609784476459026E-8</v>
      </c>
      <c r="L357" s="7">
        <f t="shared" si="81"/>
        <v>4.9720262030229161E-2</v>
      </c>
      <c r="M357" s="7">
        <f t="shared" si="82"/>
        <v>4.9720262030229168E-2</v>
      </c>
      <c r="N357" s="20">
        <f t="shared" si="76"/>
        <v>4.9720262030229168E-2</v>
      </c>
      <c r="O357">
        <f t="shared" si="83"/>
        <v>5.8207660913467407E-10</v>
      </c>
      <c r="P357">
        <f t="shared" si="84"/>
        <v>-3.4924596548080444E-10</v>
      </c>
      <c r="Q357">
        <f t="shared" si="85"/>
        <v>-3.4924596548080444E-10</v>
      </c>
    </row>
    <row r="358" spans="2:17" x14ac:dyDescent="0.25">
      <c r="B358" s="18">
        <f t="shared" si="77"/>
        <v>1.584452641983925E-4</v>
      </c>
      <c r="C358" s="18">
        <f t="shared" si="78"/>
        <v>1.5844526419839253E-4</v>
      </c>
      <c r="D358" s="18">
        <f t="shared" si="79"/>
        <v>1.584452641983925E-4</v>
      </c>
      <c r="E358">
        <f t="shared" si="80"/>
        <v>4.6609784476459026E-8</v>
      </c>
      <c r="F358">
        <f t="shared" si="86"/>
        <v>-9.4369170255959034E-9</v>
      </c>
      <c r="G358">
        <f t="shared" si="87"/>
        <v>4.6609784476459026E-8</v>
      </c>
      <c r="L358" s="7">
        <f t="shared" si="81"/>
        <v>4.9720262030229161E-2</v>
      </c>
      <c r="M358" s="7">
        <f t="shared" si="82"/>
        <v>4.9720262030229168E-2</v>
      </c>
      <c r="N358" s="20">
        <f t="shared" si="76"/>
        <v>4.9720262030229168E-2</v>
      </c>
      <c r="O358">
        <f t="shared" si="83"/>
        <v>5.8207660913467407E-10</v>
      </c>
      <c r="P358">
        <f t="shared" si="84"/>
        <v>-3.4924596548080444E-10</v>
      </c>
      <c r="Q358">
        <f t="shared" si="85"/>
        <v>-3.4924596548080444E-10</v>
      </c>
    </row>
    <row r="359" spans="2:17" x14ac:dyDescent="0.25">
      <c r="B359" s="18">
        <f t="shared" si="77"/>
        <v>1.584452641983925E-4</v>
      </c>
      <c r="C359" s="18">
        <f t="shared" si="78"/>
        <v>1.5844526419839253E-4</v>
      </c>
      <c r="D359" s="18">
        <f t="shared" si="79"/>
        <v>1.584452641983925E-4</v>
      </c>
      <c r="E359">
        <f t="shared" si="80"/>
        <v>4.6609784476459026E-8</v>
      </c>
      <c r="F359">
        <f t="shared" si="86"/>
        <v>-9.4369170255959034E-9</v>
      </c>
      <c r="G359">
        <f t="shared" si="87"/>
        <v>4.6609784476459026E-8</v>
      </c>
      <c r="L359" s="7">
        <f t="shared" si="81"/>
        <v>4.9720262030229161E-2</v>
      </c>
      <c r="M359" s="7">
        <f t="shared" si="82"/>
        <v>4.9720262030229168E-2</v>
      </c>
      <c r="N359" s="20">
        <f t="shared" si="76"/>
        <v>4.9720262030229168E-2</v>
      </c>
      <c r="O359">
        <f t="shared" si="83"/>
        <v>5.8207660913467407E-10</v>
      </c>
      <c r="P359">
        <f t="shared" si="84"/>
        <v>-3.4924596548080444E-10</v>
      </c>
      <c r="Q359">
        <f t="shared" si="85"/>
        <v>-3.4924596548080444E-10</v>
      </c>
    </row>
    <row r="360" spans="2:17" x14ac:dyDescent="0.25">
      <c r="B360" s="18">
        <f t="shared" si="77"/>
        <v>1.584452641983925E-4</v>
      </c>
      <c r="C360" s="18">
        <f t="shared" si="78"/>
        <v>1.5844526419839253E-4</v>
      </c>
      <c r="D360" s="18">
        <f t="shared" si="79"/>
        <v>1.584452641983925E-4</v>
      </c>
      <c r="E360">
        <f t="shared" si="80"/>
        <v>4.6609784476459026E-8</v>
      </c>
      <c r="F360">
        <f t="shared" si="86"/>
        <v>-9.4369170255959034E-9</v>
      </c>
      <c r="G360">
        <f t="shared" si="87"/>
        <v>4.6609784476459026E-8</v>
      </c>
      <c r="L360" s="7">
        <f t="shared" si="81"/>
        <v>4.9720262030229161E-2</v>
      </c>
      <c r="M360" s="7">
        <f t="shared" si="82"/>
        <v>4.9720262030229168E-2</v>
      </c>
      <c r="N360" s="20">
        <f t="shared" si="76"/>
        <v>4.9720262030229168E-2</v>
      </c>
      <c r="O360">
        <f t="shared" si="83"/>
        <v>5.8207660913467407E-10</v>
      </c>
      <c r="P360">
        <f t="shared" si="84"/>
        <v>-3.4924596548080444E-10</v>
      </c>
      <c r="Q360">
        <f t="shared" si="85"/>
        <v>-3.4924596548080444E-10</v>
      </c>
    </row>
    <row r="361" spans="2:17" x14ac:dyDescent="0.25">
      <c r="B361" s="18">
        <f t="shared" si="77"/>
        <v>1.584452641983925E-4</v>
      </c>
      <c r="C361" s="18">
        <f t="shared" si="78"/>
        <v>1.5844526419839253E-4</v>
      </c>
      <c r="D361" s="18">
        <f t="shared" si="79"/>
        <v>1.584452641983925E-4</v>
      </c>
      <c r="E361">
        <f t="shared" si="80"/>
        <v>4.6609784476459026E-8</v>
      </c>
      <c r="F361">
        <f t="shared" si="86"/>
        <v>-9.4369170255959034E-9</v>
      </c>
      <c r="G361">
        <f t="shared" si="87"/>
        <v>4.6609784476459026E-8</v>
      </c>
      <c r="L361" s="7">
        <f t="shared" si="81"/>
        <v>4.9720262030229161E-2</v>
      </c>
      <c r="M361" s="7">
        <f t="shared" si="82"/>
        <v>4.9720262030229168E-2</v>
      </c>
      <c r="N361" s="20">
        <f t="shared" si="76"/>
        <v>4.9720262030229168E-2</v>
      </c>
      <c r="O361">
        <f t="shared" si="83"/>
        <v>5.8207660913467407E-10</v>
      </c>
      <c r="P361">
        <f t="shared" si="84"/>
        <v>-3.4924596548080444E-10</v>
      </c>
      <c r="Q361">
        <f t="shared" si="85"/>
        <v>-3.4924596548080444E-10</v>
      </c>
    </row>
    <row r="362" spans="2:17" x14ac:dyDescent="0.25">
      <c r="B362" s="18">
        <f t="shared" si="77"/>
        <v>1.584452641983925E-4</v>
      </c>
      <c r="C362" s="18">
        <f t="shared" si="78"/>
        <v>1.5844526419839253E-4</v>
      </c>
      <c r="D362" s="18">
        <f t="shared" si="79"/>
        <v>1.584452641983925E-4</v>
      </c>
      <c r="E362">
        <f t="shared" si="80"/>
        <v>4.6609784476459026E-8</v>
      </c>
      <c r="F362">
        <f t="shared" si="86"/>
        <v>-9.4369170255959034E-9</v>
      </c>
      <c r="G362">
        <f t="shared" si="87"/>
        <v>4.6609784476459026E-8</v>
      </c>
      <c r="L362" s="7">
        <f t="shared" si="81"/>
        <v>4.9720262030229161E-2</v>
      </c>
      <c r="M362" s="7">
        <f t="shared" si="82"/>
        <v>4.9720262030229168E-2</v>
      </c>
      <c r="N362" s="20">
        <f t="shared" si="76"/>
        <v>4.9720262030229168E-2</v>
      </c>
      <c r="O362">
        <f t="shared" si="83"/>
        <v>5.8207660913467407E-10</v>
      </c>
      <c r="P362">
        <f t="shared" si="84"/>
        <v>-3.4924596548080444E-10</v>
      </c>
      <c r="Q362">
        <f t="shared" si="85"/>
        <v>-3.4924596548080444E-10</v>
      </c>
    </row>
    <row r="363" spans="2:17" x14ac:dyDescent="0.25">
      <c r="B363" s="18">
        <f t="shared" si="77"/>
        <v>1.584452641983925E-4</v>
      </c>
      <c r="C363" s="18">
        <f t="shared" si="78"/>
        <v>1.5844526419839253E-4</v>
      </c>
      <c r="D363" s="18">
        <f t="shared" si="79"/>
        <v>1.584452641983925E-4</v>
      </c>
      <c r="E363">
        <f t="shared" si="80"/>
        <v>4.6609784476459026E-8</v>
      </c>
      <c r="F363">
        <f t="shared" si="86"/>
        <v>-9.4369170255959034E-9</v>
      </c>
      <c r="G363">
        <f t="shared" si="87"/>
        <v>4.6609784476459026E-8</v>
      </c>
      <c r="L363" s="7">
        <f t="shared" si="81"/>
        <v>4.9720262030229161E-2</v>
      </c>
      <c r="M363" s="7">
        <f t="shared" si="82"/>
        <v>4.9720262030229168E-2</v>
      </c>
      <c r="N363" s="20">
        <f t="shared" si="76"/>
        <v>4.9720262030229168E-2</v>
      </c>
      <c r="O363">
        <f t="shared" si="83"/>
        <v>5.8207660913467407E-10</v>
      </c>
      <c r="P363">
        <f t="shared" si="84"/>
        <v>-3.4924596548080444E-10</v>
      </c>
      <c r="Q363">
        <f t="shared" si="85"/>
        <v>-3.4924596548080444E-10</v>
      </c>
    </row>
    <row r="364" spans="2:17" x14ac:dyDescent="0.25">
      <c r="B364" s="18">
        <f t="shared" si="77"/>
        <v>1.584452641983925E-4</v>
      </c>
      <c r="C364" s="18">
        <f t="shared" si="78"/>
        <v>1.5844526419839253E-4</v>
      </c>
      <c r="D364" s="18">
        <f t="shared" si="79"/>
        <v>1.584452641983925E-4</v>
      </c>
      <c r="E364">
        <f t="shared" si="80"/>
        <v>4.6609784476459026E-8</v>
      </c>
      <c r="F364">
        <f t="shared" si="86"/>
        <v>-9.4369170255959034E-9</v>
      </c>
      <c r="G364">
        <f t="shared" si="87"/>
        <v>4.6609784476459026E-8</v>
      </c>
      <c r="L364" s="7">
        <f t="shared" si="81"/>
        <v>4.9720262030229161E-2</v>
      </c>
      <c r="M364" s="7">
        <f t="shared" si="82"/>
        <v>4.9720262030229168E-2</v>
      </c>
      <c r="N364" s="20">
        <f t="shared" si="76"/>
        <v>4.9720262030229168E-2</v>
      </c>
      <c r="O364">
        <f t="shared" si="83"/>
        <v>5.8207660913467407E-10</v>
      </c>
      <c r="P364">
        <f t="shared" si="84"/>
        <v>-3.4924596548080444E-10</v>
      </c>
      <c r="Q364">
        <f t="shared" si="85"/>
        <v>-3.4924596548080444E-10</v>
      </c>
    </row>
    <row r="365" spans="2:17" x14ac:dyDescent="0.25">
      <c r="B365" s="18">
        <f t="shared" si="77"/>
        <v>1.584452641983925E-4</v>
      </c>
      <c r="C365" s="18">
        <f t="shared" si="78"/>
        <v>1.5844526419839253E-4</v>
      </c>
      <c r="D365" s="18">
        <f t="shared" si="79"/>
        <v>1.584452641983925E-4</v>
      </c>
      <c r="E365">
        <f t="shared" si="80"/>
        <v>4.6609784476459026E-8</v>
      </c>
      <c r="F365">
        <f t="shared" si="86"/>
        <v>-9.4369170255959034E-9</v>
      </c>
      <c r="G365">
        <f t="shared" si="87"/>
        <v>4.6609784476459026E-8</v>
      </c>
      <c r="L365" s="7">
        <f t="shared" si="81"/>
        <v>4.9720262030229161E-2</v>
      </c>
      <c r="M365" s="7">
        <f t="shared" si="82"/>
        <v>4.9720262030229168E-2</v>
      </c>
      <c r="N365" s="20">
        <f t="shared" si="76"/>
        <v>4.9720262030229168E-2</v>
      </c>
      <c r="O365">
        <f t="shared" si="83"/>
        <v>5.8207660913467407E-10</v>
      </c>
      <c r="P365">
        <f t="shared" si="84"/>
        <v>-3.4924596548080444E-10</v>
      </c>
      <c r="Q365">
        <f t="shared" si="85"/>
        <v>-3.4924596548080444E-10</v>
      </c>
    </row>
    <row r="366" spans="2:17" x14ac:dyDescent="0.25">
      <c r="B366" s="18">
        <f t="shared" si="77"/>
        <v>1.584452641983925E-4</v>
      </c>
      <c r="C366" s="18">
        <f t="shared" si="78"/>
        <v>1.5844526419839253E-4</v>
      </c>
      <c r="D366" s="18">
        <f t="shared" si="79"/>
        <v>1.584452641983925E-4</v>
      </c>
      <c r="E366">
        <f t="shared" si="80"/>
        <v>4.6609784476459026E-8</v>
      </c>
      <c r="F366">
        <f t="shared" si="86"/>
        <v>-9.4369170255959034E-9</v>
      </c>
      <c r="G366">
        <f t="shared" si="87"/>
        <v>4.6609784476459026E-8</v>
      </c>
      <c r="L366" s="7">
        <f t="shared" si="81"/>
        <v>4.9720262030229161E-2</v>
      </c>
      <c r="M366" s="7">
        <f t="shared" si="82"/>
        <v>4.9720262030229168E-2</v>
      </c>
      <c r="N366" s="20">
        <f t="shared" si="76"/>
        <v>4.9720262030229168E-2</v>
      </c>
      <c r="O366">
        <f t="shared" si="83"/>
        <v>5.8207660913467407E-10</v>
      </c>
      <c r="P366">
        <f t="shared" si="84"/>
        <v>-3.4924596548080444E-10</v>
      </c>
      <c r="Q366">
        <f t="shared" si="85"/>
        <v>-3.4924596548080444E-10</v>
      </c>
    </row>
    <row r="367" spans="2:17" x14ac:dyDescent="0.25">
      <c r="B367" s="18">
        <f t="shared" si="77"/>
        <v>1.584452641983925E-4</v>
      </c>
      <c r="C367" s="18">
        <f t="shared" si="78"/>
        <v>1.5844526419839253E-4</v>
      </c>
      <c r="D367" s="18">
        <f t="shared" si="79"/>
        <v>1.584452641983925E-4</v>
      </c>
      <c r="E367">
        <f t="shared" si="80"/>
        <v>4.6609784476459026E-8</v>
      </c>
      <c r="F367">
        <f t="shared" si="86"/>
        <v>-9.4369170255959034E-9</v>
      </c>
      <c r="G367">
        <f t="shared" si="87"/>
        <v>4.6609784476459026E-8</v>
      </c>
      <c r="L367" s="7">
        <f t="shared" si="81"/>
        <v>4.9720262030229161E-2</v>
      </c>
      <c r="M367" s="7">
        <f t="shared" si="82"/>
        <v>4.9720262030229168E-2</v>
      </c>
      <c r="N367" s="20">
        <f t="shared" si="76"/>
        <v>4.9720262030229168E-2</v>
      </c>
      <c r="O367">
        <f t="shared" si="83"/>
        <v>5.8207660913467407E-10</v>
      </c>
      <c r="P367">
        <f t="shared" si="84"/>
        <v>-3.4924596548080444E-10</v>
      </c>
      <c r="Q367">
        <f t="shared" si="85"/>
        <v>-3.4924596548080444E-10</v>
      </c>
    </row>
    <row r="368" spans="2:17" x14ac:dyDescent="0.25">
      <c r="B368" s="18">
        <f t="shared" si="77"/>
        <v>1.584452641983925E-4</v>
      </c>
      <c r="C368" s="18">
        <f t="shared" si="78"/>
        <v>1.5844526419839253E-4</v>
      </c>
      <c r="D368" s="18">
        <f t="shared" si="79"/>
        <v>1.584452641983925E-4</v>
      </c>
      <c r="E368">
        <f t="shared" si="80"/>
        <v>4.6609784476459026E-8</v>
      </c>
      <c r="F368">
        <f t="shared" si="86"/>
        <v>-9.4369170255959034E-9</v>
      </c>
      <c r="G368">
        <f t="shared" si="87"/>
        <v>4.6609784476459026E-8</v>
      </c>
      <c r="L368" s="7">
        <f t="shared" si="81"/>
        <v>4.9720262030229161E-2</v>
      </c>
      <c r="M368" s="7">
        <f t="shared" si="82"/>
        <v>4.9720262030229168E-2</v>
      </c>
      <c r="N368" s="20">
        <f t="shared" si="76"/>
        <v>4.9720262030229168E-2</v>
      </c>
      <c r="O368">
        <f t="shared" si="83"/>
        <v>5.8207660913467407E-10</v>
      </c>
      <c r="P368">
        <f t="shared" si="84"/>
        <v>-3.4924596548080444E-10</v>
      </c>
      <c r="Q368">
        <f t="shared" si="85"/>
        <v>-3.4924596548080444E-10</v>
      </c>
    </row>
    <row r="369" spans="2:17" x14ac:dyDescent="0.25">
      <c r="B369" s="18">
        <f t="shared" si="77"/>
        <v>1.584452641983925E-4</v>
      </c>
      <c r="C369" s="18">
        <f t="shared" si="78"/>
        <v>1.5844526419839253E-4</v>
      </c>
      <c r="D369" s="18">
        <f t="shared" si="79"/>
        <v>1.584452641983925E-4</v>
      </c>
      <c r="E369">
        <f t="shared" si="80"/>
        <v>4.6609784476459026E-8</v>
      </c>
      <c r="F369">
        <f t="shared" si="86"/>
        <v>-9.4369170255959034E-9</v>
      </c>
      <c r="G369">
        <f t="shared" si="87"/>
        <v>4.6609784476459026E-8</v>
      </c>
      <c r="L369" s="7">
        <f t="shared" si="81"/>
        <v>4.9720262030229161E-2</v>
      </c>
      <c r="M369" s="7">
        <f t="shared" si="82"/>
        <v>4.9720262030229168E-2</v>
      </c>
      <c r="N369" s="20">
        <f t="shared" si="76"/>
        <v>4.9720262030229168E-2</v>
      </c>
      <c r="O369">
        <f t="shared" si="83"/>
        <v>5.8207660913467407E-10</v>
      </c>
      <c r="P369">
        <f t="shared" si="84"/>
        <v>-3.4924596548080444E-10</v>
      </c>
      <c r="Q369">
        <f t="shared" si="85"/>
        <v>-3.4924596548080444E-10</v>
      </c>
    </row>
    <row r="370" spans="2:17" x14ac:dyDescent="0.25">
      <c r="B370" s="18">
        <f t="shared" si="77"/>
        <v>1.584452641983925E-4</v>
      </c>
      <c r="C370" s="18">
        <f t="shared" si="78"/>
        <v>1.5844526419839253E-4</v>
      </c>
      <c r="D370" s="18">
        <f t="shared" si="79"/>
        <v>1.584452641983925E-4</v>
      </c>
      <c r="E370">
        <f t="shared" si="80"/>
        <v>4.6609784476459026E-8</v>
      </c>
      <c r="F370">
        <f t="shared" si="86"/>
        <v>-9.4369170255959034E-9</v>
      </c>
      <c r="G370">
        <f t="shared" si="87"/>
        <v>4.6609784476459026E-8</v>
      </c>
      <c r="L370" s="7">
        <f t="shared" si="81"/>
        <v>4.9720262030229161E-2</v>
      </c>
      <c r="M370" s="7">
        <f t="shared" si="82"/>
        <v>4.9720262030229168E-2</v>
      </c>
      <c r="N370" s="20">
        <f t="shared" si="76"/>
        <v>4.9720262030229168E-2</v>
      </c>
      <c r="O370">
        <f t="shared" si="83"/>
        <v>5.8207660913467407E-10</v>
      </c>
      <c r="P370">
        <f t="shared" si="84"/>
        <v>-3.4924596548080444E-10</v>
      </c>
      <c r="Q370">
        <f t="shared" si="85"/>
        <v>-3.4924596548080444E-10</v>
      </c>
    </row>
    <row r="371" spans="2:17" x14ac:dyDescent="0.25">
      <c r="B371" s="18">
        <f t="shared" si="77"/>
        <v>1.584452641983925E-4</v>
      </c>
      <c r="C371" s="18">
        <f t="shared" si="78"/>
        <v>1.5844526419839253E-4</v>
      </c>
      <c r="D371" s="18">
        <f t="shared" si="79"/>
        <v>1.584452641983925E-4</v>
      </c>
      <c r="E371">
        <f t="shared" si="80"/>
        <v>4.6609784476459026E-8</v>
      </c>
      <c r="F371">
        <f t="shared" si="86"/>
        <v>-9.4369170255959034E-9</v>
      </c>
      <c r="G371">
        <f t="shared" si="87"/>
        <v>4.6609784476459026E-8</v>
      </c>
      <c r="L371" s="7">
        <f t="shared" si="81"/>
        <v>4.9720262030229161E-2</v>
      </c>
      <c r="M371" s="7">
        <f t="shared" si="82"/>
        <v>4.9720262030229168E-2</v>
      </c>
      <c r="N371" s="20">
        <f t="shared" si="76"/>
        <v>4.9720262030229168E-2</v>
      </c>
      <c r="O371">
        <f t="shared" si="83"/>
        <v>5.8207660913467407E-10</v>
      </c>
      <c r="P371">
        <f t="shared" si="84"/>
        <v>-3.4924596548080444E-10</v>
      </c>
      <c r="Q371">
        <f t="shared" si="85"/>
        <v>-3.4924596548080444E-10</v>
      </c>
    </row>
    <row r="372" spans="2:17" x14ac:dyDescent="0.25">
      <c r="B372" s="18">
        <f t="shared" si="77"/>
        <v>1.584452641983925E-4</v>
      </c>
      <c r="C372" s="18">
        <f t="shared" si="78"/>
        <v>1.5844526419839253E-4</v>
      </c>
      <c r="D372" s="18">
        <f t="shared" si="79"/>
        <v>1.584452641983925E-4</v>
      </c>
      <c r="E372">
        <f t="shared" si="80"/>
        <v>4.6609784476459026E-8</v>
      </c>
      <c r="F372">
        <f t="shared" si="86"/>
        <v>-9.4369170255959034E-9</v>
      </c>
      <c r="G372">
        <f t="shared" si="87"/>
        <v>4.6609784476459026E-8</v>
      </c>
      <c r="L372" s="7">
        <f t="shared" si="81"/>
        <v>4.9720262030229161E-2</v>
      </c>
      <c r="M372" s="7">
        <f t="shared" si="82"/>
        <v>4.9720262030229168E-2</v>
      </c>
      <c r="N372" s="20">
        <f t="shared" si="76"/>
        <v>4.9720262030229168E-2</v>
      </c>
      <c r="O372">
        <f t="shared" si="83"/>
        <v>5.8207660913467407E-10</v>
      </c>
      <c r="P372">
        <f t="shared" si="84"/>
        <v>-3.4924596548080444E-10</v>
      </c>
      <c r="Q372">
        <f t="shared" si="85"/>
        <v>-3.4924596548080444E-10</v>
      </c>
    </row>
    <row r="373" spans="2:17" x14ac:dyDescent="0.25">
      <c r="B373" s="18">
        <f t="shared" si="77"/>
        <v>1.584452641983925E-4</v>
      </c>
      <c r="C373" s="18">
        <f t="shared" si="78"/>
        <v>1.5844526419839253E-4</v>
      </c>
      <c r="D373" s="18">
        <f t="shared" si="79"/>
        <v>1.584452641983925E-4</v>
      </c>
      <c r="E373">
        <f t="shared" si="80"/>
        <v>4.6609784476459026E-8</v>
      </c>
      <c r="F373">
        <f t="shared" si="86"/>
        <v>-9.4369170255959034E-9</v>
      </c>
      <c r="G373">
        <f t="shared" si="87"/>
        <v>4.6609784476459026E-8</v>
      </c>
      <c r="L373" s="7">
        <f t="shared" si="81"/>
        <v>4.9720262030229161E-2</v>
      </c>
      <c r="M373" s="7">
        <f t="shared" si="82"/>
        <v>4.9720262030229168E-2</v>
      </c>
      <c r="N373" s="20">
        <f t="shared" si="76"/>
        <v>4.9720262030229168E-2</v>
      </c>
      <c r="O373">
        <f t="shared" si="83"/>
        <v>5.8207660913467407E-10</v>
      </c>
      <c r="P373">
        <f t="shared" si="84"/>
        <v>-3.4924596548080444E-10</v>
      </c>
      <c r="Q373">
        <f t="shared" si="85"/>
        <v>-3.4924596548080444E-10</v>
      </c>
    </row>
    <row r="374" spans="2:17" x14ac:dyDescent="0.25">
      <c r="B374" s="18">
        <f t="shared" si="77"/>
        <v>1.584452641983925E-4</v>
      </c>
      <c r="C374" s="18">
        <f t="shared" si="78"/>
        <v>1.5844526419839253E-4</v>
      </c>
      <c r="D374" s="18">
        <f t="shared" si="79"/>
        <v>1.584452641983925E-4</v>
      </c>
      <c r="E374">
        <f t="shared" si="80"/>
        <v>4.6609784476459026E-8</v>
      </c>
      <c r="F374">
        <f t="shared" si="86"/>
        <v>-9.4369170255959034E-9</v>
      </c>
      <c r="G374">
        <f t="shared" si="87"/>
        <v>4.6609784476459026E-8</v>
      </c>
      <c r="L374" s="7">
        <f t="shared" si="81"/>
        <v>4.9720262030229161E-2</v>
      </c>
      <c r="M374" s="7">
        <f t="shared" si="82"/>
        <v>4.9720262030229168E-2</v>
      </c>
      <c r="N374" s="20">
        <f t="shared" si="76"/>
        <v>4.9720262030229168E-2</v>
      </c>
      <c r="O374">
        <f t="shared" si="83"/>
        <v>5.8207660913467407E-10</v>
      </c>
      <c r="P374">
        <f t="shared" si="84"/>
        <v>-3.4924596548080444E-10</v>
      </c>
      <c r="Q374">
        <f t="shared" si="85"/>
        <v>-3.4924596548080444E-10</v>
      </c>
    </row>
    <row r="375" spans="2:17" x14ac:dyDescent="0.25">
      <c r="B375" s="18">
        <f t="shared" si="77"/>
        <v>1.584452641983925E-4</v>
      </c>
      <c r="C375" s="18">
        <f t="shared" si="78"/>
        <v>1.5844526419839253E-4</v>
      </c>
      <c r="D375" s="18">
        <f t="shared" si="79"/>
        <v>1.584452641983925E-4</v>
      </c>
      <c r="E375">
        <f t="shared" si="80"/>
        <v>4.6609784476459026E-8</v>
      </c>
      <c r="F375">
        <f t="shared" si="86"/>
        <v>-9.4369170255959034E-9</v>
      </c>
      <c r="G375">
        <f t="shared" si="87"/>
        <v>4.6609784476459026E-8</v>
      </c>
      <c r="L375" s="7">
        <f t="shared" si="81"/>
        <v>4.9720262030229161E-2</v>
      </c>
      <c r="M375" s="7">
        <f t="shared" si="82"/>
        <v>4.9720262030229168E-2</v>
      </c>
      <c r="N375" s="20">
        <f t="shared" si="76"/>
        <v>4.9720262030229168E-2</v>
      </c>
      <c r="O375">
        <f t="shared" si="83"/>
        <v>5.8207660913467407E-10</v>
      </c>
      <c r="P375">
        <f t="shared" si="84"/>
        <v>-3.4924596548080444E-10</v>
      </c>
      <c r="Q375">
        <f t="shared" si="85"/>
        <v>-3.4924596548080444E-10</v>
      </c>
    </row>
    <row r="376" spans="2:17" x14ac:dyDescent="0.25">
      <c r="B376" s="18">
        <f t="shared" si="77"/>
        <v>1.584452641983925E-4</v>
      </c>
      <c r="C376" s="18">
        <f t="shared" si="78"/>
        <v>1.5844526419839253E-4</v>
      </c>
      <c r="D376" s="18">
        <f t="shared" si="79"/>
        <v>1.584452641983925E-4</v>
      </c>
      <c r="E376">
        <f t="shared" si="80"/>
        <v>4.6609784476459026E-8</v>
      </c>
      <c r="F376">
        <f t="shared" si="86"/>
        <v>-9.4369170255959034E-9</v>
      </c>
      <c r="G376">
        <f t="shared" si="87"/>
        <v>4.6609784476459026E-8</v>
      </c>
      <c r="L376" s="7">
        <f t="shared" si="81"/>
        <v>4.9720262030229161E-2</v>
      </c>
      <c r="M376" s="7">
        <f t="shared" si="82"/>
        <v>4.9720262030229168E-2</v>
      </c>
      <c r="N376" s="20">
        <f t="shared" si="76"/>
        <v>4.9720262030229168E-2</v>
      </c>
      <c r="O376">
        <f t="shared" si="83"/>
        <v>5.8207660913467407E-10</v>
      </c>
      <c r="P376">
        <f t="shared" si="84"/>
        <v>-3.4924596548080444E-10</v>
      </c>
      <c r="Q376">
        <f t="shared" si="85"/>
        <v>-3.4924596548080444E-10</v>
      </c>
    </row>
    <row r="377" spans="2:17" x14ac:dyDescent="0.25">
      <c r="B377" s="18">
        <f t="shared" si="77"/>
        <v>1.584452641983925E-4</v>
      </c>
      <c r="C377" s="18">
        <f t="shared" si="78"/>
        <v>1.5844526419839253E-4</v>
      </c>
      <c r="D377" s="18">
        <f t="shared" si="79"/>
        <v>1.584452641983925E-4</v>
      </c>
      <c r="E377">
        <f t="shared" si="80"/>
        <v>4.6609784476459026E-8</v>
      </c>
      <c r="F377">
        <f t="shared" si="86"/>
        <v>-9.4369170255959034E-9</v>
      </c>
      <c r="G377">
        <f t="shared" si="87"/>
        <v>4.6609784476459026E-8</v>
      </c>
      <c r="L377" s="7">
        <f t="shared" si="81"/>
        <v>4.9720262030229161E-2</v>
      </c>
      <c r="M377" s="7">
        <f t="shared" si="82"/>
        <v>4.9720262030229168E-2</v>
      </c>
      <c r="N377" s="20">
        <f t="shared" si="76"/>
        <v>4.9720262030229168E-2</v>
      </c>
      <c r="O377">
        <f t="shared" si="83"/>
        <v>5.8207660913467407E-10</v>
      </c>
      <c r="P377">
        <f t="shared" si="84"/>
        <v>-3.4924596548080444E-10</v>
      </c>
      <c r="Q377">
        <f t="shared" si="85"/>
        <v>-3.4924596548080444E-10</v>
      </c>
    </row>
    <row r="378" spans="2:17" x14ac:dyDescent="0.25">
      <c r="B378" s="18">
        <f t="shared" si="77"/>
        <v>1.584452641983925E-4</v>
      </c>
      <c r="C378" s="18">
        <f t="shared" si="78"/>
        <v>1.5844526419839253E-4</v>
      </c>
      <c r="D378" s="18">
        <f t="shared" si="79"/>
        <v>1.584452641983925E-4</v>
      </c>
      <c r="E378">
        <f t="shared" si="80"/>
        <v>4.6609784476459026E-8</v>
      </c>
      <c r="F378">
        <f t="shared" si="86"/>
        <v>-9.4369170255959034E-9</v>
      </c>
      <c r="G378">
        <f t="shared" si="87"/>
        <v>4.6609784476459026E-8</v>
      </c>
      <c r="L378" s="7">
        <f t="shared" si="81"/>
        <v>4.9720262030229161E-2</v>
      </c>
      <c r="M378" s="7">
        <f t="shared" si="82"/>
        <v>4.9720262030229168E-2</v>
      </c>
      <c r="N378" s="20">
        <f t="shared" si="76"/>
        <v>4.9720262030229168E-2</v>
      </c>
      <c r="O378">
        <f t="shared" si="83"/>
        <v>5.8207660913467407E-10</v>
      </c>
      <c r="P378">
        <f t="shared" si="84"/>
        <v>-3.4924596548080444E-10</v>
      </c>
      <c r="Q378">
        <f t="shared" si="85"/>
        <v>-3.4924596548080444E-10</v>
      </c>
    </row>
    <row r="379" spans="2:17" x14ac:dyDescent="0.25">
      <c r="B379" s="18">
        <f t="shared" si="77"/>
        <v>1.584452641983925E-4</v>
      </c>
      <c r="C379" s="18">
        <f t="shared" si="78"/>
        <v>1.5844526419839253E-4</v>
      </c>
      <c r="D379" s="18">
        <f t="shared" si="79"/>
        <v>1.584452641983925E-4</v>
      </c>
      <c r="E379">
        <f t="shared" si="80"/>
        <v>4.6609784476459026E-8</v>
      </c>
      <c r="F379">
        <f t="shared" si="86"/>
        <v>-9.4369170255959034E-9</v>
      </c>
      <c r="G379">
        <f t="shared" si="87"/>
        <v>4.6609784476459026E-8</v>
      </c>
      <c r="L379" s="7">
        <f t="shared" si="81"/>
        <v>4.9720262030229161E-2</v>
      </c>
      <c r="M379" s="7">
        <f t="shared" si="82"/>
        <v>4.9720262030229168E-2</v>
      </c>
      <c r="N379" s="20">
        <f t="shared" si="76"/>
        <v>4.9720262030229168E-2</v>
      </c>
      <c r="O379">
        <f t="shared" si="83"/>
        <v>5.8207660913467407E-10</v>
      </c>
      <c r="P379">
        <f t="shared" si="84"/>
        <v>-3.4924596548080444E-10</v>
      </c>
      <c r="Q379">
        <f t="shared" si="85"/>
        <v>-3.4924596548080444E-10</v>
      </c>
    </row>
    <row r="380" spans="2:17" x14ac:dyDescent="0.25">
      <c r="B380" s="18">
        <f t="shared" si="77"/>
        <v>1.584452641983925E-4</v>
      </c>
      <c r="C380" s="18">
        <f t="shared" si="78"/>
        <v>1.5844526419839253E-4</v>
      </c>
      <c r="D380" s="18">
        <f t="shared" si="79"/>
        <v>1.584452641983925E-4</v>
      </c>
      <c r="E380">
        <f t="shared" si="80"/>
        <v>4.6609784476459026E-8</v>
      </c>
      <c r="F380">
        <f t="shared" si="86"/>
        <v>-9.4369170255959034E-9</v>
      </c>
      <c r="G380">
        <f t="shared" si="87"/>
        <v>4.6609784476459026E-8</v>
      </c>
      <c r="L380" s="7">
        <f t="shared" si="81"/>
        <v>4.9720262030229161E-2</v>
      </c>
      <c r="M380" s="7">
        <f t="shared" si="82"/>
        <v>4.9720262030229168E-2</v>
      </c>
      <c r="N380" s="20">
        <f t="shared" si="76"/>
        <v>4.9720262030229168E-2</v>
      </c>
      <c r="O380">
        <f t="shared" si="83"/>
        <v>5.8207660913467407E-10</v>
      </c>
      <c r="P380">
        <f t="shared" si="84"/>
        <v>-3.4924596548080444E-10</v>
      </c>
      <c r="Q380">
        <f t="shared" si="85"/>
        <v>-3.4924596548080444E-10</v>
      </c>
    </row>
    <row r="381" spans="2:17" x14ac:dyDescent="0.25">
      <c r="B381" s="18">
        <f t="shared" si="77"/>
        <v>1.584452641983925E-4</v>
      </c>
      <c r="C381" s="18">
        <f t="shared" si="78"/>
        <v>1.5844526419839253E-4</v>
      </c>
      <c r="D381" s="18">
        <f t="shared" si="79"/>
        <v>1.584452641983925E-4</v>
      </c>
      <c r="E381">
        <f t="shared" si="80"/>
        <v>4.6609784476459026E-8</v>
      </c>
      <c r="F381">
        <f t="shared" si="86"/>
        <v>-9.4369170255959034E-9</v>
      </c>
      <c r="G381">
        <f t="shared" si="87"/>
        <v>4.6609784476459026E-8</v>
      </c>
      <c r="L381" s="7">
        <f t="shared" si="81"/>
        <v>4.9720262030229161E-2</v>
      </c>
      <c r="M381" s="7">
        <f t="shared" si="82"/>
        <v>4.9720262030229168E-2</v>
      </c>
      <c r="N381" s="20">
        <f t="shared" si="76"/>
        <v>4.9720262030229168E-2</v>
      </c>
      <c r="O381">
        <f t="shared" si="83"/>
        <v>5.8207660913467407E-10</v>
      </c>
      <c r="P381">
        <f t="shared" si="84"/>
        <v>-3.4924596548080444E-10</v>
      </c>
      <c r="Q381">
        <f t="shared" si="85"/>
        <v>-3.4924596548080444E-10</v>
      </c>
    </row>
    <row r="382" spans="2:17" x14ac:dyDescent="0.25">
      <c r="B382" s="18">
        <f t="shared" si="77"/>
        <v>1.584452641983925E-4</v>
      </c>
      <c r="C382" s="18">
        <f t="shared" si="78"/>
        <v>1.5844526419839253E-4</v>
      </c>
      <c r="D382" s="18">
        <f t="shared" si="79"/>
        <v>1.584452641983925E-4</v>
      </c>
      <c r="E382">
        <f t="shared" si="80"/>
        <v>4.6609784476459026E-8</v>
      </c>
      <c r="F382">
        <f t="shared" si="86"/>
        <v>-9.4369170255959034E-9</v>
      </c>
      <c r="G382">
        <f t="shared" si="87"/>
        <v>4.6609784476459026E-8</v>
      </c>
      <c r="L382" s="7">
        <f t="shared" si="81"/>
        <v>4.9720262030229161E-2</v>
      </c>
      <c r="M382" s="7">
        <f t="shared" si="82"/>
        <v>4.9720262030229168E-2</v>
      </c>
      <c r="N382" s="20">
        <f t="shared" si="76"/>
        <v>4.9720262030229168E-2</v>
      </c>
      <c r="O382">
        <f t="shared" si="83"/>
        <v>5.8207660913467407E-10</v>
      </c>
      <c r="P382">
        <f t="shared" si="84"/>
        <v>-3.4924596548080444E-10</v>
      </c>
      <c r="Q382">
        <f t="shared" si="85"/>
        <v>-3.4924596548080444E-10</v>
      </c>
    </row>
    <row r="383" spans="2:17" x14ac:dyDescent="0.25">
      <c r="B383" s="18">
        <f t="shared" si="77"/>
        <v>1.584452641983925E-4</v>
      </c>
      <c r="C383" s="18">
        <f t="shared" si="78"/>
        <v>1.5844526419839253E-4</v>
      </c>
      <c r="D383" s="18">
        <f t="shared" si="79"/>
        <v>1.584452641983925E-4</v>
      </c>
      <c r="E383">
        <f t="shared" si="80"/>
        <v>4.6609784476459026E-8</v>
      </c>
      <c r="F383">
        <f t="shared" si="86"/>
        <v>-9.4369170255959034E-9</v>
      </c>
      <c r="G383">
        <f t="shared" si="87"/>
        <v>4.6609784476459026E-8</v>
      </c>
      <c r="L383" s="7">
        <f t="shared" si="81"/>
        <v>4.9720262030229161E-2</v>
      </c>
      <c r="M383" s="7">
        <f t="shared" si="82"/>
        <v>4.9720262030229168E-2</v>
      </c>
      <c r="N383" s="20">
        <f t="shared" si="76"/>
        <v>4.9720262030229168E-2</v>
      </c>
      <c r="O383">
        <f t="shared" si="83"/>
        <v>5.8207660913467407E-10</v>
      </c>
      <c r="P383">
        <f t="shared" si="84"/>
        <v>-3.4924596548080444E-10</v>
      </c>
      <c r="Q383">
        <f t="shared" si="85"/>
        <v>-3.4924596548080444E-10</v>
      </c>
    </row>
    <row r="384" spans="2:17" x14ac:dyDescent="0.25">
      <c r="B384" s="18">
        <f t="shared" si="77"/>
        <v>1.584452641983925E-4</v>
      </c>
      <c r="C384" s="18">
        <f t="shared" si="78"/>
        <v>1.5844526419839253E-4</v>
      </c>
      <c r="D384" s="18">
        <f t="shared" si="79"/>
        <v>1.584452641983925E-4</v>
      </c>
      <c r="E384">
        <f t="shared" si="80"/>
        <v>4.6609784476459026E-8</v>
      </c>
      <c r="F384">
        <f t="shared" si="86"/>
        <v>-9.4369170255959034E-9</v>
      </c>
      <c r="G384">
        <f t="shared" si="87"/>
        <v>4.6609784476459026E-8</v>
      </c>
      <c r="L384" s="7">
        <f t="shared" si="81"/>
        <v>4.9720262030229161E-2</v>
      </c>
      <c r="M384" s="7">
        <f t="shared" si="82"/>
        <v>4.9720262030229168E-2</v>
      </c>
      <c r="N384" s="20">
        <f t="shared" si="76"/>
        <v>4.9720262030229168E-2</v>
      </c>
      <c r="O384">
        <f t="shared" si="83"/>
        <v>5.8207660913467407E-10</v>
      </c>
      <c r="P384">
        <f t="shared" si="84"/>
        <v>-3.4924596548080444E-10</v>
      </c>
      <c r="Q384">
        <f t="shared" si="85"/>
        <v>-3.4924596548080444E-10</v>
      </c>
    </row>
    <row r="385" spans="2:17" x14ac:dyDescent="0.25">
      <c r="B385" s="18">
        <f t="shared" si="77"/>
        <v>1.584452641983925E-4</v>
      </c>
      <c r="C385" s="18">
        <f t="shared" si="78"/>
        <v>1.5844526419839253E-4</v>
      </c>
      <c r="D385" s="18">
        <f t="shared" si="79"/>
        <v>1.584452641983925E-4</v>
      </c>
      <c r="E385">
        <f t="shared" si="80"/>
        <v>4.6609784476459026E-8</v>
      </c>
      <c r="F385">
        <f t="shared" si="86"/>
        <v>-9.4369170255959034E-9</v>
      </c>
      <c r="G385">
        <f t="shared" si="87"/>
        <v>4.6609784476459026E-8</v>
      </c>
      <c r="L385" s="7">
        <f t="shared" si="81"/>
        <v>4.9720262030229161E-2</v>
      </c>
      <c r="M385" s="7">
        <f t="shared" si="82"/>
        <v>4.9720262030229168E-2</v>
      </c>
      <c r="N385" s="20">
        <f t="shared" si="76"/>
        <v>4.9720262030229168E-2</v>
      </c>
      <c r="O385">
        <f t="shared" si="83"/>
        <v>5.8207660913467407E-10</v>
      </c>
      <c r="P385">
        <f t="shared" si="84"/>
        <v>-3.4924596548080444E-10</v>
      </c>
      <c r="Q385">
        <f t="shared" si="85"/>
        <v>-3.4924596548080444E-10</v>
      </c>
    </row>
    <row r="386" spans="2:17" x14ac:dyDescent="0.25">
      <c r="B386" s="18">
        <f t="shared" si="77"/>
        <v>1.584452641983925E-4</v>
      </c>
      <c r="C386" s="18">
        <f t="shared" si="78"/>
        <v>1.5844526419839253E-4</v>
      </c>
      <c r="D386" s="18">
        <f t="shared" si="79"/>
        <v>1.584452641983925E-4</v>
      </c>
      <c r="E386">
        <f t="shared" si="80"/>
        <v>4.6609784476459026E-8</v>
      </c>
      <c r="F386">
        <f t="shared" si="86"/>
        <v>-9.4369170255959034E-9</v>
      </c>
      <c r="G386">
        <f t="shared" si="87"/>
        <v>4.6609784476459026E-8</v>
      </c>
      <c r="L386" s="7">
        <f t="shared" si="81"/>
        <v>4.9720262030229161E-2</v>
      </c>
      <c r="M386" s="7">
        <f t="shared" si="82"/>
        <v>4.9720262030229168E-2</v>
      </c>
      <c r="N386" s="20">
        <f t="shared" si="76"/>
        <v>4.9720262030229168E-2</v>
      </c>
      <c r="O386">
        <f t="shared" si="83"/>
        <v>5.8207660913467407E-10</v>
      </c>
      <c r="P386">
        <f t="shared" si="84"/>
        <v>-3.4924596548080444E-10</v>
      </c>
      <c r="Q386">
        <f t="shared" si="85"/>
        <v>-3.4924596548080444E-10</v>
      </c>
    </row>
    <row r="387" spans="2:17" x14ac:dyDescent="0.25">
      <c r="B387" s="18">
        <f t="shared" si="77"/>
        <v>1.584452641983925E-4</v>
      </c>
      <c r="C387" s="18">
        <f t="shared" si="78"/>
        <v>1.5844526419839253E-4</v>
      </c>
      <c r="D387" s="18">
        <f t="shared" si="79"/>
        <v>1.584452641983925E-4</v>
      </c>
      <c r="E387">
        <f t="shared" si="80"/>
        <v>4.6609784476459026E-8</v>
      </c>
      <c r="F387">
        <f t="shared" si="86"/>
        <v>-9.4369170255959034E-9</v>
      </c>
      <c r="G387">
        <f t="shared" si="87"/>
        <v>4.6609784476459026E-8</v>
      </c>
      <c r="L387" s="7">
        <f t="shared" si="81"/>
        <v>4.9720262030229161E-2</v>
      </c>
      <c r="M387" s="7">
        <f t="shared" si="82"/>
        <v>4.9720262030229168E-2</v>
      </c>
      <c r="N387" s="20">
        <f t="shared" si="76"/>
        <v>4.9720262030229168E-2</v>
      </c>
      <c r="O387">
        <f t="shared" si="83"/>
        <v>5.8207660913467407E-10</v>
      </c>
      <c r="P387">
        <f t="shared" si="84"/>
        <v>-3.4924596548080444E-10</v>
      </c>
      <c r="Q387">
        <f t="shared" si="85"/>
        <v>-3.4924596548080444E-10</v>
      </c>
    </row>
    <row r="388" spans="2:17" x14ac:dyDescent="0.25">
      <c r="B388" s="18">
        <f t="shared" si="77"/>
        <v>1.584452641983925E-4</v>
      </c>
      <c r="C388" s="18">
        <f t="shared" si="78"/>
        <v>1.5844526419839253E-4</v>
      </c>
      <c r="D388" s="18">
        <f t="shared" si="79"/>
        <v>1.584452641983925E-4</v>
      </c>
      <c r="E388">
        <f t="shared" si="80"/>
        <v>4.6609784476459026E-8</v>
      </c>
      <c r="F388">
        <f t="shared" si="86"/>
        <v>-9.4369170255959034E-9</v>
      </c>
      <c r="G388">
        <f t="shared" si="87"/>
        <v>4.6609784476459026E-8</v>
      </c>
      <c r="L388" s="7">
        <f t="shared" si="81"/>
        <v>4.9720262030229161E-2</v>
      </c>
      <c r="M388" s="7">
        <f t="shared" si="82"/>
        <v>4.9720262030229168E-2</v>
      </c>
      <c r="N388" s="20">
        <f t="shared" si="76"/>
        <v>4.9720262030229168E-2</v>
      </c>
      <c r="O388">
        <f t="shared" si="83"/>
        <v>5.8207660913467407E-10</v>
      </c>
      <c r="P388">
        <f t="shared" si="84"/>
        <v>-3.4924596548080444E-10</v>
      </c>
      <c r="Q388">
        <f t="shared" si="85"/>
        <v>-3.4924596548080444E-10</v>
      </c>
    </row>
    <row r="389" spans="2:17" x14ac:dyDescent="0.25">
      <c r="B389" s="18">
        <f t="shared" si="77"/>
        <v>1.584452641983925E-4</v>
      </c>
      <c r="C389" s="18">
        <f t="shared" si="78"/>
        <v>1.5844526419839253E-4</v>
      </c>
      <c r="D389" s="18">
        <f t="shared" si="79"/>
        <v>1.584452641983925E-4</v>
      </c>
      <c r="E389">
        <f t="shared" si="80"/>
        <v>4.6609784476459026E-8</v>
      </c>
      <c r="F389">
        <f t="shared" si="86"/>
        <v>-9.4369170255959034E-9</v>
      </c>
      <c r="G389">
        <f t="shared" si="87"/>
        <v>4.6609784476459026E-8</v>
      </c>
      <c r="L389" s="7">
        <f t="shared" si="81"/>
        <v>4.9720262030229161E-2</v>
      </c>
      <c r="M389" s="7">
        <f t="shared" si="82"/>
        <v>4.9720262030229168E-2</v>
      </c>
      <c r="N389" s="20">
        <f t="shared" si="76"/>
        <v>4.9720262030229168E-2</v>
      </c>
      <c r="O389">
        <f t="shared" si="83"/>
        <v>5.8207660913467407E-10</v>
      </c>
      <c r="P389">
        <f t="shared" si="84"/>
        <v>-3.4924596548080444E-10</v>
      </c>
      <c r="Q389">
        <f t="shared" si="85"/>
        <v>-3.4924596548080444E-10</v>
      </c>
    </row>
    <row r="390" spans="2:17" x14ac:dyDescent="0.25">
      <c r="B390" s="18">
        <f t="shared" si="77"/>
        <v>1.584452641983925E-4</v>
      </c>
      <c r="C390" s="18">
        <f t="shared" si="78"/>
        <v>1.5844526419839253E-4</v>
      </c>
      <c r="D390" s="18">
        <f t="shared" si="79"/>
        <v>1.584452641983925E-4</v>
      </c>
      <c r="E390">
        <f t="shared" si="80"/>
        <v>4.6609784476459026E-8</v>
      </c>
      <c r="F390">
        <f t="shared" si="86"/>
        <v>-9.4369170255959034E-9</v>
      </c>
      <c r="G390">
        <f t="shared" si="87"/>
        <v>4.6609784476459026E-8</v>
      </c>
      <c r="L390" s="7">
        <f t="shared" si="81"/>
        <v>4.9720262030229161E-2</v>
      </c>
      <c r="M390" s="7">
        <f t="shared" si="82"/>
        <v>4.9720262030229168E-2</v>
      </c>
      <c r="N390" s="20">
        <f t="shared" si="76"/>
        <v>4.9720262030229168E-2</v>
      </c>
      <c r="O390">
        <f t="shared" si="83"/>
        <v>5.8207660913467407E-10</v>
      </c>
      <c r="P390">
        <f t="shared" si="84"/>
        <v>-3.4924596548080444E-10</v>
      </c>
      <c r="Q390">
        <f t="shared" si="85"/>
        <v>-3.4924596548080444E-10</v>
      </c>
    </row>
    <row r="391" spans="2:17" x14ac:dyDescent="0.25">
      <c r="B391" s="18">
        <f t="shared" si="77"/>
        <v>1.584452641983925E-4</v>
      </c>
      <c r="C391" s="18">
        <f t="shared" si="78"/>
        <v>1.5844526419839253E-4</v>
      </c>
      <c r="D391" s="18">
        <f t="shared" si="79"/>
        <v>1.584452641983925E-4</v>
      </c>
      <c r="E391">
        <f t="shared" si="80"/>
        <v>4.6609784476459026E-8</v>
      </c>
      <c r="F391">
        <f t="shared" si="86"/>
        <v>-9.4369170255959034E-9</v>
      </c>
      <c r="G391">
        <f t="shared" si="87"/>
        <v>4.6609784476459026E-8</v>
      </c>
      <c r="L391" s="7">
        <f t="shared" si="81"/>
        <v>4.9720262030229161E-2</v>
      </c>
      <c r="M391" s="7">
        <f t="shared" si="82"/>
        <v>4.9720262030229168E-2</v>
      </c>
      <c r="N391" s="20">
        <f t="shared" si="76"/>
        <v>4.9720262030229168E-2</v>
      </c>
      <c r="O391">
        <f t="shared" si="83"/>
        <v>5.8207660913467407E-10</v>
      </c>
      <c r="P391">
        <f t="shared" si="84"/>
        <v>-3.4924596548080444E-10</v>
      </c>
      <c r="Q391">
        <f t="shared" si="85"/>
        <v>-3.4924596548080444E-10</v>
      </c>
    </row>
    <row r="392" spans="2:17" x14ac:dyDescent="0.25">
      <c r="B392" s="18">
        <f t="shared" si="77"/>
        <v>1.584452641983925E-4</v>
      </c>
      <c r="C392" s="18">
        <f t="shared" si="78"/>
        <v>1.5844526419839253E-4</v>
      </c>
      <c r="D392" s="18">
        <f t="shared" si="79"/>
        <v>1.584452641983925E-4</v>
      </c>
      <c r="E392">
        <f t="shared" si="80"/>
        <v>4.6609784476459026E-8</v>
      </c>
      <c r="F392">
        <f t="shared" si="86"/>
        <v>-9.4369170255959034E-9</v>
      </c>
      <c r="G392">
        <f t="shared" si="87"/>
        <v>4.6609784476459026E-8</v>
      </c>
      <c r="L392" s="7">
        <f t="shared" si="81"/>
        <v>4.9720262030229161E-2</v>
      </c>
      <c r="M392" s="7">
        <f t="shared" si="82"/>
        <v>4.9720262030229168E-2</v>
      </c>
      <c r="N392" s="20">
        <f t="shared" si="76"/>
        <v>4.9720262030229168E-2</v>
      </c>
      <c r="O392">
        <f t="shared" si="83"/>
        <v>5.8207660913467407E-10</v>
      </c>
      <c r="P392">
        <f t="shared" si="84"/>
        <v>-3.4924596548080444E-10</v>
      </c>
      <c r="Q392">
        <f t="shared" si="85"/>
        <v>-3.4924596548080444E-10</v>
      </c>
    </row>
    <row r="393" spans="2:17" x14ac:dyDescent="0.25">
      <c r="B393" s="18">
        <f t="shared" si="77"/>
        <v>1.584452641983925E-4</v>
      </c>
      <c r="C393" s="18">
        <f t="shared" si="78"/>
        <v>1.5844526419839253E-4</v>
      </c>
      <c r="D393" s="18">
        <f t="shared" si="79"/>
        <v>1.584452641983925E-4</v>
      </c>
      <c r="E393">
        <f t="shared" si="80"/>
        <v>4.6609784476459026E-8</v>
      </c>
      <c r="F393">
        <f t="shared" si="86"/>
        <v>-9.4369170255959034E-9</v>
      </c>
      <c r="G393">
        <f t="shared" si="87"/>
        <v>4.6609784476459026E-8</v>
      </c>
      <c r="L393" s="7">
        <f t="shared" si="81"/>
        <v>4.9720262030229161E-2</v>
      </c>
      <c r="M393" s="7">
        <f t="shared" si="82"/>
        <v>4.9720262030229168E-2</v>
      </c>
      <c r="N393" s="20">
        <f t="shared" si="76"/>
        <v>4.9720262030229168E-2</v>
      </c>
      <c r="O393">
        <f t="shared" si="83"/>
        <v>5.8207660913467407E-10</v>
      </c>
      <c r="P393">
        <f t="shared" si="84"/>
        <v>-3.4924596548080444E-10</v>
      </c>
      <c r="Q393">
        <f t="shared" si="85"/>
        <v>-3.4924596548080444E-10</v>
      </c>
    </row>
    <row r="394" spans="2:17" x14ac:dyDescent="0.25">
      <c r="B394" s="18">
        <f t="shared" si="77"/>
        <v>1.584452641983925E-4</v>
      </c>
      <c r="C394" s="18">
        <f t="shared" si="78"/>
        <v>1.5844526419839253E-4</v>
      </c>
      <c r="D394" s="18">
        <f t="shared" si="79"/>
        <v>1.584452641983925E-4</v>
      </c>
      <c r="E394">
        <f t="shared" si="80"/>
        <v>4.6609784476459026E-8</v>
      </c>
      <c r="F394">
        <f t="shared" si="86"/>
        <v>-9.4369170255959034E-9</v>
      </c>
      <c r="G394">
        <f t="shared" si="87"/>
        <v>4.6609784476459026E-8</v>
      </c>
      <c r="L394" s="7">
        <f t="shared" si="81"/>
        <v>4.9720262030229161E-2</v>
      </c>
      <c r="M394" s="7">
        <f t="shared" si="82"/>
        <v>4.9720262030229168E-2</v>
      </c>
      <c r="N394" s="20">
        <f t="shared" si="76"/>
        <v>4.9720262030229168E-2</v>
      </c>
      <c r="O394">
        <f t="shared" si="83"/>
        <v>5.8207660913467407E-10</v>
      </c>
      <c r="P394">
        <f t="shared" si="84"/>
        <v>-3.4924596548080444E-10</v>
      </c>
      <c r="Q394">
        <f t="shared" si="85"/>
        <v>-3.4924596548080444E-10</v>
      </c>
    </row>
    <row r="395" spans="2:17" x14ac:dyDescent="0.25">
      <c r="B395" s="18">
        <f t="shared" si="77"/>
        <v>1.584452641983925E-4</v>
      </c>
      <c r="C395" s="18">
        <f t="shared" si="78"/>
        <v>1.5844526419839253E-4</v>
      </c>
      <c r="D395" s="18">
        <f t="shared" si="79"/>
        <v>1.584452641983925E-4</v>
      </c>
      <c r="E395">
        <f t="shared" si="80"/>
        <v>4.6609784476459026E-8</v>
      </c>
      <c r="F395">
        <f t="shared" si="86"/>
        <v>-9.4369170255959034E-9</v>
      </c>
      <c r="G395">
        <f t="shared" si="87"/>
        <v>4.6609784476459026E-8</v>
      </c>
      <c r="L395" s="7">
        <f t="shared" si="81"/>
        <v>4.9720262030229161E-2</v>
      </c>
      <c r="M395" s="7">
        <f t="shared" si="82"/>
        <v>4.9720262030229168E-2</v>
      </c>
      <c r="N395" s="20">
        <f t="shared" si="76"/>
        <v>4.9720262030229168E-2</v>
      </c>
      <c r="O395">
        <f t="shared" si="83"/>
        <v>5.8207660913467407E-10</v>
      </c>
      <c r="P395">
        <f t="shared" si="84"/>
        <v>-3.4924596548080444E-10</v>
      </c>
      <c r="Q395">
        <f t="shared" si="85"/>
        <v>-3.4924596548080444E-10</v>
      </c>
    </row>
    <row r="396" spans="2:17" x14ac:dyDescent="0.25">
      <c r="B396" s="18">
        <f t="shared" si="77"/>
        <v>1.584452641983925E-4</v>
      </c>
      <c r="C396" s="18">
        <f t="shared" si="78"/>
        <v>1.5844526419839253E-4</v>
      </c>
      <c r="D396" s="18">
        <f t="shared" si="79"/>
        <v>1.584452641983925E-4</v>
      </c>
      <c r="E396">
        <f t="shared" si="80"/>
        <v>4.6609784476459026E-8</v>
      </c>
      <c r="F396">
        <f t="shared" si="86"/>
        <v>-9.4369170255959034E-9</v>
      </c>
      <c r="G396">
        <f t="shared" si="87"/>
        <v>4.6609784476459026E-8</v>
      </c>
      <c r="L396" s="7">
        <f t="shared" si="81"/>
        <v>4.9720262030229161E-2</v>
      </c>
      <c r="M396" s="7">
        <f t="shared" si="82"/>
        <v>4.9720262030229168E-2</v>
      </c>
      <c r="N396" s="20">
        <f t="shared" si="76"/>
        <v>4.9720262030229168E-2</v>
      </c>
      <c r="O396">
        <f t="shared" si="83"/>
        <v>5.8207660913467407E-10</v>
      </c>
      <c r="P396">
        <f t="shared" si="84"/>
        <v>-3.4924596548080444E-10</v>
      </c>
      <c r="Q396">
        <f t="shared" si="85"/>
        <v>-3.4924596548080444E-10</v>
      </c>
    </row>
    <row r="397" spans="2:17" x14ac:dyDescent="0.25">
      <c r="B397" s="18">
        <f t="shared" si="77"/>
        <v>1.584452641983925E-4</v>
      </c>
      <c r="C397" s="18">
        <f t="shared" si="78"/>
        <v>1.5844526419839253E-4</v>
      </c>
      <c r="D397" s="18">
        <f t="shared" si="79"/>
        <v>1.584452641983925E-4</v>
      </c>
      <c r="E397">
        <f t="shared" si="80"/>
        <v>4.6609784476459026E-8</v>
      </c>
      <c r="F397">
        <f t="shared" si="86"/>
        <v>-9.4369170255959034E-9</v>
      </c>
      <c r="G397">
        <f t="shared" si="87"/>
        <v>4.6609784476459026E-8</v>
      </c>
      <c r="L397" s="7">
        <f t="shared" si="81"/>
        <v>4.9720262030229161E-2</v>
      </c>
      <c r="M397" s="7">
        <f t="shared" si="82"/>
        <v>4.9720262030229168E-2</v>
      </c>
      <c r="N397" s="20">
        <f t="shared" si="76"/>
        <v>4.9720262030229168E-2</v>
      </c>
      <c r="O397">
        <f t="shared" si="83"/>
        <v>5.8207660913467407E-10</v>
      </c>
      <c r="P397">
        <f t="shared" si="84"/>
        <v>-3.4924596548080444E-10</v>
      </c>
      <c r="Q397">
        <f t="shared" si="85"/>
        <v>-3.4924596548080444E-10</v>
      </c>
    </row>
    <row r="398" spans="2:17" x14ac:dyDescent="0.25">
      <c r="B398" s="18">
        <f t="shared" si="77"/>
        <v>1.584452641983925E-4</v>
      </c>
      <c r="C398" s="18">
        <f t="shared" si="78"/>
        <v>1.5844526419839253E-4</v>
      </c>
      <c r="D398" s="18">
        <f t="shared" si="79"/>
        <v>1.584452641983925E-4</v>
      </c>
      <c r="E398">
        <f t="shared" si="80"/>
        <v>4.6609784476459026E-8</v>
      </c>
      <c r="F398">
        <f t="shared" si="86"/>
        <v>-9.4369170255959034E-9</v>
      </c>
      <c r="G398">
        <f t="shared" si="87"/>
        <v>4.6609784476459026E-8</v>
      </c>
      <c r="L398" s="7">
        <f t="shared" si="81"/>
        <v>4.9720262030229161E-2</v>
      </c>
      <c r="M398" s="7">
        <f t="shared" si="82"/>
        <v>4.9720262030229168E-2</v>
      </c>
      <c r="N398" s="20">
        <f t="shared" si="76"/>
        <v>4.9720262030229168E-2</v>
      </c>
      <c r="O398">
        <f t="shared" si="83"/>
        <v>5.8207660913467407E-10</v>
      </c>
      <c r="P398">
        <f t="shared" si="84"/>
        <v>-3.4924596548080444E-10</v>
      </c>
      <c r="Q398">
        <f t="shared" si="85"/>
        <v>-3.4924596548080444E-10</v>
      </c>
    </row>
    <row r="399" spans="2:17" x14ac:dyDescent="0.25">
      <c r="B399" s="18">
        <f t="shared" si="77"/>
        <v>1.584452641983925E-4</v>
      </c>
      <c r="C399" s="18">
        <f t="shared" si="78"/>
        <v>1.5844526419839253E-4</v>
      </c>
      <c r="D399" s="18">
        <f t="shared" si="79"/>
        <v>1.584452641983925E-4</v>
      </c>
      <c r="E399">
        <f t="shared" si="80"/>
        <v>4.6609784476459026E-8</v>
      </c>
      <c r="F399">
        <f t="shared" si="86"/>
        <v>-9.4369170255959034E-9</v>
      </c>
      <c r="G399">
        <f t="shared" si="87"/>
        <v>4.6609784476459026E-8</v>
      </c>
      <c r="L399" s="7">
        <f t="shared" si="81"/>
        <v>4.9720262030229161E-2</v>
      </c>
      <c r="M399" s="7">
        <f t="shared" si="82"/>
        <v>4.9720262030229168E-2</v>
      </c>
      <c r="N399" s="20">
        <f t="shared" si="76"/>
        <v>4.9720262030229168E-2</v>
      </c>
      <c r="O399">
        <f t="shared" si="83"/>
        <v>5.8207660913467407E-10</v>
      </c>
      <c r="P399">
        <f t="shared" si="84"/>
        <v>-3.4924596548080444E-10</v>
      </c>
      <c r="Q399">
        <f t="shared" si="85"/>
        <v>-3.4924596548080444E-10</v>
      </c>
    </row>
    <row r="400" spans="2:17" x14ac:dyDescent="0.25">
      <c r="B400" s="18">
        <f t="shared" si="77"/>
        <v>1.584452641983925E-4</v>
      </c>
      <c r="C400" s="18">
        <f t="shared" si="78"/>
        <v>1.5844526419839253E-4</v>
      </c>
      <c r="D400" s="18">
        <f t="shared" si="79"/>
        <v>1.584452641983925E-4</v>
      </c>
      <c r="E400">
        <f t="shared" si="80"/>
        <v>4.6609784476459026E-8</v>
      </c>
      <c r="F400">
        <f t="shared" si="86"/>
        <v>-9.4369170255959034E-9</v>
      </c>
      <c r="G400">
        <f t="shared" si="87"/>
        <v>4.6609784476459026E-8</v>
      </c>
      <c r="L400" s="7">
        <f t="shared" si="81"/>
        <v>4.9720262030229161E-2</v>
      </c>
      <c r="M400" s="7">
        <f t="shared" si="82"/>
        <v>4.9720262030229168E-2</v>
      </c>
      <c r="N400" s="20">
        <f t="shared" si="76"/>
        <v>4.9720262030229168E-2</v>
      </c>
      <c r="O400">
        <f t="shared" si="83"/>
        <v>5.8207660913467407E-10</v>
      </c>
      <c r="P400">
        <f t="shared" si="84"/>
        <v>-3.4924596548080444E-10</v>
      </c>
      <c r="Q400">
        <f t="shared" si="85"/>
        <v>-3.4924596548080444E-10</v>
      </c>
    </row>
    <row r="401" spans="2:17" x14ac:dyDescent="0.25">
      <c r="B401" s="18">
        <f t="shared" si="77"/>
        <v>1.584452641983925E-4</v>
      </c>
      <c r="C401" s="18">
        <f t="shared" si="78"/>
        <v>1.5844526419839253E-4</v>
      </c>
      <c r="D401" s="18">
        <f t="shared" si="79"/>
        <v>1.584452641983925E-4</v>
      </c>
      <c r="E401">
        <f t="shared" si="80"/>
        <v>4.6609784476459026E-8</v>
      </c>
      <c r="F401">
        <f t="shared" si="86"/>
        <v>-9.4369170255959034E-9</v>
      </c>
      <c r="G401">
        <f t="shared" si="87"/>
        <v>4.6609784476459026E-8</v>
      </c>
      <c r="L401" s="7">
        <f t="shared" si="81"/>
        <v>4.9720262030229161E-2</v>
      </c>
      <c r="M401" s="7">
        <f t="shared" si="82"/>
        <v>4.9720262030229168E-2</v>
      </c>
      <c r="N401" s="20">
        <f t="shared" si="76"/>
        <v>4.9720262030229168E-2</v>
      </c>
      <c r="O401">
        <f t="shared" si="83"/>
        <v>5.8207660913467407E-10</v>
      </c>
      <c r="P401">
        <f t="shared" si="84"/>
        <v>-3.4924596548080444E-10</v>
      </c>
      <c r="Q401">
        <f t="shared" si="85"/>
        <v>-3.4924596548080444E-10</v>
      </c>
    </row>
    <row r="402" spans="2:17" x14ac:dyDescent="0.25">
      <c r="B402" s="18">
        <f t="shared" si="77"/>
        <v>1.584452641983925E-4</v>
      </c>
      <c r="C402" s="18">
        <f t="shared" si="78"/>
        <v>1.5844526419839253E-4</v>
      </c>
      <c r="D402" s="18">
        <f t="shared" si="79"/>
        <v>1.584452641983925E-4</v>
      </c>
      <c r="E402">
        <f t="shared" si="80"/>
        <v>4.6609784476459026E-8</v>
      </c>
      <c r="F402">
        <f t="shared" si="86"/>
        <v>-9.4369170255959034E-9</v>
      </c>
      <c r="G402">
        <f t="shared" si="87"/>
        <v>4.6609784476459026E-8</v>
      </c>
      <c r="L402" s="7">
        <f t="shared" si="81"/>
        <v>4.9720262030229161E-2</v>
      </c>
      <c r="M402" s="7">
        <f t="shared" si="82"/>
        <v>4.9720262030229168E-2</v>
      </c>
      <c r="N402" s="20">
        <f t="shared" si="76"/>
        <v>4.9720262030229168E-2</v>
      </c>
      <c r="O402">
        <f t="shared" si="83"/>
        <v>5.8207660913467407E-10</v>
      </c>
      <c r="P402">
        <f t="shared" si="84"/>
        <v>-3.4924596548080444E-10</v>
      </c>
      <c r="Q402">
        <f t="shared" si="85"/>
        <v>-3.4924596548080444E-10</v>
      </c>
    </row>
    <row r="403" spans="2:17" x14ac:dyDescent="0.25">
      <c r="B403" s="18">
        <f t="shared" si="77"/>
        <v>1.584452641983925E-4</v>
      </c>
      <c r="C403" s="18">
        <f t="shared" si="78"/>
        <v>1.5844526419839253E-4</v>
      </c>
      <c r="D403" s="18">
        <f t="shared" si="79"/>
        <v>1.584452641983925E-4</v>
      </c>
      <c r="E403">
        <f t="shared" si="80"/>
        <v>4.6609784476459026E-8</v>
      </c>
      <c r="F403">
        <f t="shared" si="86"/>
        <v>-9.4369170255959034E-9</v>
      </c>
      <c r="G403">
        <f t="shared" si="87"/>
        <v>4.6609784476459026E-8</v>
      </c>
      <c r="L403" s="7">
        <f t="shared" si="81"/>
        <v>4.9720262030229161E-2</v>
      </c>
      <c r="M403" s="7">
        <f t="shared" si="82"/>
        <v>4.9720262030229168E-2</v>
      </c>
      <c r="N403" s="20">
        <f t="shared" si="76"/>
        <v>4.9720262030229168E-2</v>
      </c>
      <c r="O403">
        <f t="shared" si="83"/>
        <v>5.8207660913467407E-10</v>
      </c>
      <c r="P403">
        <f t="shared" si="84"/>
        <v>-3.4924596548080444E-10</v>
      </c>
      <c r="Q403">
        <f t="shared" si="85"/>
        <v>-3.4924596548080444E-10</v>
      </c>
    </row>
    <row r="404" spans="2:17" x14ac:dyDescent="0.25">
      <c r="B404" s="18">
        <f t="shared" si="77"/>
        <v>1.584452641983925E-4</v>
      </c>
      <c r="C404" s="18">
        <f t="shared" si="78"/>
        <v>1.5844526419839253E-4</v>
      </c>
      <c r="D404" s="18">
        <f t="shared" si="79"/>
        <v>1.584452641983925E-4</v>
      </c>
      <c r="E404">
        <f t="shared" si="80"/>
        <v>4.6609784476459026E-8</v>
      </c>
      <c r="F404">
        <f t="shared" si="86"/>
        <v>-9.4369170255959034E-9</v>
      </c>
      <c r="G404">
        <f t="shared" si="87"/>
        <v>4.6609784476459026E-8</v>
      </c>
      <c r="L404" s="7">
        <f t="shared" si="81"/>
        <v>4.9720262030229161E-2</v>
      </c>
      <c r="M404" s="7">
        <f t="shared" si="82"/>
        <v>4.9720262030229168E-2</v>
      </c>
      <c r="N404" s="20">
        <f t="shared" si="76"/>
        <v>4.9720262030229168E-2</v>
      </c>
      <c r="O404">
        <f t="shared" si="83"/>
        <v>5.8207660913467407E-10</v>
      </c>
      <c r="P404">
        <f t="shared" si="84"/>
        <v>-3.4924596548080444E-10</v>
      </c>
      <c r="Q404">
        <f t="shared" si="85"/>
        <v>-3.4924596548080444E-10</v>
      </c>
    </row>
    <row r="405" spans="2:17" x14ac:dyDescent="0.25">
      <c r="B405" s="18">
        <f t="shared" si="77"/>
        <v>1.584452641983925E-4</v>
      </c>
      <c r="C405" s="18">
        <f t="shared" si="78"/>
        <v>1.5844526419839253E-4</v>
      </c>
      <c r="D405" s="18">
        <f t="shared" si="79"/>
        <v>1.584452641983925E-4</v>
      </c>
      <c r="E405">
        <f t="shared" si="80"/>
        <v>4.6609784476459026E-8</v>
      </c>
      <c r="F405">
        <f t="shared" si="86"/>
        <v>-9.4369170255959034E-9</v>
      </c>
      <c r="G405">
        <f t="shared" si="87"/>
        <v>4.6609784476459026E-8</v>
      </c>
      <c r="L405" s="7">
        <f t="shared" si="81"/>
        <v>4.9720262030229161E-2</v>
      </c>
      <c r="M405" s="7">
        <f t="shared" si="82"/>
        <v>4.9720262030229168E-2</v>
      </c>
      <c r="N405" s="20">
        <f t="shared" si="76"/>
        <v>4.9720262030229168E-2</v>
      </c>
      <c r="O405">
        <f t="shared" si="83"/>
        <v>5.8207660913467407E-10</v>
      </c>
      <c r="P405">
        <f t="shared" si="84"/>
        <v>-3.4924596548080444E-10</v>
      </c>
      <c r="Q405">
        <f t="shared" si="85"/>
        <v>-3.4924596548080444E-10</v>
      </c>
    </row>
    <row r="406" spans="2:17" x14ac:dyDescent="0.25">
      <c r="B406" s="18">
        <f t="shared" si="77"/>
        <v>1.584452641983925E-4</v>
      </c>
      <c r="C406" s="18">
        <f t="shared" si="78"/>
        <v>1.5844526419839253E-4</v>
      </c>
      <c r="D406" s="18">
        <f t="shared" si="79"/>
        <v>1.584452641983925E-4</v>
      </c>
      <c r="E406">
        <f t="shared" si="80"/>
        <v>4.6609784476459026E-8</v>
      </c>
      <c r="F406">
        <f t="shared" si="86"/>
        <v>-9.4369170255959034E-9</v>
      </c>
      <c r="G406">
        <f t="shared" si="87"/>
        <v>4.6609784476459026E-8</v>
      </c>
      <c r="L406" s="7">
        <f t="shared" si="81"/>
        <v>4.9720262030229161E-2</v>
      </c>
      <c r="M406" s="7">
        <f t="shared" si="82"/>
        <v>4.9720262030229168E-2</v>
      </c>
      <c r="N406" s="20">
        <f t="shared" si="76"/>
        <v>4.9720262030229168E-2</v>
      </c>
      <c r="O406">
        <f t="shared" si="83"/>
        <v>5.8207660913467407E-10</v>
      </c>
      <c r="P406">
        <f t="shared" si="84"/>
        <v>-3.4924596548080444E-10</v>
      </c>
      <c r="Q406">
        <f t="shared" si="85"/>
        <v>-3.4924596548080444E-10</v>
      </c>
    </row>
    <row r="407" spans="2:17" x14ac:dyDescent="0.25">
      <c r="B407" s="18">
        <f t="shared" si="77"/>
        <v>1.584452641983925E-4</v>
      </c>
      <c r="C407" s="18">
        <f t="shared" si="78"/>
        <v>1.5844526419839253E-4</v>
      </c>
      <c r="D407" s="18">
        <f t="shared" si="79"/>
        <v>1.584452641983925E-4</v>
      </c>
      <c r="E407">
        <f t="shared" si="80"/>
        <v>4.6609784476459026E-8</v>
      </c>
      <c r="F407">
        <f t="shared" si="86"/>
        <v>-9.4369170255959034E-9</v>
      </c>
      <c r="G407">
        <f t="shared" si="87"/>
        <v>4.6609784476459026E-8</v>
      </c>
      <c r="L407" s="7">
        <f t="shared" si="81"/>
        <v>4.9720262030229161E-2</v>
      </c>
      <c r="M407" s="7">
        <f t="shared" si="82"/>
        <v>4.9720262030229168E-2</v>
      </c>
      <c r="N407" s="20">
        <f t="shared" si="76"/>
        <v>4.9720262030229168E-2</v>
      </c>
      <c r="O407">
        <f t="shared" si="83"/>
        <v>5.8207660913467407E-10</v>
      </c>
      <c r="P407">
        <f t="shared" si="84"/>
        <v>-3.4924596548080444E-10</v>
      </c>
      <c r="Q407">
        <f t="shared" si="85"/>
        <v>-3.4924596548080444E-10</v>
      </c>
    </row>
    <row r="408" spans="2:17" x14ac:dyDescent="0.25">
      <c r="B408" s="18">
        <f t="shared" si="77"/>
        <v>1.584452641983925E-4</v>
      </c>
      <c r="C408" s="18">
        <f t="shared" si="78"/>
        <v>1.5844526419839253E-4</v>
      </c>
      <c r="D408" s="18">
        <f t="shared" si="79"/>
        <v>1.584452641983925E-4</v>
      </c>
      <c r="E408">
        <f t="shared" si="80"/>
        <v>4.6609784476459026E-8</v>
      </c>
      <c r="F408">
        <f t="shared" si="86"/>
        <v>-9.4369170255959034E-9</v>
      </c>
      <c r="G408">
        <f t="shared" si="87"/>
        <v>4.6609784476459026E-8</v>
      </c>
      <c r="L408" s="7">
        <f t="shared" si="81"/>
        <v>4.9720262030229161E-2</v>
      </c>
      <c r="M408" s="7">
        <f t="shared" si="82"/>
        <v>4.9720262030229168E-2</v>
      </c>
      <c r="N408" s="20">
        <f t="shared" si="76"/>
        <v>4.9720262030229168E-2</v>
      </c>
      <c r="O408">
        <f t="shared" si="83"/>
        <v>5.8207660913467407E-10</v>
      </c>
      <c r="P408">
        <f t="shared" si="84"/>
        <v>-3.4924596548080444E-10</v>
      </c>
      <c r="Q408">
        <f t="shared" si="85"/>
        <v>-3.4924596548080444E-10</v>
      </c>
    </row>
    <row r="409" spans="2:17" x14ac:dyDescent="0.25">
      <c r="B409" s="18">
        <f t="shared" si="77"/>
        <v>1.584452641983925E-4</v>
      </c>
      <c r="C409" s="18">
        <f t="shared" si="78"/>
        <v>1.5844526419839253E-4</v>
      </c>
      <c r="D409" s="18">
        <f t="shared" si="79"/>
        <v>1.584452641983925E-4</v>
      </c>
      <c r="E409">
        <f t="shared" si="80"/>
        <v>4.6609784476459026E-8</v>
      </c>
      <c r="F409">
        <f t="shared" si="86"/>
        <v>-9.4369170255959034E-9</v>
      </c>
      <c r="G409">
        <f t="shared" si="87"/>
        <v>4.6609784476459026E-8</v>
      </c>
      <c r="L409" s="7">
        <f t="shared" si="81"/>
        <v>4.9720262030229161E-2</v>
      </c>
      <c r="M409" s="7">
        <f t="shared" si="82"/>
        <v>4.9720262030229168E-2</v>
      </c>
      <c r="N409" s="20">
        <f t="shared" ref="N409:N472" si="88">(L409+M409)/2</f>
        <v>4.9720262030229168E-2</v>
      </c>
      <c r="O409">
        <f t="shared" si="83"/>
        <v>5.8207660913467407E-10</v>
      </c>
      <c r="P409">
        <f t="shared" si="84"/>
        <v>-3.4924596548080444E-10</v>
      </c>
      <c r="Q409">
        <f t="shared" si="85"/>
        <v>-3.4924596548080444E-10</v>
      </c>
    </row>
    <row r="410" spans="2:17" x14ac:dyDescent="0.25">
      <c r="B410" s="18">
        <f t="shared" ref="B410:B473" si="89">IF(E409*G409&lt;0,B409,D409)</f>
        <v>1.584452641983925E-4</v>
      </c>
      <c r="C410" s="18">
        <f t="shared" ref="C410:C473" si="90">IF(F409*G409&lt;0,C409,D409)</f>
        <v>1.5844526419839253E-4</v>
      </c>
      <c r="D410" s="18">
        <f t="shared" ref="D410:D473" si="91">(B410+C410)/2</f>
        <v>1.584452641983925E-4</v>
      </c>
      <c r="E410">
        <f t="shared" ref="E410:E473" si="92">IF($G$8 = "Future Value",$C$5-($D$5*(((1+B410)^($F$5*$G$5)-1)/B410)),$H$5-$D$5*((1-(1+B410)^(-1*$F$5*$G$5))/B410))</f>
        <v>4.6609784476459026E-8</v>
      </c>
      <c r="F410">
        <f t="shared" si="86"/>
        <v>-9.4369170255959034E-9</v>
      </c>
      <c r="G410">
        <f t="shared" si="87"/>
        <v>4.6609784476459026E-8</v>
      </c>
      <c r="L410" s="7">
        <f t="shared" ref="L410:L473" si="93">IF(O409*Q409&lt;0,L409,N409)</f>
        <v>4.9720262030229161E-2</v>
      </c>
      <c r="M410" s="7">
        <f t="shared" ref="M410:M473" si="94">IF(P409*Q409&lt;0,M409,N409)</f>
        <v>4.9720262030229168E-2</v>
      </c>
      <c r="N410" s="20">
        <f t="shared" si="88"/>
        <v>4.9720262030229168E-2</v>
      </c>
      <c r="O410">
        <f t="shared" ref="O410:O473" si="95">IF($Q$8 = "Future Value",$M$5-($N$5*(1+L410)*(((1+L410)^($P$5*$Q$5)-1)/L410)),$R$5-$N$5*(1+L410)*((1-(1+L410)^(-1*$P$5*$Q$5))/L410))</f>
        <v>5.8207660913467407E-10</v>
      </c>
      <c r="P410">
        <f t="shared" ref="P410:P473" si="96">IF($Q$8 = "Future Value",$M$5-($N$5*(1+M410)*(((1+M410)^($P$5*$Q$5)-1)/M410)),$R$5-$N$5*(1+M410)*((1-(1+M410)^(-1*$P$5*$Q$5))/M410))</f>
        <v>-3.4924596548080444E-10</v>
      </c>
      <c r="Q410">
        <f t="shared" ref="Q410:Q473" si="97">IF($Q$8 = "Future Value",$M$5-($N$5*(1+N410)*(((1+N410)^($P$5*$Q$5)-1)/N410)),$R$5-$N$5*(1+N410)*((1-(1+N410)^(-1*$P$5*$Q$5))/N410))</f>
        <v>-3.4924596548080444E-10</v>
      </c>
    </row>
    <row r="411" spans="2:17" x14ac:dyDescent="0.25">
      <c r="B411" s="18">
        <f t="shared" si="89"/>
        <v>1.584452641983925E-4</v>
      </c>
      <c r="C411" s="18">
        <f t="shared" si="90"/>
        <v>1.5844526419839253E-4</v>
      </c>
      <c r="D411" s="18">
        <f t="shared" si="91"/>
        <v>1.584452641983925E-4</v>
      </c>
      <c r="E411">
        <f t="shared" si="92"/>
        <v>4.6609784476459026E-8</v>
      </c>
      <c r="F411">
        <f t="shared" ref="F411:F474" si="98">IF($G$8 = "Future Value",$C$5-($D$5*(((1+C411)^($F$5*$G$5)-1)/C411)),$H$5-$D$5*((1-(1+C411)^(-1*$F$5*$G$5))/C411))</f>
        <v>-9.4369170255959034E-9</v>
      </c>
      <c r="G411">
        <f t="shared" ref="G411:G474" si="99">IF($G$8 = "Future Value",$C$5-($D$5*(((1+D411)^($F$5*$G$5)-1)/D411)),$H$5-$D$5*((1-(1+D411)^(-1*$F$5*$G$5))/D411))</f>
        <v>4.6609784476459026E-8</v>
      </c>
      <c r="L411" s="7">
        <f t="shared" si="93"/>
        <v>4.9720262030229161E-2</v>
      </c>
      <c r="M411" s="7">
        <f t="shared" si="94"/>
        <v>4.9720262030229168E-2</v>
      </c>
      <c r="N411" s="20">
        <f t="shared" si="88"/>
        <v>4.9720262030229168E-2</v>
      </c>
      <c r="O411">
        <f t="shared" si="95"/>
        <v>5.8207660913467407E-10</v>
      </c>
      <c r="P411">
        <f t="shared" si="96"/>
        <v>-3.4924596548080444E-10</v>
      </c>
      <c r="Q411">
        <f t="shared" si="97"/>
        <v>-3.4924596548080444E-10</v>
      </c>
    </row>
    <row r="412" spans="2:17" x14ac:dyDescent="0.25">
      <c r="B412" s="18">
        <f t="shared" si="89"/>
        <v>1.584452641983925E-4</v>
      </c>
      <c r="C412" s="18">
        <f t="shared" si="90"/>
        <v>1.5844526419839253E-4</v>
      </c>
      <c r="D412" s="18">
        <f t="shared" si="91"/>
        <v>1.584452641983925E-4</v>
      </c>
      <c r="E412">
        <f t="shared" si="92"/>
        <v>4.6609784476459026E-8</v>
      </c>
      <c r="F412">
        <f t="shared" si="98"/>
        <v>-9.4369170255959034E-9</v>
      </c>
      <c r="G412">
        <f t="shared" si="99"/>
        <v>4.6609784476459026E-8</v>
      </c>
      <c r="L412" s="7">
        <f t="shared" si="93"/>
        <v>4.9720262030229161E-2</v>
      </c>
      <c r="M412" s="7">
        <f t="shared" si="94"/>
        <v>4.9720262030229168E-2</v>
      </c>
      <c r="N412" s="20">
        <f t="shared" si="88"/>
        <v>4.9720262030229168E-2</v>
      </c>
      <c r="O412">
        <f t="shared" si="95"/>
        <v>5.8207660913467407E-10</v>
      </c>
      <c r="P412">
        <f t="shared" si="96"/>
        <v>-3.4924596548080444E-10</v>
      </c>
      <c r="Q412">
        <f t="shared" si="97"/>
        <v>-3.4924596548080444E-10</v>
      </c>
    </row>
    <row r="413" spans="2:17" x14ac:dyDescent="0.25">
      <c r="B413" s="18">
        <f t="shared" si="89"/>
        <v>1.584452641983925E-4</v>
      </c>
      <c r="C413" s="18">
        <f t="shared" si="90"/>
        <v>1.5844526419839253E-4</v>
      </c>
      <c r="D413" s="18">
        <f t="shared" si="91"/>
        <v>1.584452641983925E-4</v>
      </c>
      <c r="E413">
        <f t="shared" si="92"/>
        <v>4.6609784476459026E-8</v>
      </c>
      <c r="F413">
        <f t="shared" si="98"/>
        <v>-9.4369170255959034E-9</v>
      </c>
      <c r="G413">
        <f t="shared" si="99"/>
        <v>4.6609784476459026E-8</v>
      </c>
      <c r="L413" s="7">
        <f t="shared" si="93"/>
        <v>4.9720262030229161E-2</v>
      </c>
      <c r="M413" s="7">
        <f t="shared" si="94"/>
        <v>4.9720262030229168E-2</v>
      </c>
      <c r="N413" s="20">
        <f t="shared" si="88"/>
        <v>4.9720262030229168E-2</v>
      </c>
      <c r="O413">
        <f t="shared" si="95"/>
        <v>5.8207660913467407E-10</v>
      </c>
      <c r="P413">
        <f t="shared" si="96"/>
        <v>-3.4924596548080444E-10</v>
      </c>
      <c r="Q413">
        <f t="shared" si="97"/>
        <v>-3.4924596548080444E-10</v>
      </c>
    </row>
    <row r="414" spans="2:17" x14ac:dyDescent="0.25">
      <c r="B414" s="18">
        <f t="shared" si="89"/>
        <v>1.584452641983925E-4</v>
      </c>
      <c r="C414" s="18">
        <f t="shared" si="90"/>
        <v>1.5844526419839253E-4</v>
      </c>
      <c r="D414" s="18">
        <f t="shared" si="91"/>
        <v>1.584452641983925E-4</v>
      </c>
      <c r="E414">
        <f t="shared" si="92"/>
        <v>4.6609784476459026E-8</v>
      </c>
      <c r="F414">
        <f t="shared" si="98"/>
        <v>-9.4369170255959034E-9</v>
      </c>
      <c r="G414">
        <f t="shared" si="99"/>
        <v>4.6609784476459026E-8</v>
      </c>
      <c r="L414" s="7">
        <f t="shared" si="93"/>
        <v>4.9720262030229161E-2</v>
      </c>
      <c r="M414" s="7">
        <f t="shared" si="94"/>
        <v>4.9720262030229168E-2</v>
      </c>
      <c r="N414" s="20">
        <f t="shared" si="88"/>
        <v>4.9720262030229168E-2</v>
      </c>
      <c r="O414">
        <f t="shared" si="95"/>
        <v>5.8207660913467407E-10</v>
      </c>
      <c r="P414">
        <f t="shared" si="96"/>
        <v>-3.4924596548080444E-10</v>
      </c>
      <c r="Q414">
        <f t="shared" si="97"/>
        <v>-3.4924596548080444E-10</v>
      </c>
    </row>
    <row r="415" spans="2:17" x14ac:dyDescent="0.25">
      <c r="B415" s="18">
        <f t="shared" si="89"/>
        <v>1.584452641983925E-4</v>
      </c>
      <c r="C415" s="18">
        <f t="shared" si="90"/>
        <v>1.5844526419839253E-4</v>
      </c>
      <c r="D415" s="18">
        <f t="shared" si="91"/>
        <v>1.584452641983925E-4</v>
      </c>
      <c r="E415">
        <f t="shared" si="92"/>
        <v>4.6609784476459026E-8</v>
      </c>
      <c r="F415">
        <f t="shared" si="98"/>
        <v>-9.4369170255959034E-9</v>
      </c>
      <c r="G415">
        <f t="shared" si="99"/>
        <v>4.6609784476459026E-8</v>
      </c>
      <c r="L415" s="7">
        <f t="shared" si="93"/>
        <v>4.9720262030229161E-2</v>
      </c>
      <c r="M415" s="7">
        <f t="shared" si="94"/>
        <v>4.9720262030229168E-2</v>
      </c>
      <c r="N415" s="20">
        <f t="shared" si="88"/>
        <v>4.9720262030229168E-2</v>
      </c>
      <c r="O415">
        <f t="shared" si="95"/>
        <v>5.8207660913467407E-10</v>
      </c>
      <c r="P415">
        <f t="shared" si="96"/>
        <v>-3.4924596548080444E-10</v>
      </c>
      <c r="Q415">
        <f t="shared" si="97"/>
        <v>-3.4924596548080444E-10</v>
      </c>
    </row>
    <row r="416" spans="2:17" x14ac:dyDescent="0.25">
      <c r="B416" s="18">
        <f t="shared" si="89"/>
        <v>1.584452641983925E-4</v>
      </c>
      <c r="C416" s="18">
        <f t="shared" si="90"/>
        <v>1.5844526419839253E-4</v>
      </c>
      <c r="D416" s="18">
        <f t="shared" si="91"/>
        <v>1.584452641983925E-4</v>
      </c>
      <c r="E416">
        <f t="shared" si="92"/>
        <v>4.6609784476459026E-8</v>
      </c>
      <c r="F416">
        <f t="shared" si="98"/>
        <v>-9.4369170255959034E-9</v>
      </c>
      <c r="G416">
        <f t="shared" si="99"/>
        <v>4.6609784476459026E-8</v>
      </c>
      <c r="L416" s="7">
        <f t="shared" si="93"/>
        <v>4.9720262030229161E-2</v>
      </c>
      <c r="M416" s="7">
        <f t="shared" si="94"/>
        <v>4.9720262030229168E-2</v>
      </c>
      <c r="N416" s="20">
        <f t="shared" si="88"/>
        <v>4.9720262030229168E-2</v>
      </c>
      <c r="O416">
        <f t="shared" si="95"/>
        <v>5.8207660913467407E-10</v>
      </c>
      <c r="P416">
        <f t="shared" si="96"/>
        <v>-3.4924596548080444E-10</v>
      </c>
      <c r="Q416">
        <f t="shared" si="97"/>
        <v>-3.4924596548080444E-10</v>
      </c>
    </row>
    <row r="417" spans="2:17" x14ac:dyDescent="0.25">
      <c r="B417" s="18">
        <f t="shared" si="89"/>
        <v>1.584452641983925E-4</v>
      </c>
      <c r="C417" s="18">
        <f t="shared" si="90"/>
        <v>1.5844526419839253E-4</v>
      </c>
      <c r="D417" s="18">
        <f t="shared" si="91"/>
        <v>1.584452641983925E-4</v>
      </c>
      <c r="E417">
        <f t="shared" si="92"/>
        <v>4.6609784476459026E-8</v>
      </c>
      <c r="F417">
        <f t="shared" si="98"/>
        <v>-9.4369170255959034E-9</v>
      </c>
      <c r="G417">
        <f t="shared" si="99"/>
        <v>4.6609784476459026E-8</v>
      </c>
      <c r="L417" s="7">
        <f t="shared" si="93"/>
        <v>4.9720262030229161E-2</v>
      </c>
      <c r="M417" s="7">
        <f t="shared" si="94"/>
        <v>4.9720262030229168E-2</v>
      </c>
      <c r="N417" s="20">
        <f t="shared" si="88"/>
        <v>4.9720262030229168E-2</v>
      </c>
      <c r="O417">
        <f t="shared" si="95"/>
        <v>5.8207660913467407E-10</v>
      </c>
      <c r="P417">
        <f t="shared" si="96"/>
        <v>-3.4924596548080444E-10</v>
      </c>
      <c r="Q417">
        <f t="shared" si="97"/>
        <v>-3.4924596548080444E-10</v>
      </c>
    </row>
    <row r="418" spans="2:17" x14ac:dyDescent="0.25">
      <c r="B418" s="18">
        <f t="shared" si="89"/>
        <v>1.584452641983925E-4</v>
      </c>
      <c r="C418" s="18">
        <f t="shared" si="90"/>
        <v>1.5844526419839253E-4</v>
      </c>
      <c r="D418" s="18">
        <f t="shared" si="91"/>
        <v>1.584452641983925E-4</v>
      </c>
      <c r="E418">
        <f t="shared" si="92"/>
        <v>4.6609784476459026E-8</v>
      </c>
      <c r="F418">
        <f t="shared" si="98"/>
        <v>-9.4369170255959034E-9</v>
      </c>
      <c r="G418">
        <f t="shared" si="99"/>
        <v>4.6609784476459026E-8</v>
      </c>
      <c r="L418" s="7">
        <f t="shared" si="93"/>
        <v>4.9720262030229161E-2</v>
      </c>
      <c r="M418" s="7">
        <f t="shared" si="94"/>
        <v>4.9720262030229168E-2</v>
      </c>
      <c r="N418" s="20">
        <f t="shared" si="88"/>
        <v>4.9720262030229168E-2</v>
      </c>
      <c r="O418">
        <f t="shared" si="95"/>
        <v>5.8207660913467407E-10</v>
      </c>
      <c r="P418">
        <f t="shared" si="96"/>
        <v>-3.4924596548080444E-10</v>
      </c>
      <c r="Q418">
        <f t="shared" si="97"/>
        <v>-3.4924596548080444E-10</v>
      </c>
    </row>
    <row r="419" spans="2:17" x14ac:dyDescent="0.25">
      <c r="B419" s="18">
        <f t="shared" si="89"/>
        <v>1.584452641983925E-4</v>
      </c>
      <c r="C419" s="18">
        <f t="shared" si="90"/>
        <v>1.5844526419839253E-4</v>
      </c>
      <c r="D419" s="18">
        <f t="shared" si="91"/>
        <v>1.584452641983925E-4</v>
      </c>
      <c r="E419">
        <f t="shared" si="92"/>
        <v>4.6609784476459026E-8</v>
      </c>
      <c r="F419">
        <f t="shared" si="98"/>
        <v>-9.4369170255959034E-9</v>
      </c>
      <c r="G419">
        <f t="shared" si="99"/>
        <v>4.6609784476459026E-8</v>
      </c>
      <c r="L419" s="7">
        <f t="shared" si="93"/>
        <v>4.9720262030229161E-2</v>
      </c>
      <c r="M419" s="7">
        <f t="shared" si="94"/>
        <v>4.9720262030229168E-2</v>
      </c>
      <c r="N419" s="20">
        <f t="shared" si="88"/>
        <v>4.9720262030229168E-2</v>
      </c>
      <c r="O419">
        <f t="shared" si="95"/>
        <v>5.8207660913467407E-10</v>
      </c>
      <c r="P419">
        <f t="shared" si="96"/>
        <v>-3.4924596548080444E-10</v>
      </c>
      <c r="Q419">
        <f t="shared" si="97"/>
        <v>-3.4924596548080444E-10</v>
      </c>
    </row>
    <row r="420" spans="2:17" x14ac:dyDescent="0.25">
      <c r="B420" s="18">
        <f t="shared" si="89"/>
        <v>1.584452641983925E-4</v>
      </c>
      <c r="C420" s="18">
        <f t="shared" si="90"/>
        <v>1.5844526419839253E-4</v>
      </c>
      <c r="D420" s="18">
        <f t="shared" si="91"/>
        <v>1.584452641983925E-4</v>
      </c>
      <c r="E420">
        <f t="shared" si="92"/>
        <v>4.6609784476459026E-8</v>
      </c>
      <c r="F420">
        <f t="shared" si="98"/>
        <v>-9.4369170255959034E-9</v>
      </c>
      <c r="G420">
        <f t="shared" si="99"/>
        <v>4.6609784476459026E-8</v>
      </c>
      <c r="L420" s="7">
        <f t="shared" si="93"/>
        <v>4.9720262030229161E-2</v>
      </c>
      <c r="M420" s="7">
        <f t="shared" si="94"/>
        <v>4.9720262030229168E-2</v>
      </c>
      <c r="N420" s="20">
        <f t="shared" si="88"/>
        <v>4.9720262030229168E-2</v>
      </c>
      <c r="O420">
        <f t="shared" si="95"/>
        <v>5.8207660913467407E-10</v>
      </c>
      <c r="P420">
        <f t="shared" si="96"/>
        <v>-3.4924596548080444E-10</v>
      </c>
      <c r="Q420">
        <f t="shared" si="97"/>
        <v>-3.4924596548080444E-10</v>
      </c>
    </row>
    <row r="421" spans="2:17" x14ac:dyDescent="0.25">
      <c r="B421" s="18">
        <f t="shared" si="89"/>
        <v>1.584452641983925E-4</v>
      </c>
      <c r="C421" s="18">
        <f t="shared" si="90"/>
        <v>1.5844526419839253E-4</v>
      </c>
      <c r="D421" s="18">
        <f t="shared" si="91"/>
        <v>1.584452641983925E-4</v>
      </c>
      <c r="E421">
        <f t="shared" si="92"/>
        <v>4.6609784476459026E-8</v>
      </c>
      <c r="F421">
        <f t="shared" si="98"/>
        <v>-9.4369170255959034E-9</v>
      </c>
      <c r="G421">
        <f t="shared" si="99"/>
        <v>4.6609784476459026E-8</v>
      </c>
      <c r="L421" s="7">
        <f t="shared" si="93"/>
        <v>4.9720262030229161E-2</v>
      </c>
      <c r="M421" s="7">
        <f t="shared" si="94"/>
        <v>4.9720262030229168E-2</v>
      </c>
      <c r="N421" s="20">
        <f t="shared" si="88"/>
        <v>4.9720262030229168E-2</v>
      </c>
      <c r="O421">
        <f t="shared" si="95"/>
        <v>5.8207660913467407E-10</v>
      </c>
      <c r="P421">
        <f t="shared" si="96"/>
        <v>-3.4924596548080444E-10</v>
      </c>
      <c r="Q421">
        <f t="shared" si="97"/>
        <v>-3.4924596548080444E-10</v>
      </c>
    </row>
    <row r="422" spans="2:17" x14ac:dyDescent="0.25">
      <c r="B422" s="18">
        <f t="shared" si="89"/>
        <v>1.584452641983925E-4</v>
      </c>
      <c r="C422" s="18">
        <f t="shared" si="90"/>
        <v>1.5844526419839253E-4</v>
      </c>
      <c r="D422" s="18">
        <f t="shared" si="91"/>
        <v>1.584452641983925E-4</v>
      </c>
      <c r="E422">
        <f t="shared" si="92"/>
        <v>4.6609784476459026E-8</v>
      </c>
      <c r="F422">
        <f t="shared" si="98"/>
        <v>-9.4369170255959034E-9</v>
      </c>
      <c r="G422">
        <f t="shared" si="99"/>
        <v>4.6609784476459026E-8</v>
      </c>
      <c r="L422" s="7">
        <f t="shared" si="93"/>
        <v>4.9720262030229161E-2</v>
      </c>
      <c r="M422" s="7">
        <f t="shared" si="94"/>
        <v>4.9720262030229168E-2</v>
      </c>
      <c r="N422" s="20">
        <f t="shared" si="88"/>
        <v>4.9720262030229168E-2</v>
      </c>
      <c r="O422">
        <f t="shared" si="95"/>
        <v>5.8207660913467407E-10</v>
      </c>
      <c r="P422">
        <f t="shared" si="96"/>
        <v>-3.4924596548080444E-10</v>
      </c>
      <c r="Q422">
        <f t="shared" si="97"/>
        <v>-3.4924596548080444E-10</v>
      </c>
    </row>
    <row r="423" spans="2:17" x14ac:dyDescent="0.25">
      <c r="B423" s="18">
        <f t="shared" si="89"/>
        <v>1.584452641983925E-4</v>
      </c>
      <c r="C423" s="18">
        <f t="shared" si="90"/>
        <v>1.5844526419839253E-4</v>
      </c>
      <c r="D423" s="18">
        <f t="shared" si="91"/>
        <v>1.584452641983925E-4</v>
      </c>
      <c r="E423">
        <f t="shared" si="92"/>
        <v>4.6609784476459026E-8</v>
      </c>
      <c r="F423">
        <f t="shared" si="98"/>
        <v>-9.4369170255959034E-9</v>
      </c>
      <c r="G423">
        <f t="shared" si="99"/>
        <v>4.6609784476459026E-8</v>
      </c>
      <c r="L423" s="7">
        <f t="shared" si="93"/>
        <v>4.9720262030229161E-2</v>
      </c>
      <c r="M423" s="7">
        <f t="shared" si="94"/>
        <v>4.9720262030229168E-2</v>
      </c>
      <c r="N423" s="20">
        <f t="shared" si="88"/>
        <v>4.9720262030229168E-2</v>
      </c>
      <c r="O423">
        <f t="shared" si="95"/>
        <v>5.8207660913467407E-10</v>
      </c>
      <c r="P423">
        <f t="shared" si="96"/>
        <v>-3.4924596548080444E-10</v>
      </c>
      <c r="Q423">
        <f t="shared" si="97"/>
        <v>-3.4924596548080444E-10</v>
      </c>
    </row>
    <row r="424" spans="2:17" x14ac:dyDescent="0.25">
      <c r="B424" s="18">
        <f t="shared" si="89"/>
        <v>1.584452641983925E-4</v>
      </c>
      <c r="C424" s="18">
        <f t="shared" si="90"/>
        <v>1.5844526419839253E-4</v>
      </c>
      <c r="D424" s="18">
        <f t="shared" si="91"/>
        <v>1.584452641983925E-4</v>
      </c>
      <c r="E424">
        <f t="shared" si="92"/>
        <v>4.6609784476459026E-8</v>
      </c>
      <c r="F424">
        <f t="shared" si="98"/>
        <v>-9.4369170255959034E-9</v>
      </c>
      <c r="G424">
        <f t="shared" si="99"/>
        <v>4.6609784476459026E-8</v>
      </c>
      <c r="L424" s="7">
        <f t="shared" si="93"/>
        <v>4.9720262030229161E-2</v>
      </c>
      <c r="M424" s="7">
        <f t="shared" si="94"/>
        <v>4.9720262030229168E-2</v>
      </c>
      <c r="N424" s="20">
        <f t="shared" si="88"/>
        <v>4.9720262030229168E-2</v>
      </c>
      <c r="O424">
        <f t="shared" si="95"/>
        <v>5.8207660913467407E-10</v>
      </c>
      <c r="P424">
        <f t="shared" si="96"/>
        <v>-3.4924596548080444E-10</v>
      </c>
      <c r="Q424">
        <f t="shared" si="97"/>
        <v>-3.4924596548080444E-10</v>
      </c>
    </row>
    <row r="425" spans="2:17" x14ac:dyDescent="0.25">
      <c r="B425" s="18">
        <f t="shared" si="89"/>
        <v>1.584452641983925E-4</v>
      </c>
      <c r="C425" s="18">
        <f t="shared" si="90"/>
        <v>1.5844526419839253E-4</v>
      </c>
      <c r="D425" s="18">
        <f t="shared" si="91"/>
        <v>1.584452641983925E-4</v>
      </c>
      <c r="E425">
        <f t="shared" si="92"/>
        <v>4.6609784476459026E-8</v>
      </c>
      <c r="F425">
        <f t="shared" si="98"/>
        <v>-9.4369170255959034E-9</v>
      </c>
      <c r="G425">
        <f t="shared" si="99"/>
        <v>4.6609784476459026E-8</v>
      </c>
      <c r="L425" s="7">
        <f t="shared" si="93"/>
        <v>4.9720262030229161E-2</v>
      </c>
      <c r="M425" s="7">
        <f t="shared" si="94"/>
        <v>4.9720262030229168E-2</v>
      </c>
      <c r="N425" s="20">
        <f t="shared" si="88"/>
        <v>4.9720262030229168E-2</v>
      </c>
      <c r="O425">
        <f t="shared" si="95"/>
        <v>5.8207660913467407E-10</v>
      </c>
      <c r="P425">
        <f t="shared" si="96"/>
        <v>-3.4924596548080444E-10</v>
      </c>
      <c r="Q425">
        <f t="shared" si="97"/>
        <v>-3.4924596548080444E-10</v>
      </c>
    </row>
    <row r="426" spans="2:17" x14ac:dyDescent="0.25">
      <c r="B426" s="18">
        <f t="shared" si="89"/>
        <v>1.584452641983925E-4</v>
      </c>
      <c r="C426" s="18">
        <f t="shared" si="90"/>
        <v>1.5844526419839253E-4</v>
      </c>
      <c r="D426" s="18">
        <f t="shared" si="91"/>
        <v>1.584452641983925E-4</v>
      </c>
      <c r="E426">
        <f t="shared" si="92"/>
        <v>4.6609784476459026E-8</v>
      </c>
      <c r="F426">
        <f t="shared" si="98"/>
        <v>-9.4369170255959034E-9</v>
      </c>
      <c r="G426">
        <f t="shared" si="99"/>
        <v>4.6609784476459026E-8</v>
      </c>
      <c r="L426" s="7">
        <f t="shared" si="93"/>
        <v>4.9720262030229161E-2</v>
      </c>
      <c r="M426" s="7">
        <f t="shared" si="94"/>
        <v>4.9720262030229168E-2</v>
      </c>
      <c r="N426" s="20">
        <f t="shared" si="88"/>
        <v>4.9720262030229168E-2</v>
      </c>
      <c r="O426">
        <f t="shared" si="95"/>
        <v>5.8207660913467407E-10</v>
      </c>
      <c r="P426">
        <f t="shared" si="96"/>
        <v>-3.4924596548080444E-10</v>
      </c>
      <c r="Q426">
        <f t="shared" si="97"/>
        <v>-3.4924596548080444E-10</v>
      </c>
    </row>
    <row r="427" spans="2:17" x14ac:dyDescent="0.25">
      <c r="B427" s="18">
        <f t="shared" si="89"/>
        <v>1.584452641983925E-4</v>
      </c>
      <c r="C427" s="18">
        <f t="shared" si="90"/>
        <v>1.5844526419839253E-4</v>
      </c>
      <c r="D427" s="18">
        <f t="shared" si="91"/>
        <v>1.584452641983925E-4</v>
      </c>
      <c r="E427">
        <f t="shared" si="92"/>
        <v>4.6609784476459026E-8</v>
      </c>
      <c r="F427">
        <f t="shared" si="98"/>
        <v>-9.4369170255959034E-9</v>
      </c>
      <c r="G427">
        <f t="shared" si="99"/>
        <v>4.6609784476459026E-8</v>
      </c>
      <c r="L427" s="7">
        <f t="shared" si="93"/>
        <v>4.9720262030229161E-2</v>
      </c>
      <c r="M427" s="7">
        <f t="shared" si="94"/>
        <v>4.9720262030229168E-2</v>
      </c>
      <c r="N427" s="20">
        <f t="shared" si="88"/>
        <v>4.9720262030229168E-2</v>
      </c>
      <c r="O427">
        <f t="shared" si="95"/>
        <v>5.8207660913467407E-10</v>
      </c>
      <c r="P427">
        <f t="shared" si="96"/>
        <v>-3.4924596548080444E-10</v>
      </c>
      <c r="Q427">
        <f t="shared" si="97"/>
        <v>-3.4924596548080444E-10</v>
      </c>
    </row>
    <row r="428" spans="2:17" x14ac:dyDescent="0.25">
      <c r="B428" s="18">
        <f t="shared" si="89"/>
        <v>1.584452641983925E-4</v>
      </c>
      <c r="C428" s="18">
        <f t="shared" si="90"/>
        <v>1.5844526419839253E-4</v>
      </c>
      <c r="D428" s="18">
        <f t="shared" si="91"/>
        <v>1.584452641983925E-4</v>
      </c>
      <c r="E428">
        <f t="shared" si="92"/>
        <v>4.6609784476459026E-8</v>
      </c>
      <c r="F428">
        <f t="shared" si="98"/>
        <v>-9.4369170255959034E-9</v>
      </c>
      <c r="G428">
        <f t="shared" si="99"/>
        <v>4.6609784476459026E-8</v>
      </c>
      <c r="L428" s="7">
        <f t="shared" si="93"/>
        <v>4.9720262030229161E-2</v>
      </c>
      <c r="M428" s="7">
        <f t="shared" si="94"/>
        <v>4.9720262030229168E-2</v>
      </c>
      <c r="N428" s="20">
        <f t="shared" si="88"/>
        <v>4.9720262030229168E-2</v>
      </c>
      <c r="O428">
        <f t="shared" si="95"/>
        <v>5.8207660913467407E-10</v>
      </c>
      <c r="P428">
        <f t="shared" si="96"/>
        <v>-3.4924596548080444E-10</v>
      </c>
      <c r="Q428">
        <f t="shared" si="97"/>
        <v>-3.4924596548080444E-10</v>
      </c>
    </row>
    <row r="429" spans="2:17" x14ac:dyDescent="0.25">
      <c r="B429" s="18">
        <f t="shared" si="89"/>
        <v>1.584452641983925E-4</v>
      </c>
      <c r="C429" s="18">
        <f t="shared" si="90"/>
        <v>1.5844526419839253E-4</v>
      </c>
      <c r="D429" s="18">
        <f t="shared" si="91"/>
        <v>1.584452641983925E-4</v>
      </c>
      <c r="E429">
        <f t="shared" si="92"/>
        <v>4.6609784476459026E-8</v>
      </c>
      <c r="F429">
        <f t="shared" si="98"/>
        <v>-9.4369170255959034E-9</v>
      </c>
      <c r="G429">
        <f t="shared" si="99"/>
        <v>4.6609784476459026E-8</v>
      </c>
      <c r="L429" s="7">
        <f t="shared" si="93"/>
        <v>4.9720262030229161E-2</v>
      </c>
      <c r="M429" s="7">
        <f t="shared" si="94"/>
        <v>4.9720262030229168E-2</v>
      </c>
      <c r="N429" s="20">
        <f t="shared" si="88"/>
        <v>4.9720262030229168E-2</v>
      </c>
      <c r="O429">
        <f t="shared" si="95"/>
        <v>5.8207660913467407E-10</v>
      </c>
      <c r="P429">
        <f t="shared" si="96"/>
        <v>-3.4924596548080444E-10</v>
      </c>
      <c r="Q429">
        <f t="shared" si="97"/>
        <v>-3.4924596548080444E-10</v>
      </c>
    </row>
    <row r="430" spans="2:17" x14ac:dyDescent="0.25">
      <c r="B430" s="18">
        <f t="shared" si="89"/>
        <v>1.584452641983925E-4</v>
      </c>
      <c r="C430" s="18">
        <f t="shared" si="90"/>
        <v>1.5844526419839253E-4</v>
      </c>
      <c r="D430" s="18">
        <f t="shared" si="91"/>
        <v>1.584452641983925E-4</v>
      </c>
      <c r="E430">
        <f t="shared" si="92"/>
        <v>4.6609784476459026E-8</v>
      </c>
      <c r="F430">
        <f t="shared" si="98"/>
        <v>-9.4369170255959034E-9</v>
      </c>
      <c r="G430">
        <f t="shared" si="99"/>
        <v>4.6609784476459026E-8</v>
      </c>
      <c r="L430" s="7">
        <f t="shared" si="93"/>
        <v>4.9720262030229161E-2</v>
      </c>
      <c r="M430" s="7">
        <f t="shared" si="94"/>
        <v>4.9720262030229168E-2</v>
      </c>
      <c r="N430" s="20">
        <f t="shared" si="88"/>
        <v>4.9720262030229168E-2</v>
      </c>
      <c r="O430">
        <f t="shared" si="95"/>
        <v>5.8207660913467407E-10</v>
      </c>
      <c r="P430">
        <f t="shared" si="96"/>
        <v>-3.4924596548080444E-10</v>
      </c>
      <c r="Q430">
        <f t="shared" si="97"/>
        <v>-3.4924596548080444E-10</v>
      </c>
    </row>
    <row r="431" spans="2:17" x14ac:dyDescent="0.25">
      <c r="B431" s="18">
        <f t="shared" si="89"/>
        <v>1.584452641983925E-4</v>
      </c>
      <c r="C431" s="18">
        <f t="shared" si="90"/>
        <v>1.5844526419839253E-4</v>
      </c>
      <c r="D431" s="18">
        <f t="shared" si="91"/>
        <v>1.584452641983925E-4</v>
      </c>
      <c r="E431">
        <f t="shared" si="92"/>
        <v>4.6609784476459026E-8</v>
      </c>
      <c r="F431">
        <f t="shared" si="98"/>
        <v>-9.4369170255959034E-9</v>
      </c>
      <c r="G431">
        <f t="shared" si="99"/>
        <v>4.6609784476459026E-8</v>
      </c>
      <c r="L431" s="7">
        <f t="shared" si="93"/>
        <v>4.9720262030229161E-2</v>
      </c>
      <c r="M431" s="7">
        <f t="shared" si="94"/>
        <v>4.9720262030229168E-2</v>
      </c>
      <c r="N431" s="20">
        <f t="shared" si="88"/>
        <v>4.9720262030229168E-2</v>
      </c>
      <c r="O431">
        <f t="shared" si="95"/>
        <v>5.8207660913467407E-10</v>
      </c>
      <c r="P431">
        <f t="shared" si="96"/>
        <v>-3.4924596548080444E-10</v>
      </c>
      <c r="Q431">
        <f t="shared" si="97"/>
        <v>-3.4924596548080444E-10</v>
      </c>
    </row>
    <row r="432" spans="2:17" x14ac:dyDescent="0.25">
      <c r="B432" s="18">
        <f t="shared" si="89"/>
        <v>1.584452641983925E-4</v>
      </c>
      <c r="C432" s="18">
        <f t="shared" si="90"/>
        <v>1.5844526419839253E-4</v>
      </c>
      <c r="D432" s="18">
        <f t="shared" si="91"/>
        <v>1.584452641983925E-4</v>
      </c>
      <c r="E432">
        <f t="shared" si="92"/>
        <v>4.6609784476459026E-8</v>
      </c>
      <c r="F432">
        <f t="shared" si="98"/>
        <v>-9.4369170255959034E-9</v>
      </c>
      <c r="G432">
        <f t="shared" si="99"/>
        <v>4.6609784476459026E-8</v>
      </c>
      <c r="L432" s="7">
        <f t="shared" si="93"/>
        <v>4.9720262030229161E-2</v>
      </c>
      <c r="M432" s="7">
        <f t="shared" si="94"/>
        <v>4.9720262030229168E-2</v>
      </c>
      <c r="N432" s="20">
        <f t="shared" si="88"/>
        <v>4.9720262030229168E-2</v>
      </c>
      <c r="O432">
        <f t="shared" si="95"/>
        <v>5.8207660913467407E-10</v>
      </c>
      <c r="P432">
        <f t="shared" si="96"/>
        <v>-3.4924596548080444E-10</v>
      </c>
      <c r="Q432">
        <f t="shared" si="97"/>
        <v>-3.4924596548080444E-10</v>
      </c>
    </row>
    <row r="433" spans="2:17" x14ac:dyDescent="0.25">
      <c r="B433" s="18">
        <f t="shared" si="89"/>
        <v>1.584452641983925E-4</v>
      </c>
      <c r="C433" s="18">
        <f t="shared" si="90"/>
        <v>1.5844526419839253E-4</v>
      </c>
      <c r="D433" s="18">
        <f t="shared" si="91"/>
        <v>1.584452641983925E-4</v>
      </c>
      <c r="E433">
        <f t="shared" si="92"/>
        <v>4.6609784476459026E-8</v>
      </c>
      <c r="F433">
        <f t="shared" si="98"/>
        <v>-9.4369170255959034E-9</v>
      </c>
      <c r="G433">
        <f t="shared" si="99"/>
        <v>4.6609784476459026E-8</v>
      </c>
      <c r="L433" s="7">
        <f t="shared" si="93"/>
        <v>4.9720262030229161E-2</v>
      </c>
      <c r="M433" s="7">
        <f t="shared" si="94"/>
        <v>4.9720262030229168E-2</v>
      </c>
      <c r="N433" s="20">
        <f t="shared" si="88"/>
        <v>4.9720262030229168E-2</v>
      </c>
      <c r="O433">
        <f t="shared" si="95"/>
        <v>5.8207660913467407E-10</v>
      </c>
      <c r="P433">
        <f t="shared" si="96"/>
        <v>-3.4924596548080444E-10</v>
      </c>
      <c r="Q433">
        <f t="shared" si="97"/>
        <v>-3.4924596548080444E-10</v>
      </c>
    </row>
    <row r="434" spans="2:17" x14ac:dyDescent="0.25">
      <c r="B434" s="18">
        <f t="shared" si="89"/>
        <v>1.584452641983925E-4</v>
      </c>
      <c r="C434" s="18">
        <f t="shared" si="90"/>
        <v>1.5844526419839253E-4</v>
      </c>
      <c r="D434" s="18">
        <f t="shared" si="91"/>
        <v>1.584452641983925E-4</v>
      </c>
      <c r="E434">
        <f t="shared" si="92"/>
        <v>4.6609784476459026E-8</v>
      </c>
      <c r="F434">
        <f t="shared" si="98"/>
        <v>-9.4369170255959034E-9</v>
      </c>
      <c r="G434">
        <f t="shared" si="99"/>
        <v>4.6609784476459026E-8</v>
      </c>
      <c r="L434" s="7">
        <f t="shared" si="93"/>
        <v>4.9720262030229161E-2</v>
      </c>
      <c r="M434" s="7">
        <f t="shared" si="94"/>
        <v>4.9720262030229168E-2</v>
      </c>
      <c r="N434" s="20">
        <f t="shared" si="88"/>
        <v>4.9720262030229168E-2</v>
      </c>
      <c r="O434">
        <f t="shared" si="95"/>
        <v>5.8207660913467407E-10</v>
      </c>
      <c r="P434">
        <f t="shared" si="96"/>
        <v>-3.4924596548080444E-10</v>
      </c>
      <c r="Q434">
        <f t="shared" si="97"/>
        <v>-3.4924596548080444E-10</v>
      </c>
    </row>
    <row r="435" spans="2:17" x14ac:dyDescent="0.25">
      <c r="B435" s="18">
        <f t="shared" si="89"/>
        <v>1.584452641983925E-4</v>
      </c>
      <c r="C435" s="18">
        <f t="shared" si="90"/>
        <v>1.5844526419839253E-4</v>
      </c>
      <c r="D435" s="18">
        <f t="shared" si="91"/>
        <v>1.584452641983925E-4</v>
      </c>
      <c r="E435">
        <f t="shared" si="92"/>
        <v>4.6609784476459026E-8</v>
      </c>
      <c r="F435">
        <f t="shared" si="98"/>
        <v>-9.4369170255959034E-9</v>
      </c>
      <c r="G435">
        <f t="shared" si="99"/>
        <v>4.6609784476459026E-8</v>
      </c>
      <c r="L435" s="7">
        <f t="shared" si="93"/>
        <v>4.9720262030229161E-2</v>
      </c>
      <c r="M435" s="7">
        <f t="shared" si="94"/>
        <v>4.9720262030229168E-2</v>
      </c>
      <c r="N435" s="20">
        <f t="shared" si="88"/>
        <v>4.9720262030229168E-2</v>
      </c>
      <c r="O435">
        <f t="shared" si="95"/>
        <v>5.8207660913467407E-10</v>
      </c>
      <c r="P435">
        <f t="shared" si="96"/>
        <v>-3.4924596548080444E-10</v>
      </c>
      <c r="Q435">
        <f t="shared" si="97"/>
        <v>-3.4924596548080444E-10</v>
      </c>
    </row>
    <row r="436" spans="2:17" x14ac:dyDescent="0.25">
      <c r="B436" s="18">
        <f t="shared" si="89"/>
        <v>1.584452641983925E-4</v>
      </c>
      <c r="C436" s="18">
        <f t="shared" si="90"/>
        <v>1.5844526419839253E-4</v>
      </c>
      <c r="D436" s="18">
        <f t="shared" si="91"/>
        <v>1.584452641983925E-4</v>
      </c>
      <c r="E436">
        <f t="shared" si="92"/>
        <v>4.6609784476459026E-8</v>
      </c>
      <c r="F436">
        <f t="shared" si="98"/>
        <v>-9.4369170255959034E-9</v>
      </c>
      <c r="G436">
        <f t="shared" si="99"/>
        <v>4.6609784476459026E-8</v>
      </c>
      <c r="L436" s="7">
        <f t="shared" si="93"/>
        <v>4.9720262030229161E-2</v>
      </c>
      <c r="M436" s="7">
        <f t="shared" si="94"/>
        <v>4.9720262030229168E-2</v>
      </c>
      <c r="N436" s="20">
        <f t="shared" si="88"/>
        <v>4.9720262030229168E-2</v>
      </c>
      <c r="O436">
        <f t="shared" si="95"/>
        <v>5.8207660913467407E-10</v>
      </c>
      <c r="P436">
        <f t="shared" si="96"/>
        <v>-3.4924596548080444E-10</v>
      </c>
      <c r="Q436">
        <f t="shared" si="97"/>
        <v>-3.4924596548080444E-10</v>
      </c>
    </row>
    <row r="437" spans="2:17" x14ac:dyDescent="0.25">
      <c r="B437" s="18">
        <f t="shared" si="89"/>
        <v>1.584452641983925E-4</v>
      </c>
      <c r="C437" s="18">
        <f t="shared" si="90"/>
        <v>1.5844526419839253E-4</v>
      </c>
      <c r="D437" s="18">
        <f t="shared" si="91"/>
        <v>1.584452641983925E-4</v>
      </c>
      <c r="E437">
        <f t="shared" si="92"/>
        <v>4.6609784476459026E-8</v>
      </c>
      <c r="F437">
        <f t="shared" si="98"/>
        <v>-9.4369170255959034E-9</v>
      </c>
      <c r="G437">
        <f t="shared" si="99"/>
        <v>4.6609784476459026E-8</v>
      </c>
      <c r="L437" s="7">
        <f t="shared" si="93"/>
        <v>4.9720262030229161E-2</v>
      </c>
      <c r="M437" s="7">
        <f t="shared" si="94"/>
        <v>4.9720262030229168E-2</v>
      </c>
      <c r="N437" s="20">
        <f t="shared" si="88"/>
        <v>4.9720262030229168E-2</v>
      </c>
      <c r="O437">
        <f t="shared" si="95"/>
        <v>5.8207660913467407E-10</v>
      </c>
      <c r="P437">
        <f t="shared" si="96"/>
        <v>-3.4924596548080444E-10</v>
      </c>
      <c r="Q437">
        <f t="shared" si="97"/>
        <v>-3.4924596548080444E-10</v>
      </c>
    </row>
    <row r="438" spans="2:17" x14ac:dyDescent="0.25">
      <c r="B438" s="18">
        <f t="shared" si="89"/>
        <v>1.584452641983925E-4</v>
      </c>
      <c r="C438" s="18">
        <f t="shared" si="90"/>
        <v>1.5844526419839253E-4</v>
      </c>
      <c r="D438" s="18">
        <f t="shared" si="91"/>
        <v>1.584452641983925E-4</v>
      </c>
      <c r="E438">
        <f t="shared" si="92"/>
        <v>4.6609784476459026E-8</v>
      </c>
      <c r="F438">
        <f t="shared" si="98"/>
        <v>-9.4369170255959034E-9</v>
      </c>
      <c r="G438">
        <f t="shared" si="99"/>
        <v>4.6609784476459026E-8</v>
      </c>
      <c r="L438" s="7">
        <f t="shared" si="93"/>
        <v>4.9720262030229161E-2</v>
      </c>
      <c r="M438" s="7">
        <f t="shared" si="94"/>
        <v>4.9720262030229168E-2</v>
      </c>
      <c r="N438" s="20">
        <f t="shared" si="88"/>
        <v>4.9720262030229168E-2</v>
      </c>
      <c r="O438">
        <f t="shared" si="95"/>
        <v>5.8207660913467407E-10</v>
      </c>
      <c r="P438">
        <f t="shared" si="96"/>
        <v>-3.4924596548080444E-10</v>
      </c>
      <c r="Q438">
        <f t="shared" si="97"/>
        <v>-3.4924596548080444E-10</v>
      </c>
    </row>
    <row r="439" spans="2:17" x14ac:dyDescent="0.25">
      <c r="B439" s="18">
        <f t="shared" si="89"/>
        <v>1.584452641983925E-4</v>
      </c>
      <c r="C439" s="18">
        <f t="shared" si="90"/>
        <v>1.5844526419839253E-4</v>
      </c>
      <c r="D439" s="18">
        <f t="shared" si="91"/>
        <v>1.584452641983925E-4</v>
      </c>
      <c r="E439">
        <f t="shared" si="92"/>
        <v>4.6609784476459026E-8</v>
      </c>
      <c r="F439">
        <f t="shared" si="98"/>
        <v>-9.4369170255959034E-9</v>
      </c>
      <c r="G439">
        <f t="shared" si="99"/>
        <v>4.6609784476459026E-8</v>
      </c>
      <c r="L439" s="7">
        <f t="shared" si="93"/>
        <v>4.9720262030229161E-2</v>
      </c>
      <c r="M439" s="7">
        <f t="shared" si="94"/>
        <v>4.9720262030229168E-2</v>
      </c>
      <c r="N439" s="20">
        <f t="shared" si="88"/>
        <v>4.9720262030229168E-2</v>
      </c>
      <c r="O439">
        <f t="shared" si="95"/>
        <v>5.8207660913467407E-10</v>
      </c>
      <c r="P439">
        <f t="shared" si="96"/>
        <v>-3.4924596548080444E-10</v>
      </c>
      <c r="Q439">
        <f t="shared" si="97"/>
        <v>-3.4924596548080444E-10</v>
      </c>
    </row>
    <row r="440" spans="2:17" x14ac:dyDescent="0.25">
      <c r="B440" s="18">
        <f t="shared" si="89"/>
        <v>1.584452641983925E-4</v>
      </c>
      <c r="C440" s="18">
        <f t="shared" si="90"/>
        <v>1.5844526419839253E-4</v>
      </c>
      <c r="D440" s="18">
        <f t="shared" si="91"/>
        <v>1.584452641983925E-4</v>
      </c>
      <c r="E440">
        <f t="shared" si="92"/>
        <v>4.6609784476459026E-8</v>
      </c>
      <c r="F440">
        <f t="shared" si="98"/>
        <v>-9.4369170255959034E-9</v>
      </c>
      <c r="G440">
        <f t="shared" si="99"/>
        <v>4.6609784476459026E-8</v>
      </c>
      <c r="L440" s="7">
        <f t="shared" si="93"/>
        <v>4.9720262030229161E-2</v>
      </c>
      <c r="M440" s="7">
        <f t="shared" si="94"/>
        <v>4.9720262030229168E-2</v>
      </c>
      <c r="N440" s="20">
        <f t="shared" si="88"/>
        <v>4.9720262030229168E-2</v>
      </c>
      <c r="O440">
        <f t="shared" si="95"/>
        <v>5.8207660913467407E-10</v>
      </c>
      <c r="P440">
        <f t="shared" si="96"/>
        <v>-3.4924596548080444E-10</v>
      </c>
      <c r="Q440">
        <f t="shared" si="97"/>
        <v>-3.4924596548080444E-10</v>
      </c>
    </row>
    <row r="441" spans="2:17" x14ac:dyDescent="0.25">
      <c r="B441" s="18">
        <f t="shared" si="89"/>
        <v>1.584452641983925E-4</v>
      </c>
      <c r="C441" s="18">
        <f t="shared" si="90"/>
        <v>1.5844526419839253E-4</v>
      </c>
      <c r="D441" s="18">
        <f t="shared" si="91"/>
        <v>1.584452641983925E-4</v>
      </c>
      <c r="E441">
        <f t="shared" si="92"/>
        <v>4.6609784476459026E-8</v>
      </c>
      <c r="F441">
        <f t="shared" si="98"/>
        <v>-9.4369170255959034E-9</v>
      </c>
      <c r="G441">
        <f t="shared" si="99"/>
        <v>4.6609784476459026E-8</v>
      </c>
      <c r="L441" s="7">
        <f t="shared" si="93"/>
        <v>4.9720262030229161E-2</v>
      </c>
      <c r="M441" s="7">
        <f t="shared" si="94"/>
        <v>4.9720262030229168E-2</v>
      </c>
      <c r="N441" s="20">
        <f t="shared" si="88"/>
        <v>4.9720262030229168E-2</v>
      </c>
      <c r="O441">
        <f t="shared" si="95"/>
        <v>5.8207660913467407E-10</v>
      </c>
      <c r="P441">
        <f t="shared" si="96"/>
        <v>-3.4924596548080444E-10</v>
      </c>
      <c r="Q441">
        <f t="shared" si="97"/>
        <v>-3.4924596548080444E-10</v>
      </c>
    </row>
    <row r="442" spans="2:17" x14ac:dyDescent="0.25">
      <c r="B442" s="18">
        <f t="shared" si="89"/>
        <v>1.584452641983925E-4</v>
      </c>
      <c r="C442" s="18">
        <f t="shared" si="90"/>
        <v>1.5844526419839253E-4</v>
      </c>
      <c r="D442" s="18">
        <f t="shared" si="91"/>
        <v>1.584452641983925E-4</v>
      </c>
      <c r="E442">
        <f t="shared" si="92"/>
        <v>4.6609784476459026E-8</v>
      </c>
      <c r="F442">
        <f t="shared" si="98"/>
        <v>-9.4369170255959034E-9</v>
      </c>
      <c r="G442">
        <f t="shared" si="99"/>
        <v>4.6609784476459026E-8</v>
      </c>
      <c r="L442" s="7">
        <f t="shared" si="93"/>
        <v>4.9720262030229161E-2</v>
      </c>
      <c r="M442" s="7">
        <f t="shared" si="94"/>
        <v>4.9720262030229168E-2</v>
      </c>
      <c r="N442" s="20">
        <f t="shared" si="88"/>
        <v>4.9720262030229168E-2</v>
      </c>
      <c r="O442">
        <f t="shared" si="95"/>
        <v>5.8207660913467407E-10</v>
      </c>
      <c r="P442">
        <f t="shared" si="96"/>
        <v>-3.4924596548080444E-10</v>
      </c>
      <c r="Q442">
        <f t="shared" si="97"/>
        <v>-3.4924596548080444E-10</v>
      </c>
    </row>
    <row r="443" spans="2:17" x14ac:dyDescent="0.25">
      <c r="B443" s="18">
        <f t="shared" si="89"/>
        <v>1.584452641983925E-4</v>
      </c>
      <c r="C443" s="18">
        <f t="shared" si="90"/>
        <v>1.5844526419839253E-4</v>
      </c>
      <c r="D443" s="18">
        <f t="shared" si="91"/>
        <v>1.584452641983925E-4</v>
      </c>
      <c r="E443">
        <f t="shared" si="92"/>
        <v>4.6609784476459026E-8</v>
      </c>
      <c r="F443">
        <f t="shared" si="98"/>
        <v>-9.4369170255959034E-9</v>
      </c>
      <c r="G443">
        <f t="shared" si="99"/>
        <v>4.6609784476459026E-8</v>
      </c>
      <c r="L443" s="7">
        <f t="shared" si="93"/>
        <v>4.9720262030229161E-2</v>
      </c>
      <c r="M443" s="7">
        <f t="shared" si="94"/>
        <v>4.9720262030229168E-2</v>
      </c>
      <c r="N443" s="20">
        <f t="shared" si="88"/>
        <v>4.9720262030229168E-2</v>
      </c>
      <c r="O443">
        <f t="shared" si="95"/>
        <v>5.8207660913467407E-10</v>
      </c>
      <c r="P443">
        <f t="shared" si="96"/>
        <v>-3.4924596548080444E-10</v>
      </c>
      <c r="Q443">
        <f t="shared" si="97"/>
        <v>-3.4924596548080444E-10</v>
      </c>
    </row>
    <row r="444" spans="2:17" x14ac:dyDescent="0.25">
      <c r="B444" s="18">
        <f t="shared" si="89"/>
        <v>1.584452641983925E-4</v>
      </c>
      <c r="C444" s="18">
        <f t="shared" si="90"/>
        <v>1.5844526419839253E-4</v>
      </c>
      <c r="D444" s="18">
        <f t="shared" si="91"/>
        <v>1.584452641983925E-4</v>
      </c>
      <c r="E444">
        <f t="shared" si="92"/>
        <v>4.6609784476459026E-8</v>
      </c>
      <c r="F444">
        <f t="shared" si="98"/>
        <v>-9.4369170255959034E-9</v>
      </c>
      <c r="G444">
        <f t="shared" si="99"/>
        <v>4.6609784476459026E-8</v>
      </c>
      <c r="L444" s="7">
        <f t="shared" si="93"/>
        <v>4.9720262030229161E-2</v>
      </c>
      <c r="M444" s="7">
        <f t="shared" si="94"/>
        <v>4.9720262030229168E-2</v>
      </c>
      <c r="N444" s="20">
        <f t="shared" si="88"/>
        <v>4.9720262030229168E-2</v>
      </c>
      <c r="O444">
        <f t="shared" si="95"/>
        <v>5.8207660913467407E-10</v>
      </c>
      <c r="P444">
        <f t="shared" si="96"/>
        <v>-3.4924596548080444E-10</v>
      </c>
      <c r="Q444">
        <f t="shared" si="97"/>
        <v>-3.4924596548080444E-10</v>
      </c>
    </row>
    <row r="445" spans="2:17" x14ac:dyDescent="0.25">
      <c r="B445" s="18">
        <f t="shared" si="89"/>
        <v>1.584452641983925E-4</v>
      </c>
      <c r="C445" s="18">
        <f t="shared" si="90"/>
        <v>1.5844526419839253E-4</v>
      </c>
      <c r="D445" s="18">
        <f t="shared" si="91"/>
        <v>1.584452641983925E-4</v>
      </c>
      <c r="E445">
        <f t="shared" si="92"/>
        <v>4.6609784476459026E-8</v>
      </c>
      <c r="F445">
        <f t="shared" si="98"/>
        <v>-9.4369170255959034E-9</v>
      </c>
      <c r="G445">
        <f t="shared" si="99"/>
        <v>4.6609784476459026E-8</v>
      </c>
      <c r="L445" s="7">
        <f t="shared" si="93"/>
        <v>4.9720262030229161E-2</v>
      </c>
      <c r="M445" s="7">
        <f t="shared" si="94"/>
        <v>4.9720262030229168E-2</v>
      </c>
      <c r="N445" s="20">
        <f t="shared" si="88"/>
        <v>4.9720262030229168E-2</v>
      </c>
      <c r="O445">
        <f t="shared" si="95"/>
        <v>5.8207660913467407E-10</v>
      </c>
      <c r="P445">
        <f t="shared" si="96"/>
        <v>-3.4924596548080444E-10</v>
      </c>
      <c r="Q445">
        <f t="shared" si="97"/>
        <v>-3.4924596548080444E-10</v>
      </c>
    </row>
    <row r="446" spans="2:17" x14ac:dyDescent="0.25">
      <c r="B446" s="18">
        <f t="shared" si="89"/>
        <v>1.584452641983925E-4</v>
      </c>
      <c r="C446" s="18">
        <f t="shared" si="90"/>
        <v>1.5844526419839253E-4</v>
      </c>
      <c r="D446" s="18">
        <f t="shared" si="91"/>
        <v>1.584452641983925E-4</v>
      </c>
      <c r="E446">
        <f t="shared" si="92"/>
        <v>4.6609784476459026E-8</v>
      </c>
      <c r="F446">
        <f t="shared" si="98"/>
        <v>-9.4369170255959034E-9</v>
      </c>
      <c r="G446">
        <f t="shared" si="99"/>
        <v>4.6609784476459026E-8</v>
      </c>
      <c r="L446" s="7">
        <f t="shared" si="93"/>
        <v>4.9720262030229161E-2</v>
      </c>
      <c r="M446" s="7">
        <f t="shared" si="94"/>
        <v>4.9720262030229168E-2</v>
      </c>
      <c r="N446" s="20">
        <f t="shared" si="88"/>
        <v>4.9720262030229168E-2</v>
      </c>
      <c r="O446">
        <f t="shared" si="95"/>
        <v>5.8207660913467407E-10</v>
      </c>
      <c r="P446">
        <f t="shared" si="96"/>
        <v>-3.4924596548080444E-10</v>
      </c>
      <c r="Q446">
        <f t="shared" si="97"/>
        <v>-3.4924596548080444E-10</v>
      </c>
    </row>
    <row r="447" spans="2:17" x14ac:dyDescent="0.25">
      <c r="B447" s="18">
        <f t="shared" si="89"/>
        <v>1.584452641983925E-4</v>
      </c>
      <c r="C447" s="18">
        <f t="shared" si="90"/>
        <v>1.5844526419839253E-4</v>
      </c>
      <c r="D447" s="18">
        <f t="shared" si="91"/>
        <v>1.584452641983925E-4</v>
      </c>
      <c r="E447">
        <f t="shared" si="92"/>
        <v>4.6609784476459026E-8</v>
      </c>
      <c r="F447">
        <f t="shared" si="98"/>
        <v>-9.4369170255959034E-9</v>
      </c>
      <c r="G447">
        <f t="shared" si="99"/>
        <v>4.6609784476459026E-8</v>
      </c>
      <c r="L447" s="7">
        <f t="shared" si="93"/>
        <v>4.9720262030229161E-2</v>
      </c>
      <c r="M447" s="7">
        <f t="shared" si="94"/>
        <v>4.9720262030229168E-2</v>
      </c>
      <c r="N447" s="20">
        <f t="shared" si="88"/>
        <v>4.9720262030229168E-2</v>
      </c>
      <c r="O447">
        <f t="shared" si="95"/>
        <v>5.8207660913467407E-10</v>
      </c>
      <c r="P447">
        <f t="shared" si="96"/>
        <v>-3.4924596548080444E-10</v>
      </c>
      <c r="Q447">
        <f t="shared" si="97"/>
        <v>-3.4924596548080444E-10</v>
      </c>
    </row>
    <row r="448" spans="2:17" x14ac:dyDescent="0.25">
      <c r="B448" s="18">
        <f t="shared" si="89"/>
        <v>1.584452641983925E-4</v>
      </c>
      <c r="C448" s="18">
        <f t="shared" si="90"/>
        <v>1.5844526419839253E-4</v>
      </c>
      <c r="D448" s="18">
        <f t="shared" si="91"/>
        <v>1.584452641983925E-4</v>
      </c>
      <c r="E448">
        <f t="shared" si="92"/>
        <v>4.6609784476459026E-8</v>
      </c>
      <c r="F448">
        <f t="shared" si="98"/>
        <v>-9.4369170255959034E-9</v>
      </c>
      <c r="G448">
        <f t="shared" si="99"/>
        <v>4.6609784476459026E-8</v>
      </c>
      <c r="L448" s="7">
        <f t="shared" si="93"/>
        <v>4.9720262030229161E-2</v>
      </c>
      <c r="M448" s="7">
        <f t="shared" si="94"/>
        <v>4.9720262030229168E-2</v>
      </c>
      <c r="N448" s="20">
        <f t="shared" si="88"/>
        <v>4.9720262030229168E-2</v>
      </c>
      <c r="O448">
        <f t="shared" si="95"/>
        <v>5.8207660913467407E-10</v>
      </c>
      <c r="P448">
        <f t="shared" si="96"/>
        <v>-3.4924596548080444E-10</v>
      </c>
      <c r="Q448">
        <f t="shared" si="97"/>
        <v>-3.4924596548080444E-10</v>
      </c>
    </row>
    <row r="449" spans="2:17" x14ac:dyDescent="0.25">
      <c r="B449" s="18">
        <f t="shared" si="89"/>
        <v>1.584452641983925E-4</v>
      </c>
      <c r="C449" s="18">
        <f t="shared" si="90"/>
        <v>1.5844526419839253E-4</v>
      </c>
      <c r="D449" s="18">
        <f t="shared" si="91"/>
        <v>1.584452641983925E-4</v>
      </c>
      <c r="E449">
        <f t="shared" si="92"/>
        <v>4.6609784476459026E-8</v>
      </c>
      <c r="F449">
        <f t="shared" si="98"/>
        <v>-9.4369170255959034E-9</v>
      </c>
      <c r="G449">
        <f t="shared" si="99"/>
        <v>4.6609784476459026E-8</v>
      </c>
      <c r="L449" s="7">
        <f t="shared" si="93"/>
        <v>4.9720262030229161E-2</v>
      </c>
      <c r="M449" s="7">
        <f t="shared" si="94"/>
        <v>4.9720262030229168E-2</v>
      </c>
      <c r="N449" s="20">
        <f t="shared" si="88"/>
        <v>4.9720262030229168E-2</v>
      </c>
      <c r="O449">
        <f t="shared" si="95"/>
        <v>5.8207660913467407E-10</v>
      </c>
      <c r="P449">
        <f t="shared" si="96"/>
        <v>-3.4924596548080444E-10</v>
      </c>
      <c r="Q449">
        <f t="shared" si="97"/>
        <v>-3.4924596548080444E-10</v>
      </c>
    </row>
    <row r="450" spans="2:17" x14ac:dyDescent="0.25">
      <c r="B450" s="18">
        <f t="shared" si="89"/>
        <v>1.584452641983925E-4</v>
      </c>
      <c r="C450" s="18">
        <f t="shared" si="90"/>
        <v>1.5844526419839253E-4</v>
      </c>
      <c r="D450" s="18">
        <f t="shared" si="91"/>
        <v>1.584452641983925E-4</v>
      </c>
      <c r="E450">
        <f t="shared" si="92"/>
        <v>4.6609784476459026E-8</v>
      </c>
      <c r="F450">
        <f t="shared" si="98"/>
        <v>-9.4369170255959034E-9</v>
      </c>
      <c r="G450">
        <f t="shared" si="99"/>
        <v>4.6609784476459026E-8</v>
      </c>
      <c r="L450" s="7">
        <f t="shared" si="93"/>
        <v>4.9720262030229161E-2</v>
      </c>
      <c r="M450" s="7">
        <f t="shared" si="94"/>
        <v>4.9720262030229168E-2</v>
      </c>
      <c r="N450" s="20">
        <f t="shared" si="88"/>
        <v>4.9720262030229168E-2</v>
      </c>
      <c r="O450">
        <f t="shared" si="95"/>
        <v>5.8207660913467407E-10</v>
      </c>
      <c r="P450">
        <f t="shared" si="96"/>
        <v>-3.4924596548080444E-10</v>
      </c>
      <c r="Q450">
        <f t="shared" si="97"/>
        <v>-3.4924596548080444E-10</v>
      </c>
    </row>
    <row r="451" spans="2:17" x14ac:dyDescent="0.25">
      <c r="B451" s="18">
        <f t="shared" si="89"/>
        <v>1.584452641983925E-4</v>
      </c>
      <c r="C451" s="18">
        <f t="shared" si="90"/>
        <v>1.5844526419839253E-4</v>
      </c>
      <c r="D451" s="18">
        <f t="shared" si="91"/>
        <v>1.584452641983925E-4</v>
      </c>
      <c r="E451">
        <f t="shared" si="92"/>
        <v>4.6609784476459026E-8</v>
      </c>
      <c r="F451">
        <f t="shared" si="98"/>
        <v>-9.4369170255959034E-9</v>
      </c>
      <c r="G451">
        <f t="shared" si="99"/>
        <v>4.6609784476459026E-8</v>
      </c>
      <c r="L451" s="7">
        <f t="shared" si="93"/>
        <v>4.9720262030229161E-2</v>
      </c>
      <c r="M451" s="7">
        <f t="shared" si="94"/>
        <v>4.9720262030229168E-2</v>
      </c>
      <c r="N451" s="20">
        <f t="shared" si="88"/>
        <v>4.9720262030229168E-2</v>
      </c>
      <c r="O451">
        <f t="shared" si="95"/>
        <v>5.8207660913467407E-10</v>
      </c>
      <c r="P451">
        <f t="shared" si="96"/>
        <v>-3.4924596548080444E-10</v>
      </c>
      <c r="Q451">
        <f t="shared" si="97"/>
        <v>-3.4924596548080444E-10</v>
      </c>
    </row>
    <row r="452" spans="2:17" x14ac:dyDescent="0.25">
      <c r="B452" s="18">
        <f t="shared" si="89"/>
        <v>1.584452641983925E-4</v>
      </c>
      <c r="C452" s="18">
        <f t="shared" si="90"/>
        <v>1.5844526419839253E-4</v>
      </c>
      <c r="D452" s="18">
        <f t="shared" si="91"/>
        <v>1.584452641983925E-4</v>
      </c>
      <c r="E452">
        <f t="shared" si="92"/>
        <v>4.6609784476459026E-8</v>
      </c>
      <c r="F452">
        <f t="shared" si="98"/>
        <v>-9.4369170255959034E-9</v>
      </c>
      <c r="G452">
        <f t="shared" si="99"/>
        <v>4.6609784476459026E-8</v>
      </c>
      <c r="L452" s="7">
        <f t="shared" si="93"/>
        <v>4.9720262030229161E-2</v>
      </c>
      <c r="M452" s="7">
        <f t="shared" si="94"/>
        <v>4.9720262030229168E-2</v>
      </c>
      <c r="N452" s="20">
        <f t="shared" si="88"/>
        <v>4.9720262030229168E-2</v>
      </c>
      <c r="O452">
        <f t="shared" si="95"/>
        <v>5.8207660913467407E-10</v>
      </c>
      <c r="P452">
        <f t="shared" si="96"/>
        <v>-3.4924596548080444E-10</v>
      </c>
      <c r="Q452">
        <f t="shared" si="97"/>
        <v>-3.4924596548080444E-10</v>
      </c>
    </row>
    <row r="453" spans="2:17" x14ac:dyDescent="0.25">
      <c r="B453" s="18">
        <f t="shared" si="89"/>
        <v>1.584452641983925E-4</v>
      </c>
      <c r="C453" s="18">
        <f t="shared" si="90"/>
        <v>1.5844526419839253E-4</v>
      </c>
      <c r="D453" s="18">
        <f t="shared" si="91"/>
        <v>1.584452641983925E-4</v>
      </c>
      <c r="E453">
        <f t="shared" si="92"/>
        <v>4.6609784476459026E-8</v>
      </c>
      <c r="F453">
        <f t="shared" si="98"/>
        <v>-9.4369170255959034E-9</v>
      </c>
      <c r="G453">
        <f t="shared" si="99"/>
        <v>4.6609784476459026E-8</v>
      </c>
      <c r="L453" s="7">
        <f t="shared" si="93"/>
        <v>4.9720262030229161E-2</v>
      </c>
      <c r="M453" s="7">
        <f t="shared" si="94"/>
        <v>4.9720262030229168E-2</v>
      </c>
      <c r="N453" s="20">
        <f t="shared" si="88"/>
        <v>4.9720262030229168E-2</v>
      </c>
      <c r="O453">
        <f t="shared" si="95"/>
        <v>5.8207660913467407E-10</v>
      </c>
      <c r="P453">
        <f t="shared" si="96"/>
        <v>-3.4924596548080444E-10</v>
      </c>
      <c r="Q453">
        <f t="shared" si="97"/>
        <v>-3.4924596548080444E-10</v>
      </c>
    </row>
    <row r="454" spans="2:17" x14ac:dyDescent="0.25">
      <c r="B454" s="18">
        <f t="shared" si="89"/>
        <v>1.584452641983925E-4</v>
      </c>
      <c r="C454" s="18">
        <f t="shared" si="90"/>
        <v>1.5844526419839253E-4</v>
      </c>
      <c r="D454" s="18">
        <f t="shared" si="91"/>
        <v>1.584452641983925E-4</v>
      </c>
      <c r="E454">
        <f t="shared" si="92"/>
        <v>4.6609784476459026E-8</v>
      </c>
      <c r="F454">
        <f t="shared" si="98"/>
        <v>-9.4369170255959034E-9</v>
      </c>
      <c r="G454">
        <f t="shared" si="99"/>
        <v>4.6609784476459026E-8</v>
      </c>
      <c r="L454" s="7">
        <f t="shared" si="93"/>
        <v>4.9720262030229161E-2</v>
      </c>
      <c r="M454" s="7">
        <f t="shared" si="94"/>
        <v>4.9720262030229168E-2</v>
      </c>
      <c r="N454" s="20">
        <f t="shared" si="88"/>
        <v>4.9720262030229168E-2</v>
      </c>
      <c r="O454">
        <f t="shared" si="95"/>
        <v>5.8207660913467407E-10</v>
      </c>
      <c r="P454">
        <f t="shared" si="96"/>
        <v>-3.4924596548080444E-10</v>
      </c>
      <c r="Q454">
        <f t="shared" si="97"/>
        <v>-3.4924596548080444E-10</v>
      </c>
    </row>
    <row r="455" spans="2:17" x14ac:dyDescent="0.25">
      <c r="B455" s="18">
        <f t="shared" si="89"/>
        <v>1.584452641983925E-4</v>
      </c>
      <c r="C455" s="18">
        <f t="shared" si="90"/>
        <v>1.5844526419839253E-4</v>
      </c>
      <c r="D455" s="18">
        <f t="shared" si="91"/>
        <v>1.584452641983925E-4</v>
      </c>
      <c r="E455">
        <f t="shared" si="92"/>
        <v>4.6609784476459026E-8</v>
      </c>
      <c r="F455">
        <f t="shared" si="98"/>
        <v>-9.4369170255959034E-9</v>
      </c>
      <c r="G455">
        <f t="shared" si="99"/>
        <v>4.6609784476459026E-8</v>
      </c>
      <c r="L455" s="7">
        <f t="shared" si="93"/>
        <v>4.9720262030229161E-2</v>
      </c>
      <c r="M455" s="7">
        <f t="shared" si="94"/>
        <v>4.9720262030229168E-2</v>
      </c>
      <c r="N455" s="20">
        <f t="shared" si="88"/>
        <v>4.9720262030229168E-2</v>
      </c>
      <c r="O455">
        <f t="shared" si="95"/>
        <v>5.8207660913467407E-10</v>
      </c>
      <c r="P455">
        <f t="shared" si="96"/>
        <v>-3.4924596548080444E-10</v>
      </c>
      <c r="Q455">
        <f t="shared" si="97"/>
        <v>-3.4924596548080444E-10</v>
      </c>
    </row>
    <row r="456" spans="2:17" x14ac:dyDescent="0.25">
      <c r="B456" s="18">
        <f t="shared" si="89"/>
        <v>1.584452641983925E-4</v>
      </c>
      <c r="C456" s="18">
        <f t="shared" si="90"/>
        <v>1.5844526419839253E-4</v>
      </c>
      <c r="D456" s="18">
        <f t="shared" si="91"/>
        <v>1.584452641983925E-4</v>
      </c>
      <c r="E456">
        <f t="shared" si="92"/>
        <v>4.6609784476459026E-8</v>
      </c>
      <c r="F456">
        <f t="shared" si="98"/>
        <v>-9.4369170255959034E-9</v>
      </c>
      <c r="G456">
        <f t="shared" si="99"/>
        <v>4.6609784476459026E-8</v>
      </c>
      <c r="L456" s="7">
        <f t="shared" si="93"/>
        <v>4.9720262030229161E-2</v>
      </c>
      <c r="M456" s="7">
        <f t="shared" si="94"/>
        <v>4.9720262030229168E-2</v>
      </c>
      <c r="N456" s="20">
        <f t="shared" si="88"/>
        <v>4.9720262030229168E-2</v>
      </c>
      <c r="O456">
        <f t="shared" si="95"/>
        <v>5.8207660913467407E-10</v>
      </c>
      <c r="P456">
        <f t="shared" si="96"/>
        <v>-3.4924596548080444E-10</v>
      </c>
      <c r="Q456">
        <f t="shared" si="97"/>
        <v>-3.4924596548080444E-10</v>
      </c>
    </row>
    <row r="457" spans="2:17" x14ac:dyDescent="0.25">
      <c r="B457" s="18">
        <f t="shared" si="89"/>
        <v>1.584452641983925E-4</v>
      </c>
      <c r="C457" s="18">
        <f t="shared" si="90"/>
        <v>1.5844526419839253E-4</v>
      </c>
      <c r="D457" s="18">
        <f t="shared" si="91"/>
        <v>1.584452641983925E-4</v>
      </c>
      <c r="E457">
        <f t="shared" si="92"/>
        <v>4.6609784476459026E-8</v>
      </c>
      <c r="F457">
        <f t="shared" si="98"/>
        <v>-9.4369170255959034E-9</v>
      </c>
      <c r="G457">
        <f t="shared" si="99"/>
        <v>4.6609784476459026E-8</v>
      </c>
      <c r="L457" s="7">
        <f t="shared" si="93"/>
        <v>4.9720262030229161E-2</v>
      </c>
      <c r="M457" s="7">
        <f t="shared" si="94"/>
        <v>4.9720262030229168E-2</v>
      </c>
      <c r="N457" s="20">
        <f t="shared" si="88"/>
        <v>4.9720262030229168E-2</v>
      </c>
      <c r="O457">
        <f t="shared" si="95"/>
        <v>5.8207660913467407E-10</v>
      </c>
      <c r="P457">
        <f t="shared" si="96"/>
        <v>-3.4924596548080444E-10</v>
      </c>
      <c r="Q457">
        <f t="shared" si="97"/>
        <v>-3.4924596548080444E-10</v>
      </c>
    </row>
    <row r="458" spans="2:17" x14ac:dyDescent="0.25">
      <c r="B458" s="18">
        <f t="shared" si="89"/>
        <v>1.584452641983925E-4</v>
      </c>
      <c r="C458" s="18">
        <f t="shared" si="90"/>
        <v>1.5844526419839253E-4</v>
      </c>
      <c r="D458" s="18">
        <f t="shared" si="91"/>
        <v>1.584452641983925E-4</v>
      </c>
      <c r="E458">
        <f t="shared" si="92"/>
        <v>4.6609784476459026E-8</v>
      </c>
      <c r="F458">
        <f t="shared" si="98"/>
        <v>-9.4369170255959034E-9</v>
      </c>
      <c r="G458">
        <f t="shared" si="99"/>
        <v>4.6609784476459026E-8</v>
      </c>
      <c r="L458" s="7">
        <f t="shared" si="93"/>
        <v>4.9720262030229161E-2</v>
      </c>
      <c r="M458" s="7">
        <f t="shared" si="94"/>
        <v>4.9720262030229168E-2</v>
      </c>
      <c r="N458" s="20">
        <f t="shared" si="88"/>
        <v>4.9720262030229168E-2</v>
      </c>
      <c r="O458">
        <f t="shared" si="95"/>
        <v>5.8207660913467407E-10</v>
      </c>
      <c r="P458">
        <f t="shared" si="96"/>
        <v>-3.4924596548080444E-10</v>
      </c>
      <c r="Q458">
        <f t="shared" si="97"/>
        <v>-3.4924596548080444E-10</v>
      </c>
    </row>
    <row r="459" spans="2:17" x14ac:dyDescent="0.25">
      <c r="B459" s="18">
        <f t="shared" si="89"/>
        <v>1.584452641983925E-4</v>
      </c>
      <c r="C459" s="18">
        <f t="shared" si="90"/>
        <v>1.5844526419839253E-4</v>
      </c>
      <c r="D459" s="18">
        <f t="shared" si="91"/>
        <v>1.584452641983925E-4</v>
      </c>
      <c r="E459">
        <f t="shared" si="92"/>
        <v>4.6609784476459026E-8</v>
      </c>
      <c r="F459">
        <f t="shared" si="98"/>
        <v>-9.4369170255959034E-9</v>
      </c>
      <c r="G459">
        <f t="shared" si="99"/>
        <v>4.6609784476459026E-8</v>
      </c>
      <c r="L459" s="7">
        <f t="shared" si="93"/>
        <v>4.9720262030229161E-2</v>
      </c>
      <c r="M459" s="7">
        <f t="shared" si="94"/>
        <v>4.9720262030229168E-2</v>
      </c>
      <c r="N459" s="20">
        <f t="shared" si="88"/>
        <v>4.9720262030229168E-2</v>
      </c>
      <c r="O459">
        <f t="shared" si="95"/>
        <v>5.8207660913467407E-10</v>
      </c>
      <c r="P459">
        <f t="shared" si="96"/>
        <v>-3.4924596548080444E-10</v>
      </c>
      <c r="Q459">
        <f t="shared" si="97"/>
        <v>-3.4924596548080444E-10</v>
      </c>
    </row>
    <row r="460" spans="2:17" x14ac:dyDescent="0.25">
      <c r="B460" s="18">
        <f t="shared" si="89"/>
        <v>1.584452641983925E-4</v>
      </c>
      <c r="C460" s="18">
        <f t="shared" si="90"/>
        <v>1.5844526419839253E-4</v>
      </c>
      <c r="D460" s="18">
        <f t="shared" si="91"/>
        <v>1.584452641983925E-4</v>
      </c>
      <c r="E460">
        <f t="shared" si="92"/>
        <v>4.6609784476459026E-8</v>
      </c>
      <c r="F460">
        <f t="shared" si="98"/>
        <v>-9.4369170255959034E-9</v>
      </c>
      <c r="G460">
        <f t="shared" si="99"/>
        <v>4.6609784476459026E-8</v>
      </c>
      <c r="L460" s="7">
        <f t="shared" si="93"/>
        <v>4.9720262030229161E-2</v>
      </c>
      <c r="M460" s="7">
        <f t="shared" si="94"/>
        <v>4.9720262030229168E-2</v>
      </c>
      <c r="N460" s="20">
        <f t="shared" si="88"/>
        <v>4.9720262030229168E-2</v>
      </c>
      <c r="O460">
        <f t="shared" si="95"/>
        <v>5.8207660913467407E-10</v>
      </c>
      <c r="P460">
        <f t="shared" si="96"/>
        <v>-3.4924596548080444E-10</v>
      </c>
      <c r="Q460">
        <f t="shared" si="97"/>
        <v>-3.4924596548080444E-10</v>
      </c>
    </row>
    <row r="461" spans="2:17" x14ac:dyDescent="0.25">
      <c r="B461" s="18">
        <f t="shared" si="89"/>
        <v>1.584452641983925E-4</v>
      </c>
      <c r="C461" s="18">
        <f t="shared" si="90"/>
        <v>1.5844526419839253E-4</v>
      </c>
      <c r="D461" s="18">
        <f t="shared" si="91"/>
        <v>1.584452641983925E-4</v>
      </c>
      <c r="E461">
        <f t="shared" si="92"/>
        <v>4.6609784476459026E-8</v>
      </c>
      <c r="F461">
        <f t="shared" si="98"/>
        <v>-9.4369170255959034E-9</v>
      </c>
      <c r="G461">
        <f t="shared" si="99"/>
        <v>4.6609784476459026E-8</v>
      </c>
      <c r="L461" s="7">
        <f t="shared" si="93"/>
        <v>4.9720262030229161E-2</v>
      </c>
      <c r="M461" s="7">
        <f t="shared" si="94"/>
        <v>4.9720262030229168E-2</v>
      </c>
      <c r="N461" s="20">
        <f t="shared" si="88"/>
        <v>4.9720262030229168E-2</v>
      </c>
      <c r="O461">
        <f t="shared" si="95"/>
        <v>5.8207660913467407E-10</v>
      </c>
      <c r="P461">
        <f t="shared" si="96"/>
        <v>-3.4924596548080444E-10</v>
      </c>
      <c r="Q461">
        <f t="shared" si="97"/>
        <v>-3.4924596548080444E-10</v>
      </c>
    </row>
    <row r="462" spans="2:17" x14ac:dyDescent="0.25">
      <c r="B462" s="18">
        <f t="shared" si="89"/>
        <v>1.584452641983925E-4</v>
      </c>
      <c r="C462" s="18">
        <f t="shared" si="90"/>
        <v>1.5844526419839253E-4</v>
      </c>
      <c r="D462" s="18">
        <f t="shared" si="91"/>
        <v>1.584452641983925E-4</v>
      </c>
      <c r="E462">
        <f t="shared" si="92"/>
        <v>4.6609784476459026E-8</v>
      </c>
      <c r="F462">
        <f t="shared" si="98"/>
        <v>-9.4369170255959034E-9</v>
      </c>
      <c r="G462">
        <f t="shared" si="99"/>
        <v>4.6609784476459026E-8</v>
      </c>
      <c r="L462" s="7">
        <f t="shared" si="93"/>
        <v>4.9720262030229161E-2</v>
      </c>
      <c r="M462" s="7">
        <f t="shared" si="94"/>
        <v>4.9720262030229168E-2</v>
      </c>
      <c r="N462" s="20">
        <f t="shared" si="88"/>
        <v>4.9720262030229168E-2</v>
      </c>
      <c r="O462">
        <f t="shared" si="95"/>
        <v>5.8207660913467407E-10</v>
      </c>
      <c r="P462">
        <f t="shared" si="96"/>
        <v>-3.4924596548080444E-10</v>
      </c>
      <c r="Q462">
        <f t="shared" si="97"/>
        <v>-3.4924596548080444E-10</v>
      </c>
    </row>
    <row r="463" spans="2:17" x14ac:dyDescent="0.25">
      <c r="B463" s="18">
        <f t="shared" si="89"/>
        <v>1.584452641983925E-4</v>
      </c>
      <c r="C463" s="18">
        <f t="shared" si="90"/>
        <v>1.5844526419839253E-4</v>
      </c>
      <c r="D463" s="18">
        <f t="shared" si="91"/>
        <v>1.584452641983925E-4</v>
      </c>
      <c r="E463">
        <f t="shared" si="92"/>
        <v>4.6609784476459026E-8</v>
      </c>
      <c r="F463">
        <f t="shared" si="98"/>
        <v>-9.4369170255959034E-9</v>
      </c>
      <c r="G463">
        <f t="shared" si="99"/>
        <v>4.6609784476459026E-8</v>
      </c>
      <c r="L463" s="7">
        <f t="shared" si="93"/>
        <v>4.9720262030229161E-2</v>
      </c>
      <c r="M463" s="7">
        <f t="shared" si="94"/>
        <v>4.9720262030229168E-2</v>
      </c>
      <c r="N463" s="20">
        <f t="shared" si="88"/>
        <v>4.9720262030229168E-2</v>
      </c>
      <c r="O463">
        <f t="shared" si="95"/>
        <v>5.8207660913467407E-10</v>
      </c>
      <c r="P463">
        <f t="shared" si="96"/>
        <v>-3.4924596548080444E-10</v>
      </c>
      <c r="Q463">
        <f t="shared" si="97"/>
        <v>-3.4924596548080444E-10</v>
      </c>
    </row>
    <row r="464" spans="2:17" x14ac:dyDescent="0.25">
      <c r="B464" s="18">
        <f t="shared" si="89"/>
        <v>1.584452641983925E-4</v>
      </c>
      <c r="C464" s="18">
        <f t="shared" si="90"/>
        <v>1.5844526419839253E-4</v>
      </c>
      <c r="D464" s="18">
        <f t="shared" si="91"/>
        <v>1.584452641983925E-4</v>
      </c>
      <c r="E464">
        <f t="shared" si="92"/>
        <v>4.6609784476459026E-8</v>
      </c>
      <c r="F464">
        <f t="shared" si="98"/>
        <v>-9.4369170255959034E-9</v>
      </c>
      <c r="G464">
        <f t="shared" si="99"/>
        <v>4.6609784476459026E-8</v>
      </c>
      <c r="L464" s="7">
        <f t="shared" si="93"/>
        <v>4.9720262030229161E-2</v>
      </c>
      <c r="M464" s="7">
        <f t="shared" si="94"/>
        <v>4.9720262030229168E-2</v>
      </c>
      <c r="N464" s="20">
        <f t="shared" si="88"/>
        <v>4.9720262030229168E-2</v>
      </c>
      <c r="O464">
        <f t="shared" si="95"/>
        <v>5.8207660913467407E-10</v>
      </c>
      <c r="P464">
        <f t="shared" si="96"/>
        <v>-3.4924596548080444E-10</v>
      </c>
      <c r="Q464">
        <f t="shared" si="97"/>
        <v>-3.4924596548080444E-10</v>
      </c>
    </row>
    <row r="465" spans="2:17" x14ac:dyDescent="0.25">
      <c r="B465" s="18">
        <f t="shared" si="89"/>
        <v>1.584452641983925E-4</v>
      </c>
      <c r="C465" s="18">
        <f t="shared" si="90"/>
        <v>1.5844526419839253E-4</v>
      </c>
      <c r="D465" s="18">
        <f t="shared" si="91"/>
        <v>1.584452641983925E-4</v>
      </c>
      <c r="E465">
        <f t="shared" si="92"/>
        <v>4.6609784476459026E-8</v>
      </c>
      <c r="F465">
        <f t="shared" si="98"/>
        <v>-9.4369170255959034E-9</v>
      </c>
      <c r="G465">
        <f t="shared" si="99"/>
        <v>4.6609784476459026E-8</v>
      </c>
      <c r="L465" s="7">
        <f t="shared" si="93"/>
        <v>4.9720262030229161E-2</v>
      </c>
      <c r="M465" s="7">
        <f t="shared" si="94"/>
        <v>4.9720262030229168E-2</v>
      </c>
      <c r="N465" s="20">
        <f t="shared" si="88"/>
        <v>4.9720262030229168E-2</v>
      </c>
      <c r="O465">
        <f t="shared" si="95"/>
        <v>5.8207660913467407E-10</v>
      </c>
      <c r="P465">
        <f t="shared" si="96"/>
        <v>-3.4924596548080444E-10</v>
      </c>
      <c r="Q465">
        <f t="shared" si="97"/>
        <v>-3.4924596548080444E-10</v>
      </c>
    </row>
    <row r="466" spans="2:17" x14ac:dyDescent="0.25">
      <c r="B466" s="18">
        <f t="shared" si="89"/>
        <v>1.584452641983925E-4</v>
      </c>
      <c r="C466" s="18">
        <f t="shared" si="90"/>
        <v>1.5844526419839253E-4</v>
      </c>
      <c r="D466" s="18">
        <f t="shared" si="91"/>
        <v>1.584452641983925E-4</v>
      </c>
      <c r="E466">
        <f t="shared" si="92"/>
        <v>4.6609784476459026E-8</v>
      </c>
      <c r="F466">
        <f t="shared" si="98"/>
        <v>-9.4369170255959034E-9</v>
      </c>
      <c r="G466">
        <f t="shared" si="99"/>
        <v>4.6609784476459026E-8</v>
      </c>
      <c r="L466" s="7">
        <f t="shared" si="93"/>
        <v>4.9720262030229161E-2</v>
      </c>
      <c r="M466" s="7">
        <f t="shared" si="94"/>
        <v>4.9720262030229168E-2</v>
      </c>
      <c r="N466" s="20">
        <f t="shared" si="88"/>
        <v>4.9720262030229168E-2</v>
      </c>
      <c r="O466">
        <f t="shared" si="95"/>
        <v>5.8207660913467407E-10</v>
      </c>
      <c r="P466">
        <f t="shared" si="96"/>
        <v>-3.4924596548080444E-10</v>
      </c>
      <c r="Q466">
        <f t="shared" si="97"/>
        <v>-3.4924596548080444E-10</v>
      </c>
    </row>
    <row r="467" spans="2:17" x14ac:dyDescent="0.25">
      <c r="B467" s="18">
        <f t="shared" si="89"/>
        <v>1.584452641983925E-4</v>
      </c>
      <c r="C467" s="18">
        <f t="shared" si="90"/>
        <v>1.5844526419839253E-4</v>
      </c>
      <c r="D467" s="18">
        <f t="shared" si="91"/>
        <v>1.584452641983925E-4</v>
      </c>
      <c r="E467">
        <f t="shared" si="92"/>
        <v>4.6609784476459026E-8</v>
      </c>
      <c r="F467">
        <f t="shared" si="98"/>
        <v>-9.4369170255959034E-9</v>
      </c>
      <c r="G467">
        <f t="shared" si="99"/>
        <v>4.6609784476459026E-8</v>
      </c>
      <c r="L467" s="7">
        <f t="shared" si="93"/>
        <v>4.9720262030229161E-2</v>
      </c>
      <c r="M467" s="7">
        <f t="shared" si="94"/>
        <v>4.9720262030229168E-2</v>
      </c>
      <c r="N467" s="20">
        <f t="shared" si="88"/>
        <v>4.9720262030229168E-2</v>
      </c>
      <c r="O467">
        <f t="shared" si="95"/>
        <v>5.8207660913467407E-10</v>
      </c>
      <c r="P467">
        <f t="shared" si="96"/>
        <v>-3.4924596548080444E-10</v>
      </c>
      <c r="Q467">
        <f t="shared" si="97"/>
        <v>-3.4924596548080444E-10</v>
      </c>
    </row>
    <row r="468" spans="2:17" x14ac:dyDescent="0.25">
      <c r="B468" s="18">
        <f t="shared" si="89"/>
        <v>1.584452641983925E-4</v>
      </c>
      <c r="C468" s="18">
        <f t="shared" si="90"/>
        <v>1.5844526419839253E-4</v>
      </c>
      <c r="D468" s="18">
        <f t="shared" si="91"/>
        <v>1.584452641983925E-4</v>
      </c>
      <c r="E468">
        <f t="shared" si="92"/>
        <v>4.6609784476459026E-8</v>
      </c>
      <c r="F468">
        <f t="shared" si="98"/>
        <v>-9.4369170255959034E-9</v>
      </c>
      <c r="G468">
        <f t="shared" si="99"/>
        <v>4.6609784476459026E-8</v>
      </c>
      <c r="L468" s="7">
        <f t="shared" si="93"/>
        <v>4.9720262030229161E-2</v>
      </c>
      <c r="M468" s="7">
        <f t="shared" si="94"/>
        <v>4.9720262030229168E-2</v>
      </c>
      <c r="N468" s="20">
        <f t="shared" si="88"/>
        <v>4.9720262030229168E-2</v>
      </c>
      <c r="O468">
        <f t="shared" si="95"/>
        <v>5.8207660913467407E-10</v>
      </c>
      <c r="P468">
        <f t="shared" si="96"/>
        <v>-3.4924596548080444E-10</v>
      </c>
      <c r="Q468">
        <f t="shared" si="97"/>
        <v>-3.4924596548080444E-10</v>
      </c>
    </row>
    <row r="469" spans="2:17" x14ac:dyDescent="0.25">
      <c r="B469" s="18">
        <f t="shared" si="89"/>
        <v>1.584452641983925E-4</v>
      </c>
      <c r="C469" s="18">
        <f t="shared" si="90"/>
        <v>1.5844526419839253E-4</v>
      </c>
      <c r="D469" s="18">
        <f t="shared" si="91"/>
        <v>1.584452641983925E-4</v>
      </c>
      <c r="E469">
        <f t="shared" si="92"/>
        <v>4.6609784476459026E-8</v>
      </c>
      <c r="F469">
        <f t="shared" si="98"/>
        <v>-9.4369170255959034E-9</v>
      </c>
      <c r="G469">
        <f t="shared" si="99"/>
        <v>4.6609784476459026E-8</v>
      </c>
      <c r="L469" s="7">
        <f t="shared" si="93"/>
        <v>4.9720262030229161E-2</v>
      </c>
      <c r="M469" s="7">
        <f t="shared" si="94"/>
        <v>4.9720262030229168E-2</v>
      </c>
      <c r="N469" s="20">
        <f t="shared" si="88"/>
        <v>4.9720262030229168E-2</v>
      </c>
      <c r="O469">
        <f t="shared" si="95"/>
        <v>5.8207660913467407E-10</v>
      </c>
      <c r="P469">
        <f t="shared" si="96"/>
        <v>-3.4924596548080444E-10</v>
      </c>
      <c r="Q469">
        <f t="shared" si="97"/>
        <v>-3.4924596548080444E-10</v>
      </c>
    </row>
    <row r="470" spans="2:17" x14ac:dyDescent="0.25">
      <c r="B470" s="18">
        <f t="shared" si="89"/>
        <v>1.584452641983925E-4</v>
      </c>
      <c r="C470" s="18">
        <f t="shared" si="90"/>
        <v>1.5844526419839253E-4</v>
      </c>
      <c r="D470" s="18">
        <f t="shared" si="91"/>
        <v>1.584452641983925E-4</v>
      </c>
      <c r="E470">
        <f t="shared" si="92"/>
        <v>4.6609784476459026E-8</v>
      </c>
      <c r="F470">
        <f t="shared" si="98"/>
        <v>-9.4369170255959034E-9</v>
      </c>
      <c r="G470">
        <f t="shared" si="99"/>
        <v>4.6609784476459026E-8</v>
      </c>
      <c r="L470" s="7">
        <f t="shared" si="93"/>
        <v>4.9720262030229161E-2</v>
      </c>
      <c r="M470" s="7">
        <f t="shared" si="94"/>
        <v>4.9720262030229168E-2</v>
      </c>
      <c r="N470" s="20">
        <f t="shared" si="88"/>
        <v>4.9720262030229168E-2</v>
      </c>
      <c r="O470">
        <f t="shared" si="95"/>
        <v>5.8207660913467407E-10</v>
      </c>
      <c r="P470">
        <f t="shared" si="96"/>
        <v>-3.4924596548080444E-10</v>
      </c>
      <c r="Q470">
        <f t="shared" si="97"/>
        <v>-3.4924596548080444E-10</v>
      </c>
    </row>
    <row r="471" spans="2:17" x14ac:dyDescent="0.25">
      <c r="B471" s="18">
        <f t="shared" si="89"/>
        <v>1.584452641983925E-4</v>
      </c>
      <c r="C471" s="18">
        <f t="shared" si="90"/>
        <v>1.5844526419839253E-4</v>
      </c>
      <c r="D471" s="18">
        <f t="shared" si="91"/>
        <v>1.584452641983925E-4</v>
      </c>
      <c r="E471">
        <f t="shared" si="92"/>
        <v>4.6609784476459026E-8</v>
      </c>
      <c r="F471">
        <f t="shared" si="98"/>
        <v>-9.4369170255959034E-9</v>
      </c>
      <c r="G471">
        <f t="shared" si="99"/>
        <v>4.6609784476459026E-8</v>
      </c>
      <c r="L471" s="7">
        <f t="shared" si="93"/>
        <v>4.9720262030229161E-2</v>
      </c>
      <c r="M471" s="7">
        <f t="shared" si="94"/>
        <v>4.9720262030229168E-2</v>
      </c>
      <c r="N471" s="20">
        <f t="shared" si="88"/>
        <v>4.9720262030229168E-2</v>
      </c>
      <c r="O471">
        <f t="shared" si="95"/>
        <v>5.8207660913467407E-10</v>
      </c>
      <c r="P471">
        <f t="shared" si="96"/>
        <v>-3.4924596548080444E-10</v>
      </c>
      <c r="Q471">
        <f t="shared" si="97"/>
        <v>-3.4924596548080444E-10</v>
      </c>
    </row>
    <row r="472" spans="2:17" x14ac:dyDescent="0.25">
      <c r="B472" s="18">
        <f t="shared" si="89"/>
        <v>1.584452641983925E-4</v>
      </c>
      <c r="C472" s="18">
        <f t="shared" si="90"/>
        <v>1.5844526419839253E-4</v>
      </c>
      <c r="D472" s="18">
        <f t="shared" si="91"/>
        <v>1.584452641983925E-4</v>
      </c>
      <c r="E472">
        <f t="shared" si="92"/>
        <v>4.6609784476459026E-8</v>
      </c>
      <c r="F472">
        <f t="shared" si="98"/>
        <v>-9.4369170255959034E-9</v>
      </c>
      <c r="G472">
        <f t="shared" si="99"/>
        <v>4.6609784476459026E-8</v>
      </c>
      <c r="L472" s="7">
        <f t="shared" si="93"/>
        <v>4.9720262030229161E-2</v>
      </c>
      <c r="M472" s="7">
        <f t="shared" si="94"/>
        <v>4.9720262030229168E-2</v>
      </c>
      <c r="N472" s="20">
        <f t="shared" si="88"/>
        <v>4.9720262030229168E-2</v>
      </c>
      <c r="O472">
        <f t="shared" si="95"/>
        <v>5.8207660913467407E-10</v>
      </c>
      <c r="P472">
        <f t="shared" si="96"/>
        <v>-3.4924596548080444E-10</v>
      </c>
      <c r="Q472">
        <f t="shared" si="97"/>
        <v>-3.4924596548080444E-10</v>
      </c>
    </row>
    <row r="473" spans="2:17" x14ac:dyDescent="0.25">
      <c r="B473" s="18">
        <f t="shared" si="89"/>
        <v>1.584452641983925E-4</v>
      </c>
      <c r="C473" s="18">
        <f t="shared" si="90"/>
        <v>1.5844526419839253E-4</v>
      </c>
      <c r="D473" s="18">
        <f t="shared" si="91"/>
        <v>1.584452641983925E-4</v>
      </c>
      <c r="E473">
        <f t="shared" si="92"/>
        <v>4.6609784476459026E-8</v>
      </c>
      <c r="F473">
        <f t="shared" si="98"/>
        <v>-9.4369170255959034E-9</v>
      </c>
      <c r="G473">
        <f t="shared" si="99"/>
        <v>4.6609784476459026E-8</v>
      </c>
      <c r="L473" s="7">
        <f t="shared" si="93"/>
        <v>4.9720262030229161E-2</v>
      </c>
      <c r="M473" s="7">
        <f t="shared" si="94"/>
        <v>4.9720262030229168E-2</v>
      </c>
      <c r="N473" s="20">
        <f t="shared" ref="N473:N536" si="100">(L473+M473)/2</f>
        <v>4.9720262030229168E-2</v>
      </c>
      <c r="O473">
        <f t="shared" si="95"/>
        <v>5.8207660913467407E-10</v>
      </c>
      <c r="P473">
        <f t="shared" si="96"/>
        <v>-3.4924596548080444E-10</v>
      </c>
      <c r="Q473">
        <f t="shared" si="97"/>
        <v>-3.4924596548080444E-10</v>
      </c>
    </row>
    <row r="474" spans="2:17" x14ac:dyDescent="0.25">
      <c r="B474" s="18">
        <f t="shared" ref="B474:B537" si="101">IF(E473*G473&lt;0,B473,D473)</f>
        <v>1.584452641983925E-4</v>
      </c>
      <c r="C474" s="18">
        <f t="shared" ref="C474:C537" si="102">IF(F473*G473&lt;0,C473,D473)</f>
        <v>1.5844526419839253E-4</v>
      </c>
      <c r="D474" s="18">
        <f t="shared" ref="D474:D537" si="103">(B474+C474)/2</f>
        <v>1.584452641983925E-4</v>
      </c>
      <c r="E474">
        <f t="shared" ref="E474:E537" si="104">IF($G$8 = "Future Value",$C$5-($D$5*(((1+B474)^($F$5*$G$5)-1)/B474)),$H$5-$D$5*((1-(1+B474)^(-1*$F$5*$G$5))/B474))</f>
        <v>4.6609784476459026E-8</v>
      </c>
      <c r="F474">
        <f t="shared" si="98"/>
        <v>-9.4369170255959034E-9</v>
      </c>
      <c r="G474">
        <f t="shared" si="99"/>
        <v>4.6609784476459026E-8</v>
      </c>
      <c r="L474" s="7">
        <f t="shared" ref="L474:L537" si="105">IF(O473*Q473&lt;0,L473,N473)</f>
        <v>4.9720262030229161E-2</v>
      </c>
      <c r="M474" s="7">
        <f t="shared" ref="M474:M537" si="106">IF(P473*Q473&lt;0,M473,N473)</f>
        <v>4.9720262030229168E-2</v>
      </c>
      <c r="N474" s="20">
        <f t="shared" si="100"/>
        <v>4.9720262030229168E-2</v>
      </c>
      <c r="O474">
        <f t="shared" ref="O474:O537" si="107">IF($Q$8 = "Future Value",$M$5-($N$5*(1+L474)*(((1+L474)^($P$5*$Q$5)-1)/L474)),$R$5-$N$5*(1+L474)*((1-(1+L474)^(-1*$P$5*$Q$5))/L474))</f>
        <v>5.8207660913467407E-10</v>
      </c>
      <c r="P474">
        <f t="shared" ref="P474:P537" si="108">IF($Q$8 = "Future Value",$M$5-($N$5*(1+M474)*(((1+M474)^($P$5*$Q$5)-1)/M474)),$R$5-$N$5*(1+M474)*((1-(1+M474)^(-1*$P$5*$Q$5))/M474))</f>
        <v>-3.4924596548080444E-10</v>
      </c>
      <c r="Q474">
        <f t="shared" ref="Q474:Q537" si="109">IF($Q$8 = "Future Value",$M$5-($N$5*(1+N474)*(((1+N474)^($P$5*$Q$5)-1)/N474)),$R$5-$N$5*(1+N474)*((1-(1+N474)^(-1*$P$5*$Q$5))/N474))</f>
        <v>-3.4924596548080444E-10</v>
      </c>
    </row>
    <row r="475" spans="2:17" x14ac:dyDescent="0.25">
      <c r="B475" s="18">
        <f t="shared" si="101"/>
        <v>1.584452641983925E-4</v>
      </c>
      <c r="C475" s="18">
        <f t="shared" si="102"/>
        <v>1.5844526419839253E-4</v>
      </c>
      <c r="D475" s="18">
        <f t="shared" si="103"/>
        <v>1.584452641983925E-4</v>
      </c>
      <c r="E475">
        <f t="shared" si="104"/>
        <v>4.6609784476459026E-8</v>
      </c>
      <c r="F475">
        <f t="shared" ref="F475:F538" si="110">IF($G$8 = "Future Value",$C$5-($D$5*(((1+C475)^($F$5*$G$5)-1)/C475)),$H$5-$D$5*((1-(1+C475)^(-1*$F$5*$G$5))/C475))</f>
        <v>-9.4369170255959034E-9</v>
      </c>
      <c r="G475">
        <f t="shared" ref="G475:G538" si="111">IF($G$8 = "Future Value",$C$5-($D$5*(((1+D475)^($F$5*$G$5)-1)/D475)),$H$5-$D$5*((1-(1+D475)^(-1*$F$5*$G$5))/D475))</f>
        <v>4.6609784476459026E-8</v>
      </c>
      <c r="L475" s="7">
        <f t="shared" si="105"/>
        <v>4.9720262030229161E-2</v>
      </c>
      <c r="M475" s="7">
        <f t="shared" si="106"/>
        <v>4.9720262030229168E-2</v>
      </c>
      <c r="N475" s="20">
        <f t="shared" si="100"/>
        <v>4.9720262030229168E-2</v>
      </c>
      <c r="O475">
        <f t="shared" si="107"/>
        <v>5.8207660913467407E-10</v>
      </c>
      <c r="P475">
        <f t="shared" si="108"/>
        <v>-3.4924596548080444E-10</v>
      </c>
      <c r="Q475">
        <f t="shared" si="109"/>
        <v>-3.4924596548080444E-10</v>
      </c>
    </row>
    <row r="476" spans="2:17" x14ac:dyDescent="0.25">
      <c r="B476" s="18">
        <f t="shared" si="101"/>
        <v>1.584452641983925E-4</v>
      </c>
      <c r="C476" s="18">
        <f t="shared" si="102"/>
        <v>1.5844526419839253E-4</v>
      </c>
      <c r="D476" s="18">
        <f t="shared" si="103"/>
        <v>1.584452641983925E-4</v>
      </c>
      <c r="E476">
        <f t="shared" si="104"/>
        <v>4.6609784476459026E-8</v>
      </c>
      <c r="F476">
        <f t="shared" si="110"/>
        <v>-9.4369170255959034E-9</v>
      </c>
      <c r="G476">
        <f t="shared" si="111"/>
        <v>4.6609784476459026E-8</v>
      </c>
      <c r="L476" s="7">
        <f t="shared" si="105"/>
        <v>4.9720262030229161E-2</v>
      </c>
      <c r="M476" s="7">
        <f t="shared" si="106"/>
        <v>4.9720262030229168E-2</v>
      </c>
      <c r="N476" s="20">
        <f t="shared" si="100"/>
        <v>4.9720262030229168E-2</v>
      </c>
      <c r="O476">
        <f t="shared" si="107"/>
        <v>5.8207660913467407E-10</v>
      </c>
      <c r="P476">
        <f t="shared" si="108"/>
        <v>-3.4924596548080444E-10</v>
      </c>
      <c r="Q476">
        <f t="shared" si="109"/>
        <v>-3.4924596548080444E-10</v>
      </c>
    </row>
    <row r="477" spans="2:17" x14ac:dyDescent="0.25">
      <c r="B477" s="18">
        <f t="shared" si="101"/>
        <v>1.584452641983925E-4</v>
      </c>
      <c r="C477" s="18">
        <f t="shared" si="102"/>
        <v>1.5844526419839253E-4</v>
      </c>
      <c r="D477" s="18">
        <f t="shared" si="103"/>
        <v>1.584452641983925E-4</v>
      </c>
      <c r="E477">
        <f t="shared" si="104"/>
        <v>4.6609784476459026E-8</v>
      </c>
      <c r="F477">
        <f t="shared" si="110"/>
        <v>-9.4369170255959034E-9</v>
      </c>
      <c r="G477">
        <f t="shared" si="111"/>
        <v>4.6609784476459026E-8</v>
      </c>
      <c r="L477" s="7">
        <f t="shared" si="105"/>
        <v>4.9720262030229161E-2</v>
      </c>
      <c r="M477" s="7">
        <f t="shared" si="106"/>
        <v>4.9720262030229168E-2</v>
      </c>
      <c r="N477" s="20">
        <f t="shared" si="100"/>
        <v>4.9720262030229168E-2</v>
      </c>
      <c r="O477">
        <f t="shared" si="107"/>
        <v>5.8207660913467407E-10</v>
      </c>
      <c r="P477">
        <f t="shared" si="108"/>
        <v>-3.4924596548080444E-10</v>
      </c>
      <c r="Q477">
        <f t="shared" si="109"/>
        <v>-3.4924596548080444E-10</v>
      </c>
    </row>
    <row r="478" spans="2:17" x14ac:dyDescent="0.25">
      <c r="B478" s="18">
        <f t="shared" si="101"/>
        <v>1.584452641983925E-4</v>
      </c>
      <c r="C478" s="18">
        <f t="shared" si="102"/>
        <v>1.5844526419839253E-4</v>
      </c>
      <c r="D478" s="18">
        <f t="shared" si="103"/>
        <v>1.584452641983925E-4</v>
      </c>
      <c r="E478">
        <f t="shared" si="104"/>
        <v>4.6609784476459026E-8</v>
      </c>
      <c r="F478">
        <f t="shared" si="110"/>
        <v>-9.4369170255959034E-9</v>
      </c>
      <c r="G478">
        <f t="shared" si="111"/>
        <v>4.6609784476459026E-8</v>
      </c>
      <c r="L478" s="7">
        <f t="shared" si="105"/>
        <v>4.9720262030229161E-2</v>
      </c>
      <c r="M478" s="7">
        <f t="shared" si="106"/>
        <v>4.9720262030229168E-2</v>
      </c>
      <c r="N478" s="20">
        <f t="shared" si="100"/>
        <v>4.9720262030229168E-2</v>
      </c>
      <c r="O478">
        <f t="shared" si="107"/>
        <v>5.8207660913467407E-10</v>
      </c>
      <c r="P478">
        <f t="shared" si="108"/>
        <v>-3.4924596548080444E-10</v>
      </c>
      <c r="Q478">
        <f t="shared" si="109"/>
        <v>-3.4924596548080444E-10</v>
      </c>
    </row>
    <row r="479" spans="2:17" x14ac:dyDescent="0.25">
      <c r="B479" s="18">
        <f t="shared" si="101"/>
        <v>1.584452641983925E-4</v>
      </c>
      <c r="C479" s="18">
        <f t="shared" si="102"/>
        <v>1.5844526419839253E-4</v>
      </c>
      <c r="D479" s="18">
        <f t="shared" si="103"/>
        <v>1.584452641983925E-4</v>
      </c>
      <c r="E479">
        <f t="shared" si="104"/>
        <v>4.6609784476459026E-8</v>
      </c>
      <c r="F479">
        <f t="shared" si="110"/>
        <v>-9.4369170255959034E-9</v>
      </c>
      <c r="G479">
        <f t="shared" si="111"/>
        <v>4.6609784476459026E-8</v>
      </c>
      <c r="L479" s="7">
        <f t="shared" si="105"/>
        <v>4.9720262030229161E-2</v>
      </c>
      <c r="M479" s="7">
        <f t="shared" si="106"/>
        <v>4.9720262030229168E-2</v>
      </c>
      <c r="N479" s="20">
        <f t="shared" si="100"/>
        <v>4.9720262030229168E-2</v>
      </c>
      <c r="O479">
        <f t="shared" si="107"/>
        <v>5.8207660913467407E-10</v>
      </c>
      <c r="P479">
        <f t="shared" si="108"/>
        <v>-3.4924596548080444E-10</v>
      </c>
      <c r="Q479">
        <f t="shared" si="109"/>
        <v>-3.4924596548080444E-10</v>
      </c>
    </row>
    <row r="480" spans="2:17" x14ac:dyDescent="0.25">
      <c r="B480" s="18">
        <f t="shared" si="101"/>
        <v>1.584452641983925E-4</v>
      </c>
      <c r="C480" s="18">
        <f t="shared" si="102"/>
        <v>1.5844526419839253E-4</v>
      </c>
      <c r="D480" s="18">
        <f t="shared" si="103"/>
        <v>1.584452641983925E-4</v>
      </c>
      <c r="E480">
        <f t="shared" si="104"/>
        <v>4.6609784476459026E-8</v>
      </c>
      <c r="F480">
        <f t="shared" si="110"/>
        <v>-9.4369170255959034E-9</v>
      </c>
      <c r="G480">
        <f t="shared" si="111"/>
        <v>4.6609784476459026E-8</v>
      </c>
      <c r="L480" s="7">
        <f t="shared" si="105"/>
        <v>4.9720262030229161E-2</v>
      </c>
      <c r="M480" s="7">
        <f t="shared" si="106"/>
        <v>4.9720262030229168E-2</v>
      </c>
      <c r="N480" s="20">
        <f t="shared" si="100"/>
        <v>4.9720262030229168E-2</v>
      </c>
      <c r="O480">
        <f t="shared" si="107"/>
        <v>5.8207660913467407E-10</v>
      </c>
      <c r="P480">
        <f t="shared" si="108"/>
        <v>-3.4924596548080444E-10</v>
      </c>
      <c r="Q480">
        <f t="shared" si="109"/>
        <v>-3.4924596548080444E-10</v>
      </c>
    </row>
    <row r="481" spans="2:17" x14ac:dyDescent="0.25">
      <c r="B481" s="18">
        <f t="shared" si="101"/>
        <v>1.584452641983925E-4</v>
      </c>
      <c r="C481" s="18">
        <f t="shared" si="102"/>
        <v>1.5844526419839253E-4</v>
      </c>
      <c r="D481" s="18">
        <f t="shared" si="103"/>
        <v>1.584452641983925E-4</v>
      </c>
      <c r="E481">
        <f t="shared" si="104"/>
        <v>4.6609784476459026E-8</v>
      </c>
      <c r="F481">
        <f t="shared" si="110"/>
        <v>-9.4369170255959034E-9</v>
      </c>
      <c r="G481">
        <f t="shared" si="111"/>
        <v>4.6609784476459026E-8</v>
      </c>
      <c r="L481" s="7">
        <f t="shared" si="105"/>
        <v>4.9720262030229161E-2</v>
      </c>
      <c r="M481" s="7">
        <f t="shared" si="106"/>
        <v>4.9720262030229168E-2</v>
      </c>
      <c r="N481" s="20">
        <f t="shared" si="100"/>
        <v>4.9720262030229168E-2</v>
      </c>
      <c r="O481">
        <f t="shared" si="107"/>
        <v>5.8207660913467407E-10</v>
      </c>
      <c r="P481">
        <f t="shared" si="108"/>
        <v>-3.4924596548080444E-10</v>
      </c>
      <c r="Q481">
        <f t="shared" si="109"/>
        <v>-3.4924596548080444E-10</v>
      </c>
    </row>
    <row r="482" spans="2:17" x14ac:dyDescent="0.25">
      <c r="B482" s="18">
        <f t="shared" si="101"/>
        <v>1.584452641983925E-4</v>
      </c>
      <c r="C482" s="18">
        <f t="shared" si="102"/>
        <v>1.5844526419839253E-4</v>
      </c>
      <c r="D482" s="18">
        <f t="shared" si="103"/>
        <v>1.584452641983925E-4</v>
      </c>
      <c r="E482">
        <f t="shared" si="104"/>
        <v>4.6609784476459026E-8</v>
      </c>
      <c r="F482">
        <f t="shared" si="110"/>
        <v>-9.4369170255959034E-9</v>
      </c>
      <c r="G482">
        <f t="shared" si="111"/>
        <v>4.6609784476459026E-8</v>
      </c>
      <c r="L482" s="7">
        <f t="shared" si="105"/>
        <v>4.9720262030229161E-2</v>
      </c>
      <c r="M482" s="7">
        <f t="shared" si="106"/>
        <v>4.9720262030229168E-2</v>
      </c>
      <c r="N482" s="20">
        <f t="shared" si="100"/>
        <v>4.9720262030229168E-2</v>
      </c>
      <c r="O482">
        <f t="shared" si="107"/>
        <v>5.8207660913467407E-10</v>
      </c>
      <c r="P482">
        <f t="shared" si="108"/>
        <v>-3.4924596548080444E-10</v>
      </c>
      <c r="Q482">
        <f t="shared" si="109"/>
        <v>-3.4924596548080444E-10</v>
      </c>
    </row>
    <row r="483" spans="2:17" x14ac:dyDescent="0.25">
      <c r="B483" s="18">
        <f t="shared" si="101"/>
        <v>1.584452641983925E-4</v>
      </c>
      <c r="C483" s="18">
        <f t="shared" si="102"/>
        <v>1.5844526419839253E-4</v>
      </c>
      <c r="D483" s="18">
        <f t="shared" si="103"/>
        <v>1.584452641983925E-4</v>
      </c>
      <c r="E483">
        <f t="shared" si="104"/>
        <v>4.6609784476459026E-8</v>
      </c>
      <c r="F483">
        <f t="shared" si="110"/>
        <v>-9.4369170255959034E-9</v>
      </c>
      <c r="G483">
        <f t="shared" si="111"/>
        <v>4.6609784476459026E-8</v>
      </c>
      <c r="L483" s="7">
        <f t="shared" si="105"/>
        <v>4.9720262030229161E-2</v>
      </c>
      <c r="M483" s="7">
        <f t="shared" si="106"/>
        <v>4.9720262030229168E-2</v>
      </c>
      <c r="N483" s="20">
        <f t="shared" si="100"/>
        <v>4.9720262030229168E-2</v>
      </c>
      <c r="O483">
        <f t="shared" si="107"/>
        <v>5.8207660913467407E-10</v>
      </c>
      <c r="P483">
        <f t="shared" si="108"/>
        <v>-3.4924596548080444E-10</v>
      </c>
      <c r="Q483">
        <f t="shared" si="109"/>
        <v>-3.4924596548080444E-10</v>
      </c>
    </row>
    <row r="484" spans="2:17" x14ac:dyDescent="0.25">
      <c r="B484" s="18">
        <f t="shared" si="101"/>
        <v>1.584452641983925E-4</v>
      </c>
      <c r="C484" s="18">
        <f t="shared" si="102"/>
        <v>1.5844526419839253E-4</v>
      </c>
      <c r="D484" s="18">
        <f t="shared" si="103"/>
        <v>1.584452641983925E-4</v>
      </c>
      <c r="E484">
        <f t="shared" si="104"/>
        <v>4.6609784476459026E-8</v>
      </c>
      <c r="F484">
        <f t="shared" si="110"/>
        <v>-9.4369170255959034E-9</v>
      </c>
      <c r="G484">
        <f t="shared" si="111"/>
        <v>4.6609784476459026E-8</v>
      </c>
      <c r="L484" s="7">
        <f t="shared" si="105"/>
        <v>4.9720262030229161E-2</v>
      </c>
      <c r="M484" s="7">
        <f t="shared" si="106"/>
        <v>4.9720262030229168E-2</v>
      </c>
      <c r="N484" s="20">
        <f t="shared" si="100"/>
        <v>4.9720262030229168E-2</v>
      </c>
      <c r="O484">
        <f t="shared" si="107"/>
        <v>5.8207660913467407E-10</v>
      </c>
      <c r="P484">
        <f t="shared" si="108"/>
        <v>-3.4924596548080444E-10</v>
      </c>
      <c r="Q484">
        <f t="shared" si="109"/>
        <v>-3.4924596548080444E-10</v>
      </c>
    </row>
    <row r="485" spans="2:17" x14ac:dyDescent="0.25">
      <c r="B485" s="18">
        <f t="shared" si="101"/>
        <v>1.584452641983925E-4</v>
      </c>
      <c r="C485" s="18">
        <f t="shared" si="102"/>
        <v>1.5844526419839253E-4</v>
      </c>
      <c r="D485" s="18">
        <f t="shared" si="103"/>
        <v>1.584452641983925E-4</v>
      </c>
      <c r="E485">
        <f t="shared" si="104"/>
        <v>4.6609784476459026E-8</v>
      </c>
      <c r="F485">
        <f t="shared" si="110"/>
        <v>-9.4369170255959034E-9</v>
      </c>
      <c r="G485">
        <f t="shared" si="111"/>
        <v>4.6609784476459026E-8</v>
      </c>
      <c r="L485" s="7">
        <f t="shared" si="105"/>
        <v>4.9720262030229161E-2</v>
      </c>
      <c r="M485" s="7">
        <f t="shared" si="106"/>
        <v>4.9720262030229168E-2</v>
      </c>
      <c r="N485" s="20">
        <f t="shared" si="100"/>
        <v>4.9720262030229168E-2</v>
      </c>
      <c r="O485">
        <f t="shared" si="107"/>
        <v>5.8207660913467407E-10</v>
      </c>
      <c r="P485">
        <f t="shared" si="108"/>
        <v>-3.4924596548080444E-10</v>
      </c>
      <c r="Q485">
        <f t="shared" si="109"/>
        <v>-3.4924596548080444E-10</v>
      </c>
    </row>
    <row r="486" spans="2:17" x14ac:dyDescent="0.25">
      <c r="B486" s="18">
        <f t="shared" si="101"/>
        <v>1.584452641983925E-4</v>
      </c>
      <c r="C486" s="18">
        <f t="shared" si="102"/>
        <v>1.5844526419839253E-4</v>
      </c>
      <c r="D486" s="18">
        <f t="shared" si="103"/>
        <v>1.584452641983925E-4</v>
      </c>
      <c r="E486">
        <f t="shared" si="104"/>
        <v>4.6609784476459026E-8</v>
      </c>
      <c r="F486">
        <f t="shared" si="110"/>
        <v>-9.4369170255959034E-9</v>
      </c>
      <c r="G486">
        <f t="shared" si="111"/>
        <v>4.6609784476459026E-8</v>
      </c>
      <c r="L486" s="7">
        <f t="shared" si="105"/>
        <v>4.9720262030229161E-2</v>
      </c>
      <c r="M486" s="7">
        <f t="shared" si="106"/>
        <v>4.9720262030229168E-2</v>
      </c>
      <c r="N486" s="20">
        <f t="shared" si="100"/>
        <v>4.9720262030229168E-2</v>
      </c>
      <c r="O486">
        <f t="shared" si="107"/>
        <v>5.8207660913467407E-10</v>
      </c>
      <c r="P486">
        <f t="shared" si="108"/>
        <v>-3.4924596548080444E-10</v>
      </c>
      <c r="Q486">
        <f t="shared" si="109"/>
        <v>-3.4924596548080444E-10</v>
      </c>
    </row>
    <row r="487" spans="2:17" x14ac:dyDescent="0.25">
      <c r="B487" s="18">
        <f t="shared" si="101"/>
        <v>1.584452641983925E-4</v>
      </c>
      <c r="C487" s="18">
        <f t="shared" si="102"/>
        <v>1.5844526419839253E-4</v>
      </c>
      <c r="D487" s="18">
        <f t="shared" si="103"/>
        <v>1.584452641983925E-4</v>
      </c>
      <c r="E487">
        <f t="shared" si="104"/>
        <v>4.6609784476459026E-8</v>
      </c>
      <c r="F487">
        <f t="shared" si="110"/>
        <v>-9.4369170255959034E-9</v>
      </c>
      <c r="G487">
        <f t="shared" si="111"/>
        <v>4.6609784476459026E-8</v>
      </c>
      <c r="L487" s="7">
        <f t="shared" si="105"/>
        <v>4.9720262030229161E-2</v>
      </c>
      <c r="M487" s="7">
        <f t="shared" si="106"/>
        <v>4.9720262030229168E-2</v>
      </c>
      <c r="N487" s="20">
        <f t="shared" si="100"/>
        <v>4.9720262030229168E-2</v>
      </c>
      <c r="O487">
        <f t="shared" si="107"/>
        <v>5.8207660913467407E-10</v>
      </c>
      <c r="P487">
        <f t="shared" si="108"/>
        <v>-3.4924596548080444E-10</v>
      </c>
      <c r="Q487">
        <f t="shared" si="109"/>
        <v>-3.4924596548080444E-10</v>
      </c>
    </row>
    <row r="488" spans="2:17" x14ac:dyDescent="0.25">
      <c r="B488" s="18">
        <f t="shared" si="101"/>
        <v>1.584452641983925E-4</v>
      </c>
      <c r="C488" s="18">
        <f t="shared" si="102"/>
        <v>1.5844526419839253E-4</v>
      </c>
      <c r="D488" s="18">
        <f t="shared" si="103"/>
        <v>1.584452641983925E-4</v>
      </c>
      <c r="E488">
        <f t="shared" si="104"/>
        <v>4.6609784476459026E-8</v>
      </c>
      <c r="F488">
        <f t="shared" si="110"/>
        <v>-9.4369170255959034E-9</v>
      </c>
      <c r="G488">
        <f t="shared" si="111"/>
        <v>4.6609784476459026E-8</v>
      </c>
      <c r="L488" s="7">
        <f t="shared" si="105"/>
        <v>4.9720262030229161E-2</v>
      </c>
      <c r="M488" s="7">
        <f t="shared" si="106"/>
        <v>4.9720262030229168E-2</v>
      </c>
      <c r="N488" s="20">
        <f t="shared" si="100"/>
        <v>4.9720262030229168E-2</v>
      </c>
      <c r="O488">
        <f t="shared" si="107"/>
        <v>5.8207660913467407E-10</v>
      </c>
      <c r="P488">
        <f t="shared" si="108"/>
        <v>-3.4924596548080444E-10</v>
      </c>
      <c r="Q488">
        <f t="shared" si="109"/>
        <v>-3.4924596548080444E-10</v>
      </c>
    </row>
    <row r="489" spans="2:17" x14ac:dyDescent="0.25">
      <c r="B489" s="18">
        <f t="shared" si="101"/>
        <v>1.584452641983925E-4</v>
      </c>
      <c r="C489" s="18">
        <f t="shared" si="102"/>
        <v>1.5844526419839253E-4</v>
      </c>
      <c r="D489" s="18">
        <f t="shared" si="103"/>
        <v>1.584452641983925E-4</v>
      </c>
      <c r="E489">
        <f t="shared" si="104"/>
        <v>4.6609784476459026E-8</v>
      </c>
      <c r="F489">
        <f t="shared" si="110"/>
        <v>-9.4369170255959034E-9</v>
      </c>
      <c r="G489">
        <f t="shared" si="111"/>
        <v>4.6609784476459026E-8</v>
      </c>
      <c r="L489" s="7">
        <f t="shared" si="105"/>
        <v>4.9720262030229161E-2</v>
      </c>
      <c r="M489" s="7">
        <f t="shared" si="106"/>
        <v>4.9720262030229168E-2</v>
      </c>
      <c r="N489" s="20">
        <f t="shared" si="100"/>
        <v>4.9720262030229168E-2</v>
      </c>
      <c r="O489">
        <f t="shared" si="107"/>
        <v>5.8207660913467407E-10</v>
      </c>
      <c r="P489">
        <f t="shared" si="108"/>
        <v>-3.4924596548080444E-10</v>
      </c>
      <c r="Q489">
        <f t="shared" si="109"/>
        <v>-3.4924596548080444E-10</v>
      </c>
    </row>
    <row r="490" spans="2:17" x14ac:dyDescent="0.25">
      <c r="B490" s="18">
        <f t="shared" si="101"/>
        <v>1.584452641983925E-4</v>
      </c>
      <c r="C490" s="18">
        <f t="shared" si="102"/>
        <v>1.5844526419839253E-4</v>
      </c>
      <c r="D490" s="18">
        <f t="shared" si="103"/>
        <v>1.584452641983925E-4</v>
      </c>
      <c r="E490">
        <f t="shared" si="104"/>
        <v>4.6609784476459026E-8</v>
      </c>
      <c r="F490">
        <f t="shared" si="110"/>
        <v>-9.4369170255959034E-9</v>
      </c>
      <c r="G490">
        <f t="shared" si="111"/>
        <v>4.6609784476459026E-8</v>
      </c>
      <c r="L490" s="7">
        <f t="shared" si="105"/>
        <v>4.9720262030229161E-2</v>
      </c>
      <c r="M490" s="7">
        <f t="shared" si="106"/>
        <v>4.9720262030229168E-2</v>
      </c>
      <c r="N490" s="20">
        <f t="shared" si="100"/>
        <v>4.9720262030229168E-2</v>
      </c>
      <c r="O490">
        <f t="shared" si="107"/>
        <v>5.8207660913467407E-10</v>
      </c>
      <c r="P490">
        <f t="shared" si="108"/>
        <v>-3.4924596548080444E-10</v>
      </c>
      <c r="Q490">
        <f t="shared" si="109"/>
        <v>-3.4924596548080444E-10</v>
      </c>
    </row>
    <row r="491" spans="2:17" x14ac:dyDescent="0.25">
      <c r="B491" s="18">
        <f t="shared" si="101"/>
        <v>1.584452641983925E-4</v>
      </c>
      <c r="C491" s="18">
        <f t="shared" si="102"/>
        <v>1.5844526419839253E-4</v>
      </c>
      <c r="D491" s="18">
        <f t="shared" si="103"/>
        <v>1.584452641983925E-4</v>
      </c>
      <c r="E491">
        <f t="shared" si="104"/>
        <v>4.6609784476459026E-8</v>
      </c>
      <c r="F491">
        <f t="shared" si="110"/>
        <v>-9.4369170255959034E-9</v>
      </c>
      <c r="G491">
        <f t="shared" si="111"/>
        <v>4.6609784476459026E-8</v>
      </c>
      <c r="L491" s="7">
        <f t="shared" si="105"/>
        <v>4.9720262030229161E-2</v>
      </c>
      <c r="M491" s="7">
        <f t="shared" si="106"/>
        <v>4.9720262030229168E-2</v>
      </c>
      <c r="N491" s="20">
        <f t="shared" si="100"/>
        <v>4.9720262030229168E-2</v>
      </c>
      <c r="O491">
        <f t="shared" si="107"/>
        <v>5.8207660913467407E-10</v>
      </c>
      <c r="P491">
        <f t="shared" si="108"/>
        <v>-3.4924596548080444E-10</v>
      </c>
      <c r="Q491">
        <f t="shared" si="109"/>
        <v>-3.4924596548080444E-10</v>
      </c>
    </row>
    <row r="492" spans="2:17" x14ac:dyDescent="0.25">
      <c r="B492" s="18">
        <f t="shared" si="101"/>
        <v>1.584452641983925E-4</v>
      </c>
      <c r="C492" s="18">
        <f t="shared" si="102"/>
        <v>1.5844526419839253E-4</v>
      </c>
      <c r="D492" s="18">
        <f t="shared" si="103"/>
        <v>1.584452641983925E-4</v>
      </c>
      <c r="E492">
        <f t="shared" si="104"/>
        <v>4.6609784476459026E-8</v>
      </c>
      <c r="F492">
        <f t="shared" si="110"/>
        <v>-9.4369170255959034E-9</v>
      </c>
      <c r="G492">
        <f t="shared" si="111"/>
        <v>4.6609784476459026E-8</v>
      </c>
      <c r="L492" s="7">
        <f t="shared" si="105"/>
        <v>4.9720262030229161E-2</v>
      </c>
      <c r="M492" s="7">
        <f t="shared" si="106"/>
        <v>4.9720262030229168E-2</v>
      </c>
      <c r="N492" s="20">
        <f t="shared" si="100"/>
        <v>4.9720262030229168E-2</v>
      </c>
      <c r="O492">
        <f t="shared" si="107"/>
        <v>5.8207660913467407E-10</v>
      </c>
      <c r="P492">
        <f t="shared" si="108"/>
        <v>-3.4924596548080444E-10</v>
      </c>
      <c r="Q492">
        <f t="shared" si="109"/>
        <v>-3.4924596548080444E-10</v>
      </c>
    </row>
    <row r="493" spans="2:17" x14ac:dyDescent="0.25">
      <c r="B493" s="18">
        <f t="shared" si="101"/>
        <v>1.584452641983925E-4</v>
      </c>
      <c r="C493" s="18">
        <f t="shared" si="102"/>
        <v>1.5844526419839253E-4</v>
      </c>
      <c r="D493" s="18">
        <f t="shared" si="103"/>
        <v>1.584452641983925E-4</v>
      </c>
      <c r="E493">
        <f t="shared" si="104"/>
        <v>4.6609784476459026E-8</v>
      </c>
      <c r="F493">
        <f t="shared" si="110"/>
        <v>-9.4369170255959034E-9</v>
      </c>
      <c r="G493">
        <f t="shared" si="111"/>
        <v>4.6609784476459026E-8</v>
      </c>
      <c r="L493" s="7">
        <f t="shared" si="105"/>
        <v>4.9720262030229161E-2</v>
      </c>
      <c r="M493" s="7">
        <f t="shared" si="106"/>
        <v>4.9720262030229168E-2</v>
      </c>
      <c r="N493" s="20">
        <f t="shared" si="100"/>
        <v>4.9720262030229168E-2</v>
      </c>
      <c r="O493">
        <f t="shared" si="107"/>
        <v>5.8207660913467407E-10</v>
      </c>
      <c r="P493">
        <f t="shared" si="108"/>
        <v>-3.4924596548080444E-10</v>
      </c>
      <c r="Q493">
        <f t="shared" si="109"/>
        <v>-3.4924596548080444E-10</v>
      </c>
    </row>
    <row r="494" spans="2:17" x14ac:dyDescent="0.25">
      <c r="B494" s="18">
        <f t="shared" si="101"/>
        <v>1.584452641983925E-4</v>
      </c>
      <c r="C494" s="18">
        <f t="shared" si="102"/>
        <v>1.5844526419839253E-4</v>
      </c>
      <c r="D494" s="18">
        <f t="shared" si="103"/>
        <v>1.584452641983925E-4</v>
      </c>
      <c r="E494">
        <f t="shared" si="104"/>
        <v>4.6609784476459026E-8</v>
      </c>
      <c r="F494">
        <f t="shared" si="110"/>
        <v>-9.4369170255959034E-9</v>
      </c>
      <c r="G494">
        <f t="shared" si="111"/>
        <v>4.6609784476459026E-8</v>
      </c>
      <c r="L494" s="7">
        <f t="shared" si="105"/>
        <v>4.9720262030229161E-2</v>
      </c>
      <c r="M494" s="7">
        <f t="shared" si="106"/>
        <v>4.9720262030229168E-2</v>
      </c>
      <c r="N494" s="20">
        <f t="shared" si="100"/>
        <v>4.9720262030229168E-2</v>
      </c>
      <c r="O494">
        <f t="shared" si="107"/>
        <v>5.8207660913467407E-10</v>
      </c>
      <c r="P494">
        <f t="shared" si="108"/>
        <v>-3.4924596548080444E-10</v>
      </c>
      <c r="Q494">
        <f t="shared" si="109"/>
        <v>-3.4924596548080444E-10</v>
      </c>
    </row>
    <row r="495" spans="2:17" x14ac:dyDescent="0.25">
      <c r="B495" s="18">
        <f t="shared" si="101"/>
        <v>1.584452641983925E-4</v>
      </c>
      <c r="C495" s="18">
        <f t="shared" si="102"/>
        <v>1.5844526419839253E-4</v>
      </c>
      <c r="D495" s="18">
        <f t="shared" si="103"/>
        <v>1.584452641983925E-4</v>
      </c>
      <c r="E495">
        <f t="shared" si="104"/>
        <v>4.6609784476459026E-8</v>
      </c>
      <c r="F495">
        <f t="shared" si="110"/>
        <v>-9.4369170255959034E-9</v>
      </c>
      <c r="G495">
        <f t="shared" si="111"/>
        <v>4.6609784476459026E-8</v>
      </c>
      <c r="L495" s="7">
        <f t="shared" si="105"/>
        <v>4.9720262030229161E-2</v>
      </c>
      <c r="M495" s="7">
        <f t="shared" si="106"/>
        <v>4.9720262030229168E-2</v>
      </c>
      <c r="N495" s="20">
        <f t="shared" si="100"/>
        <v>4.9720262030229168E-2</v>
      </c>
      <c r="O495">
        <f t="shared" si="107"/>
        <v>5.8207660913467407E-10</v>
      </c>
      <c r="P495">
        <f t="shared" si="108"/>
        <v>-3.4924596548080444E-10</v>
      </c>
      <c r="Q495">
        <f t="shared" si="109"/>
        <v>-3.4924596548080444E-10</v>
      </c>
    </row>
    <row r="496" spans="2:17" x14ac:dyDescent="0.25">
      <c r="B496" s="18">
        <f t="shared" si="101"/>
        <v>1.584452641983925E-4</v>
      </c>
      <c r="C496" s="18">
        <f t="shared" si="102"/>
        <v>1.5844526419839253E-4</v>
      </c>
      <c r="D496" s="18">
        <f t="shared" si="103"/>
        <v>1.584452641983925E-4</v>
      </c>
      <c r="E496">
        <f t="shared" si="104"/>
        <v>4.6609784476459026E-8</v>
      </c>
      <c r="F496">
        <f t="shared" si="110"/>
        <v>-9.4369170255959034E-9</v>
      </c>
      <c r="G496">
        <f t="shared" si="111"/>
        <v>4.6609784476459026E-8</v>
      </c>
      <c r="L496" s="7">
        <f t="shared" si="105"/>
        <v>4.9720262030229161E-2</v>
      </c>
      <c r="M496" s="7">
        <f t="shared" si="106"/>
        <v>4.9720262030229168E-2</v>
      </c>
      <c r="N496" s="20">
        <f t="shared" si="100"/>
        <v>4.9720262030229168E-2</v>
      </c>
      <c r="O496">
        <f t="shared" si="107"/>
        <v>5.8207660913467407E-10</v>
      </c>
      <c r="P496">
        <f t="shared" si="108"/>
        <v>-3.4924596548080444E-10</v>
      </c>
      <c r="Q496">
        <f t="shared" si="109"/>
        <v>-3.4924596548080444E-10</v>
      </c>
    </row>
    <row r="497" spans="2:17" x14ac:dyDescent="0.25">
      <c r="B497" s="18">
        <f t="shared" si="101"/>
        <v>1.584452641983925E-4</v>
      </c>
      <c r="C497" s="18">
        <f t="shared" si="102"/>
        <v>1.5844526419839253E-4</v>
      </c>
      <c r="D497" s="18">
        <f t="shared" si="103"/>
        <v>1.584452641983925E-4</v>
      </c>
      <c r="E497">
        <f t="shared" si="104"/>
        <v>4.6609784476459026E-8</v>
      </c>
      <c r="F497">
        <f t="shared" si="110"/>
        <v>-9.4369170255959034E-9</v>
      </c>
      <c r="G497">
        <f t="shared" si="111"/>
        <v>4.6609784476459026E-8</v>
      </c>
      <c r="L497" s="7">
        <f t="shared" si="105"/>
        <v>4.9720262030229161E-2</v>
      </c>
      <c r="M497" s="7">
        <f t="shared" si="106"/>
        <v>4.9720262030229168E-2</v>
      </c>
      <c r="N497" s="20">
        <f t="shared" si="100"/>
        <v>4.9720262030229168E-2</v>
      </c>
      <c r="O497">
        <f t="shared" si="107"/>
        <v>5.8207660913467407E-10</v>
      </c>
      <c r="P497">
        <f t="shared" si="108"/>
        <v>-3.4924596548080444E-10</v>
      </c>
      <c r="Q497">
        <f t="shared" si="109"/>
        <v>-3.4924596548080444E-10</v>
      </c>
    </row>
    <row r="498" spans="2:17" x14ac:dyDescent="0.25">
      <c r="B498" s="18">
        <f t="shared" si="101"/>
        <v>1.584452641983925E-4</v>
      </c>
      <c r="C498" s="18">
        <f t="shared" si="102"/>
        <v>1.5844526419839253E-4</v>
      </c>
      <c r="D498" s="18">
        <f t="shared" si="103"/>
        <v>1.584452641983925E-4</v>
      </c>
      <c r="E498">
        <f t="shared" si="104"/>
        <v>4.6609784476459026E-8</v>
      </c>
      <c r="F498">
        <f t="shared" si="110"/>
        <v>-9.4369170255959034E-9</v>
      </c>
      <c r="G498">
        <f t="shared" si="111"/>
        <v>4.6609784476459026E-8</v>
      </c>
      <c r="L498" s="7">
        <f t="shared" si="105"/>
        <v>4.9720262030229161E-2</v>
      </c>
      <c r="M498" s="7">
        <f t="shared" si="106"/>
        <v>4.9720262030229168E-2</v>
      </c>
      <c r="N498" s="20">
        <f t="shared" si="100"/>
        <v>4.9720262030229168E-2</v>
      </c>
      <c r="O498">
        <f t="shared" si="107"/>
        <v>5.8207660913467407E-10</v>
      </c>
      <c r="P498">
        <f t="shared" si="108"/>
        <v>-3.4924596548080444E-10</v>
      </c>
      <c r="Q498">
        <f t="shared" si="109"/>
        <v>-3.4924596548080444E-10</v>
      </c>
    </row>
    <row r="499" spans="2:17" x14ac:dyDescent="0.25">
      <c r="B499" s="18">
        <f t="shared" si="101"/>
        <v>1.584452641983925E-4</v>
      </c>
      <c r="C499" s="18">
        <f t="shared" si="102"/>
        <v>1.5844526419839253E-4</v>
      </c>
      <c r="D499" s="18">
        <f t="shared" si="103"/>
        <v>1.584452641983925E-4</v>
      </c>
      <c r="E499">
        <f t="shared" si="104"/>
        <v>4.6609784476459026E-8</v>
      </c>
      <c r="F499">
        <f t="shared" si="110"/>
        <v>-9.4369170255959034E-9</v>
      </c>
      <c r="G499">
        <f t="shared" si="111"/>
        <v>4.6609784476459026E-8</v>
      </c>
      <c r="L499" s="7">
        <f t="shared" si="105"/>
        <v>4.9720262030229161E-2</v>
      </c>
      <c r="M499" s="7">
        <f t="shared" si="106"/>
        <v>4.9720262030229168E-2</v>
      </c>
      <c r="N499" s="20">
        <f t="shared" si="100"/>
        <v>4.9720262030229168E-2</v>
      </c>
      <c r="O499">
        <f t="shared" si="107"/>
        <v>5.8207660913467407E-10</v>
      </c>
      <c r="P499">
        <f t="shared" si="108"/>
        <v>-3.4924596548080444E-10</v>
      </c>
      <c r="Q499">
        <f t="shared" si="109"/>
        <v>-3.4924596548080444E-10</v>
      </c>
    </row>
    <row r="500" spans="2:17" x14ac:dyDescent="0.25">
      <c r="B500" s="18">
        <f t="shared" si="101"/>
        <v>1.584452641983925E-4</v>
      </c>
      <c r="C500" s="18">
        <f t="shared" si="102"/>
        <v>1.5844526419839253E-4</v>
      </c>
      <c r="D500" s="18">
        <f t="shared" si="103"/>
        <v>1.584452641983925E-4</v>
      </c>
      <c r="E500">
        <f t="shared" si="104"/>
        <v>4.6609784476459026E-8</v>
      </c>
      <c r="F500">
        <f t="shared" si="110"/>
        <v>-9.4369170255959034E-9</v>
      </c>
      <c r="G500">
        <f t="shared" si="111"/>
        <v>4.6609784476459026E-8</v>
      </c>
      <c r="L500" s="7">
        <f t="shared" si="105"/>
        <v>4.9720262030229161E-2</v>
      </c>
      <c r="M500" s="7">
        <f t="shared" si="106"/>
        <v>4.9720262030229168E-2</v>
      </c>
      <c r="N500" s="20">
        <f t="shared" si="100"/>
        <v>4.9720262030229168E-2</v>
      </c>
      <c r="O500">
        <f t="shared" si="107"/>
        <v>5.8207660913467407E-10</v>
      </c>
      <c r="P500">
        <f t="shared" si="108"/>
        <v>-3.4924596548080444E-10</v>
      </c>
      <c r="Q500">
        <f t="shared" si="109"/>
        <v>-3.4924596548080444E-10</v>
      </c>
    </row>
    <row r="501" spans="2:17" x14ac:dyDescent="0.25">
      <c r="B501" s="18">
        <f t="shared" si="101"/>
        <v>1.584452641983925E-4</v>
      </c>
      <c r="C501" s="18">
        <f t="shared" si="102"/>
        <v>1.5844526419839253E-4</v>
      </c>
      <c r="D501" s="18">
        <f t="shared" si="103"/>
        <v>1.584452641983925E-4</v>
      </c>
      <c r="E501">
        <f t="shared" si="104"/>
        <v>4.6609784476459026E-8</v>
      </c>
      <c r="F501">
        <f t="shared" si="110"/>
        <v>-9.4369170255959034E-9</v>
      </c>
      <c r="G501">
        <f t="shared" si="111"/>
        <v>4.6609784476459026E-8</v>
      </c>
      <c r="L501" s="7">
        <f t="shared" si="105"/>
        <v>4.9720262030229161E-2</v>
      </c>
      <c r="M501" s="7">
        <f t="shared" si="106"/>
        <v>4.9720262030229168E-2</v>
      </c>
      <c r="N501" s="20">
        <f t="shared" si="100"/>
        <v>4.9720262030229168E-2</v>
      </c>
      <c r="O501">
        <f t="shared" si="107"/>
        <v>5.8207660913467407E-10</v>
      </c>
      <c r="P501">
        <f t="shared" si="108"/>
        <v>-3.4924596548080444E-10</v>
      </c>
      <c r="Q501">
        <f t="shared" si="109"/>
        <v>-3.4924596548080444E-10</v>
      </c>
    </row>
    <row r="502" spans="2:17" x14ac:dyDescent="0.25">
      <c r="B502" s="18">
        <f t="shared" si="101"/>
        <v>1.584452641983925E-4</v>
      </c>
      <c r="C502" s="18">
        <f t="shared" si="102"/>
        <v>1.5844526419839253E-4</v>
      </c>
      <c r="D502" s="18">
        <f t="shared" si="103"/>
        <v>1.584452641983925E-4</v>
      </c>
      <c r="E502">
        <f t="shared" si="104"/>
        <v>4.6609784476459026E-8</v>
      </c>
      <c r="F502">
        <f t="shared" si="110"/>
        <v>-9.4369170255959034E-9</v>
      </c>
      <c r="G502">
        <f t="shared" si="111"/>
        <v>4.6609784476459026E-8</v>
      </c>
      <c r="L502" s="7">
        <f t="shared" si="105"/>
        <v>4.9720262030229161E-2</v>
      </c>
      <c r="M502" s="7">
        <f t="shared" si="106"/>
        <v>4.9720262030229168E-2</v>
      </c>
      <c r="N502" s="20">
        <f t="shared" si="100"/>
        <v>4.9720262030229168E-2</v>
      </c>
      <c r="O502">
        <f t="shared" si="107"/>
        <v>5.8207660913467407E-10</v>
      </c>
      <c r="P502">
        <f t="shared" si="108"/>
        <v>-3.4924596548080444E-10</v>
      </c>
      <c r="Q502">
        <f t="shared" si="109"/>
        <v>-3.4924596548080444E-10</v>
      </c>
    </row>
    <row r="503" spans="2:17" x14ac:dyDescent="0.25">
      <c r="B503" s="18">
        <f t="shared" si="101"/>
        <v>1.584452641983925E-4</v>
      </c>
      <c r="C503" s="18">
        <f t="shared" si="102"/>
        <v>1.5844526419839253E-4</v>
      </c>
      <c r="D503" s="18">
        <f t="shared" si="103"/>
        <v>1.584452641983925E-4</v>
      </c>
      <c r="E503">
        <f t="shared" si="104"/>
        <v>4.6609784476459026E-8</v>
      </c>
      <c r="F503">
        <f t="shared" si="110"/>
        <v>-9.4369170255959034E-9</v>
      </c>
      <c r="G503">
        <f t="shared" si="111"/>
        <v>4.6609784476459026E-8</v>
      </c>
      <c r="L503" s="7">
        <f t="shared" si="105"/>
        <v>4.9720262030229161E-2</v>
      </c>
      <c r="M503" s="7">
        <f t="shared" si="106"/>
        <v>4.9720262030229168E-2</v>
      </c>
      <c r="N503" s="20">
        <f t="shared" si="100"/>
        <v>4.9720262030229168E-2</v>
      </c>
      <c r="O503">
        <f t="shared" si="107"/>
        <v>5.8207660913467407E-10</v>
      </c>
      <c r="P503">
        <f t="shared" si="108"/>
        <v>-3.4924596548080444E-10</v>
      </c>
      <c r="Q503">
        <f t="shared" si="109"/>
        <v>-3.4924596548080444E-10</v>
      </c>
    </row>
    <row r="504" spans="2:17" x14ac:dyDescent="0.25">
      <c r="B504" s="18">
        <f t="shared" si="101"/>
        <v>1.584452641983925E-4</v>
      </c>
      <c r="C504" s="18">
        <f t="shared" si="102"/>
        <v>1.5844526419839253E-4</v>
      </c>
      <c r="D504" s="18">
        <f t="shared" si="103"/>
        <v>1.584452641983925E-4</v>
      </c>
      <c r="E504">
        <f t="shared" si="104"/>
        <v>4.6609784476459026E-8</v>
      </c>
      <c r="F504">
        <f t="shared" si="110"/>
        <v>-9.4369170255959034E-9</v>
      </c>
      <c r="G504">
        <f t="shared" si="111"/>
        <v>4.6609784476459026E-8</v>
      </c>
      <c r="L504" s="7">
        <f t="shared" si="105"/>
        <v>4.9720262030229161E-2</v>
      </c>
      <c r="M504" s="7">
        <f t="shared" si="106"/>
        <v>4.9720262030229168E-2</v>
      </c>
      <c r="N504" s="20">
        <f t="shared" si="100"/>
        <v>4.9720262030229168E-2</v>
      </c>
      <c r="O504">
        <f t="shared" si="107"/>
        <v>5.8207660913467407E-10</v>
      </c>
      <c r="P504">
        <f t="shared" si="108"/>
        <v>-3.4924596548080444E-10</v>
      </c>
      <c r="Q504">
        <f t="shared" si="109"/>
        <v>-3.4924596548080444E-10</v>
      </c>
    </row>
    <row r="505" spans="2:17" x14ac:dyDescent="0.25">
      <c r="B505" s="18">
        <f t="shared" si="101"/>
        <v>1.584452641983925E-4</v>
      </c>
      <c r="C505" s="18">
        <f t="shared" si="102"/>
        <v>1.5844526419839253E-4</v>
      </c>
      <c r="D505" s="18">
        <f t="shared" si="103"/>
        <v>1.584452641983925E-4</v>
      </c>
      <c r="E505">
        <f t="shared" si="104"/>
        <v>4.6609784476459026E-8</v>
      </c>
      <c r="F505">
        <f t="shared" si="110"/>
        <v>-9.4369170255959034E-9</v>
      </c>
      <c r="G505">
        <f t="shared" si="111"/>
        <v>4.6609784476459026E-8</v>
      </c>
      <c r="L505" s="7">
        <f t="shared" si="105"/>
        <v>4.9720262030229161E-2</v>
      </c>
      <c r="M505" s="7">
        <f t="shared" si="106"/>
        <v>4.9720262030229168E-2</v>
      </c>
      <c r="N505" s="20">
        <f t="shared" si="100"/>
        <v>4.9720262030229168E-2</v>
      </c>
      <c r="O505">
        <f t="shared" si="107"/>
        <v>5.8207660913467407E-10</v>
      </c>
      <c r="P505">
        <f t="shared" si="108"/>
        <v>-3.4924596548080444E-10</v>
      </c>
      <c r="Q505">
        <f t="shared" si="109"/>
        <v>-3.4924596548080444E-10</v>
      </c>
    </row>
    <row r="506" spans="2:17" x14ac:dyDescent="0.25">
      <c r="B506" s="18">
        <f t="shared" si="101"/>
        <v>1.584452641983925E-4</v>
      </c>
      <c r="C506" s="18">
        <f t="shared" si="102"/>
        <v>1.5844526419839253E-4</v>
      </c>
      <c r="D506" s="18">
        <f t="shared" si="103"/>
        <v>1.584452641983925E-4</v>
      </c>
      <c r="E506">
        <f t="shared" si="104"/>
        <v>4.6609784476459026E-8</v>
      </c>
      <c r="F506">
        <f t="shared" si="110"/>
        <v>-9.4369170255959034E-9</v>
      </c>
      <c r="G506">
        <f t="shared" si="111"/>
        <v>4.6609784476459026E-8</v>
      </c>
      <c r="L506" s="7">
        <f t="shared" si="105"/>
        <v>4.9720262030229161E-2</v>
      </c>
      <c r="M506" s="7">
        <f t="shared" si="106"/>
        <v>4.9720262030229168E-2</v>
      </c>
      <c r="N506" s="20">
        <f t="shared" si="100"/>
        <v>4.9720262030229168E-2</v>
      </c>
      <c r="O506">
        <f t="shared" si="107"/>
        <v>5.8207660913467407E-10</v>
      </c>
      <c r="P506">
        <f t="shared" si="108"/>
        <v>-3.4924596548080444E-10</v>
      </c>
      <c r="Q506">
        <f t="shared" si="109"/>
        <v>-3.4924596548080444E-10</v>
      </c>
    </row>
    <row r="507" spans="2:17" x14ac:dyDescent="0.25">
      <c r="B507" s="18">
        <f t="shared" si="101"/>
        <v>1.584452641983925E-4</v>
      </c>
      <c r="C507" s="18">
        <f t="shared" si="102"/>
        <v>1.5844526419839253E-4</v>
      </c>
      <c r="D507" s="18">
        <f t="shared" si="103"/>
        <v>1.584452641983925E-4</v>
      </c>
      <c r="E507">
        <f t="shared" si="104"/>
        <v>4.6609784476459026E-8</v>
      </c>
      <c r="F507">
        <f t="shared" si="110"/>
        <v>-9.4369170255959034E-9</v>
      </c>
      <c r="G507">
        <f t="shared" si="111"/>
        <v>4.6609784476459026E-8</v>
      </c>
      <c r="L507" s="7">
        <f t="shared" si="105"/>
        <v>4.9720262030229161E-2</v>
      </c>
      <c r="M507" s="7">
        <f t="shared" si="106"/>
        <v>4.9720262030229168E-2</v>
      </c>
      <c r="N507" s="20">
        <f t="shared" si="100"/>
        <v>4.9720262030229168E-2</v>
      </c>
      <c r="O507">
        <f t="shared" si="107"/>
        <v>5.8207660913467407E-10</v>
      </c>
      <c r="P507">
        <f t="shared" si="108"/>
        <v>-3.4924596548080444E-10</v>
      </c>
      <c r="Q507">
        <f t="shared" si="109"/>
        <v>-3.4924596548080444E-10</v>
      </c>
    </row>
    <row r="508" spans="2:17" x14ac:dyDescent="0.25">
      <c r="B508" s="18">
        <f t="shared" si="101"/>
        <v>1.584452641983925E-4</v>
      </c>
      <c r="C508" s="18">
        <f t="shared" si="102"/>
        <v>1.5844526419839253E-4</v>
      </c>
      <c r="D508" s="18">
        <f t="shared" si="103"/>
        <v>1.584452641983925E-4</v>
      </c>
      <c r="E508">
        <f t="shared" si="104"/>
        <v>4.6609784476459026E-8</v>
      </c>
      <c r="F508">
        <f t="shared" si="110"/>
        <v>-9.4369170255959034E-9</v>
      </c>
      <c r="G508">
        <f t="shared" si="111"/>
        <v>4.6609784476459026E-8</v>
      </c>
      <c r="L508" s="7">
        <f t="shared" si="105"/>
        <v>4.9720262030229161E-2</v>
      </c>
      <c r="M508" s="7">
        <f t="shared" si="106"/>
        <v>4.9720262030229168E-2</v>
      </c>
      <c r="N508" s="20">
        <f t="shared" si="100"/>
        <v>4.9720262030229168E-2</v>
      </c>
      <c r="O508">
        <f t="shared" si="107"/>
        <v>5.8207660913467407E-10</v>
      </c>
      <c r="P508">
        <f t="shared" si="108"/>
        <v>-3.4924596548080444E-10</v>
      </c>
      <c r="Q508">
        <f t="shared" si="109"/>
        <v>-3.4924596548080444E-10</v>
      </c>
    </row>
    <row r="509" spans="2:17" x14ac:dyDescent="0.25">
      <c r="B509" s="18">
        <f t="shared" si="101"/>
        <v>1.584452641983925E-4</v>
      </c>
      <c r="C509" s="18">
        <f t="shared" si="102"/>
        <v>1.5844526419839253E-4</v>
      </c>
      <c r="D509" s="18">
        <f t="shared" si="103"/>
        <v>1.584452641983925E-4</v>
      </c>
      <c r="E509">
        <f t="shared" si="104"/>
        <v>4.6609784476459026E-8</v>
      </c>
      <c r="F509">
        <f t="shared" si="110"/>
        <v>-9.4369170255959034E-9</v>
      </c>
      <c r="G509">
        <f t="shared" si="111"/>
        <v>4.6609784476459026E-8</v>
      </c>
      <c r="L509" s="7">
        <f t="shared" si="105"/>
        <v>4.9720262030229161E-2</v>
      </c>
      <c r="M509" s="7">
        <f t="shared" si="106"/>
        <v>4.9720262030229168E-2</v>
      </c>
      <c r="N509" s="20">
        <f t="shared" si="100"/>
        <v>4.9720262030229168E-2</v>
      </c>
      <c r="O509">
        <f t="shared" si="107"/>
        <v>5.8207660913467407E-10</v>
      </c>
      <c r="P509">
        <f t="shared" si="108"/>
        <v>-3.4924596548080444E-10</v>
      </c>
      <c r="Q509">
        <f t="shared" si="109"/>
        <v>-3.4924596548080444E-10</v>
      </c>
    </row>
    <row r="510" spans="2:17" x14ac:dyDescent="0.25">
      <c r="B510" s="18">
        <f t="shared" si="101"/>
        <v>1.584452641983925E-4</v>
      </c>
      <c r="C510" s="18">
        <f t="shared" si="102"/>
        <v>1.5844526419839253E-4</v>
      </c>
      <c r="D510" s="18">
        <f t="shared" si="103"/>
        <v>1.584452641983925E-4</v>
      </c>
      <c r="E510">
        <f t="shared" si="104"/>
        <v>4.6609784476459026E-8</v>
      </c>
      <c r="F510">
        <f t="shared" si="110"/>
        <v>-9.4369170255959034E-9</v>
      </c>
      <c r="G510">
        <f t="shared" si="111"/>
        <v>4.6609784476459026E-8</v>
      </c>
      <c r="L510" s="7">
        <f t="shared" si="105"/>
        <v>4.9720262030229161E-2</v>
      </c>
      <c r="M510" s="7">
        <f t="shared" si="106"/>
        <v>4.9720262030229168E-2</v>
      </c>
      <c r="N510" s="20">
        <f t="shared" si="100"/>
        <v>4.9720262030229168E-2</v>
      </c>
      <c r="O510">
        <f t="shared" si="107"/>
        <v>5.8207660913467407E-10</v>
      </c>
      <c r="P510">
        <f t="shared" si="108"/>
        <v>-3.4924596548080444E-10</v>
      </c>
      <c r="Q510">
        <f t="shared" si="109"/>
        <v>-3.4924596548080444E-10</v>
      </c>
    </row>
    <row r="511" spans="2:17" x14ac:dyDescent="0.25">
      <c r="B511" s="18">
        <f t="shared" si="101"/>
        <v>1.584452641983925E-4</v>
      </c>
      <c r="C511" s="18">
        <f t="shared" si="102"/>
        <v>1.5844526419839253E-4</v>
      </c>
      <c r="D511" s="18">
        <f t="shared" si="103"/>
        <v>1.584452641983925E-4</v>
      </c>
      <c r="E511">
        <f t="shared" si="104"/>
        <v>4.6609784476459026E-8</v>
      </c>
      <c r="F511">
        <f t="shared" si="110"/>
        <v>-9.4369170255959034E-9</v>
      </c>
      <c r="G511">
        <f t="shared" si="111"/>
        <v>4.6609784476459026E-8</v>
      </c>
      <c r="L511" s="7">
        <f t="shared" si="105"/>
        <v>4.9720262030229161E-2</v>
      </c>
      <c r="M511" s="7">
        <f t="shared" si="106"/>
        <v>4.9720262030229168E-2</v>
      </c>
      <c r="N511" s="20">
        <f t="shared" si="100"/>
        <v>4.9720262030229168E-2</v>
      </c>
      <c r="O511">
        <f t="shared" si="107"/>
        <v>5.8207660913467407E-10</v>
      </c>
      <c r="P511">
        <f t="shared" si="108"/>
        <v>-3.4924596548080444E-10</v>
      </c>
      <c r="Q511">
        <f t="shared" si="109"/>
        <v>-3.4924596548080444E-10</v>
      </c>
    </row>
    <row r="512" spans="2:17" x14ac:dyDescent="0.25">
      <c r="B512" s="18">
        <f t="shared" si="101"/>
        <v>1.584452641983925E-4</v>
      </c>
      <c r="C512" s="18">
        <f t="shared" si="102"/>
        <v>1.5844526419839253E-4</v>
      </c>
      <c r="D512" s="18">
        <f t="shared" si="103"/>
        <v>1.584452641983925E-4</v>
      </c>
      <c r="E512">
        <f t="shared" si="104"/>
        <v>4.6609784476459026E-8</v>
      </c>
      <c r="F512">
        <f t="shared" si="110"/>
        <v>-9.4369170255959034E-9</v>
      </c>
      <c r="G512">
        <f t="shared" si="111"/>
        <v>4.6609784476459026E-8</v>
      </c>
      <c r="L512" s="7">
        <f t="shared" si="105"/>
        <v>4.9720262030229161E-2</v>
      </c>
      <c r="M512" s="7">
        <f t="shared" si="106"/>
        <v>4.9720262030229168E-2</v>
      </c>
      <c r="N512" s="20">
        <f t="shared" si="100"/>
        <v>4.9720262030229168E-2</v>
      </c>
      <c r="O512">
        <f t="shared" si="107"/>
        <v>5.8207660913467407E-10</v>
      </c>
      <c r="P512">
        <f t="shared" si="108"/>
        <v>-3.4924596548080444E-10</v>
      </c>
      <c r="Q512">
        <f t="shared" si="109"/>
        <v>-3.4924596548080444E-10</v>
      </c>
    </row>
    <row r="513" spans="2:17" x14ac:dyDescent="0.25">
      <c r="B513" s="18">
        <f t="shared" si="101"/>
        <v>1.584452641983925E-4</v>
      </c>
      <c r="C513" s="18">
        <f t="shared" si="102"/>
        <v>1.5844526419839253E-4</v>
      </c>
      <c r="D513" s="18">
        <f t="shared" si="103"/>
        <v>1.584452641983925E-4</v>
      </c>
      <c r="E513">
        <f t="shared" si="104"/>
        <v>4.6609784476459026E-8</v>
      </c>
      <c r="F513">
        <f t="shared" si="110"/>
        <v>-9.4369170255959034E-9</v>
      </c>
      <c r="G513">
        <f t="shared" si="111"/>
        <v>4.6609784476459026E-8</v>
      </c>
      <c r="L513" s="7">
        <f t="shared" si="105"/>
        <v>4.9720262030229161E-2</v>
      </c>
      <c r="M513" s="7">
        <f t="shared" si="106"/>
        <v>4.9720262030229168E-2</v>
      </c>
      <c r="N513" s="20">
        <f t="shared" si="100"/>
        <v>4.9720262030229168E-2</v>
      </c>
      <c r="O513">
        <f t="shared" si="107"/>
        <v>5.8207660913467407E-10</v>
      </c>
      <c r="P513">
        <f t="shared" si="108"/>
        <v>-3.4924596548080444E-10</v>
      </c>
      <c r="Q513">
        <f t="shared" si="109"/>
        <v>-3.4924596548080444E-10</v>
      </c>
    </row>
    <row r="514" spans="2:17" x14ac:dyDescent="0.25">
      <c r="B514" s="18">
        <f t="shared" si="101"/>
        <v>1.584452641983925E-4</v>
      </c>
      <c r="C514" s="18">
        <f t="shared" si="102"/>
        <v>1.5844526419839253E-4</v>
      </c>
      <c r="D514" s="18">
        <f t="shared" si="103"/>
        <v>1.584452641983925E-4</v>
      </c>
      <c r="E514">
        <f t="shared" si="104"/>
        <v>4.6609784476459026E-8</v>
      </c>
      <c r="F514">
        <f t="shared" si="110"/>
        <v>-9.4369170255959034E-9</v>
      </c>
      <c r="G514">
        <f t="shared" si="111"/>
        <v>4.6609784476459026E-8</v>
      </c>
      <c r="L514" s="7">
        <f t="shared" si="105"/>
        <v>4.9720262030229161E-2</v>
      </c>
      <c r="M514" s="7">
        <f t="shared" si="106"/>
        <v>4.9720262030229168E-2</v>
      </c>
      <c r="N514" s="20">
        <f t="shared" si="100"/>
        <v>4.9720262030229168E-2</v>
      </c>
      <c r="O514">
        <f t="shared" si="107"/>
        <v>5.8207660913467407E-10</v>
      </c>
      <c r="P514">
        <f t="shared" si="108"/>
        <v>-3.4924596548080444E-10</v>
      </c>
      <c r="Q514">
        <f t="shared" si="109"/>
        <v>-3.4924596548080444E-10</v>
      </c>
    </row>
    <row r="515" spans="2:17" x14ac:dyDescent="0.25">
      <c r="B515" s="18">
        <f t="shared" si="101"/>
        <v>1.584452641983925E-4</v>
      </c>
      <c r="C515" s="18">
        <f t="shared" si="102"/>
        <v>1.5844526419839253E-4</v>
      </c>
      <c r="D515" s="18">
        <f t="shared" si="103"/>
        <v>1.584452641983925E-4</v>
      </c>
      <c r="E515">
        <f t="shared" si="104"/>
        <v>4.6609784476459026E-8</v>
      </c>
      <c r="F515">
        <f t="shared" si="110"/>
        <v>-9.4369170255959034E-9</v>
      </c>
      <c r="G515">
        <f t="shared" si="111"/>
        <v>4.6609784476459026E-8</v>
      </c>
      <c r="L515" s="7">
        <f t="shared" si="105"/>
        <v>4.9720262030229161E-2</v>
      </c>
      <c r="M515" s="7">
        <f t="shared" si="106"/>
        <v>4.9720262030229168E-2</v>
      </c>
      <c r="N515" s="20">
        <f t="shared" si="100"/>
        <v>4.9720262030229168E-2</v>
      </c>
      <c r="O515">
        <f t="shared" si="107"/>
        <v>5.8207660913467407E-10</v>
      </c>
      <c r="P515">
        <f t="shared" si="108"/>
        <v>-3.4924596548080444E-10</v>
      </c>
      <c r="Q515">
        <f t="shared" si="109"/>
        <v>-3.4924596548080444E-10</v>
      </c>
    </row>
    <row r="516" spans="2:17" x14ac:dyDescent="0.25">
      <c r="B516" s="18">
        <f t="shared" si="101"/>
        <v>1.584452641983925E-4</v>
      </c>
      <c r="C516" s="18">
        <f t="shared" si="102"/>
        <v>1.5844526419839253E-4</v>
      </c>
      <c r="D516" s="18">
        <f t="shared" si="103"/>
        <v>1.584452641983925E-4</v>
      </c>
      <c r="E516">
        <f t="shared" si="104"/>
        <v>4.6609784476459026E-8</v>
      </c>
      <c r="F516">
        <f t="shared" si="110"/>
        <v>-9.4369170255959034E-9</v>
      </c>
      <c r="G516">
        <f t="shared" si="111"/>
        <v>4.6609784476459026E-8</v>
      </c>
      <c r="L516" s="7">
        <f t="shared" si="105"/>
        <v>4.9720262030229161E-2</v>
      </c>
      <c r="M516" s="7">
        <f t="shared" si="106"/>
        <v>4.9720262030229168E-2</v>
      </c>
      <c r="N516" s="20">
        <f t="shared" si="100"/>
        <v>4.9720262030229168E-2</v>
      </c>
      <c r="O516">
        <f t="shared" si="107"/>
        <v>5.8207660913467407E-10</v>
      </c>
      <c r="P516">
        <f t="shared" si="108"/>
        <v>-3.4924596548080444E-10</v>
      </c>
      <c r="Q516">
        <f t="shared" si="109"/>
        <v>-3.4924596548080444E-10</v>
      </c>
    </row>
    <row r="517" spans="2:17" x14ac:dyDescent="0.25">
      <c r="B517" s="18">
        <f t="shared" si="101"/>
        <v>1.584452641983925E-4</v>
      </c>
      <c r="C517" s="18">
        <f t="shared" si="102"/>
        <v>1.5844526419839253E-4</v>
      </c>
      <c r="D517" s="18">
        <f t="shared" si="103"/>
        <v>1.584452641983925E-4</v>
      </c>
      <c r="E517">
        <f t="shared" si="104"/>
        <v>4.6609784476459026E-8</v>
      </c>
      <c r="F517">
        <f t="shared" si="110"/>
        <v>-9.4369170255959034E-9</v>
      </c>
      <c r="G517">
        <f t="shared" si="111"/>
        <v>4.6609784476459026E-8</v>
      </c>
      <c r="L517" s="7">
        <f t="shared" si="105"/>
        <v>4.9720262030229161E-2</v>
      </c>
      <c r="M517" s="7">
        <f t="shared" si="106"/>
        <v>4.9720262030229168E-2</v>
      </c>
      <c r="N517" s="20">
        <f t="shared" si="100"/>
        <v>4.9720262030229168E-2</v>
      </c>
      <c r="O517">
        <f t="shared" si="107"/>
        <v>5.8207660913467407E-10</v>
      </c>
      <c r="P517">
        <f t="shared" si="108"/>
        <v>-3.4924596548080444E-10</v>
      </c>
      <c r="Q517">
        <f t="shared" si="109"/>
        <v>-3.4924596548080444E-10</v>
      </c>
    </row>
    <row r="518" spans="2:17" x14ac:dyDescent="0.25">
      <c r="B518" s="18">
        <f t="shared" si="101"/>
        <v>1.584452641983925E-4</v>
      </c>
      <c r="C518" s="18">
        <f t="shared" si="102"/>
        <v>1.5844526419839253E-4</v>
      </c>
      <c r="D518" s="18">
        <f t="shared" si="103"/>
        <v>1.584452641983925E-4</v>
      </c>
      <c r="E518">
        <f t="shared" si="104"/>
        <v>4.6609784476459026E-8</v>
      </c>
      <c r="F518">
        <f t="shared" si="110"/>
        <v>-9.4369170255959034E-9</v>
      </c>
      <c r="G518">
        <f t="shared" si="111"/>
        <v>4.6609784476459026E-8</v>
      </c>
      <c r="L518" s="7">
        <f t="shared" si="105"/>
        <v>4.9720262030229161E-2</v>
      </c>
      <c r="M518" s="7">
        <f t="shared" si="106"/>
        <v>4.9720262030229168E-2</v>
      </c>
      <c r="N518" s="20">
        <f t="shared" si="100"/>
        <v>4.9720262030229168E-2</v>
      </c>
      <c r="O518">
        <f t="shared" si="107"/>
        <v>5.8207660913467407E-10</v>
      </c>
      <c r="P518">
        <f t="shared" si="108"/>
        <v>-3.4924596548080444E-10</v>
      </c>
      <c r="Q518">
        <f t="shared" si="109"/>
        <v>-3.4924596548080444E-10</v>
      </c>
    </row>
    <row r="519" spans="2:17" x14ac:dyDescent="0.25">
      <c r="B519" s="18">
        <f t="shared" si="101"/>
        <v>1.584452641983925E-4</v>
      </c>
      <c r="C519" s="18">
        <f t="shared" si="102"/>
        <v>1.5844526419839253E-4</v>
      </c>
      <c r="D519" s="18">
        <f t="shared" si="103"/>
        <v>1.584452641983925E-4</v>
      </c>
      <c r="E519">
        <f t="shared" si="104"/>
        <v>4.6609784476459026E-8</v>
      </c>
      <c r="F519">
        <f t="shared" si="110"/>
        <v>-9.4369170255959034E-9</v>
      </c>
      <c r="G519">
        <f t="shared" si="111"/>
        <v>4.6609784476459026E-8</v>
      </c>
      <c r="L519" s="7">
        <f t="shared" si="105"/>
        <v>4.9720262030229161E-2</v>
      </c>
      <c r="M519" s="7">
        <f t="shared" si="106"/>
        <v>4.9720262030229168E-2</v>
      </c>
      <c r="N519" s="20">
        <f t="shared" si="100"/>
        <v>4.9720262030229168E-2</v>
      </c>
      <c r="O519">
        <f t="shared" si="107"/>
        <v>5.8207660913467407E-10</v>
      </c>
      <c r="P519">
        <f t="shared" si="108"/>
        <v>-3.4924596548080444E-10</v>
      </c>
      <c r="Q519">
        <f t="shared" si="109"/>
        <v>-3.4924596548080444E-10</v>
      </c>
    </row>
    <row r="520" spans="2:17" x14ac:dyDescent="0.25">
      <c r="B520" s="18">
        <f t="shared" si="101"/>
        <v>1.584452641983925E-4</v>
      </c>
      <c r="C520" s="18">
        <f t="shared" si="102"/>
        <v>1.5844526419839253E-4</v>
      </c>
      <c r="D520" s="18">
        <f t="shared" si="103"/>
        <v>1.584452641983925E-4</v>
      </c>
      <c r="E520">
        <f t="shared" si="104"/>
        <v>4.6609784476459026E-8</v>
      </c>
      <c r="F520">
        <f t="shared" si="110"/>
        <v>-9.4369170255959034E-9</v>
      </c>
      <c r="G520">
        <f t="shared" si="111"/>
        <v>4.6609784476459026E-8</v>
      </c>
      <c r="L520" s="7">
        <f t="shared" si="105"/>
        <v>4.9720262030229161E-2</v>
      </c>
      <c r="M520" s="7">
        <f t="shared" si="106"/>
        <v>4.9720262030229168E-2</v>
      </c>
      <c r="N520" s="20">
        <f t="shared" si="100"/>
        <v>4.9720262030229168E-2</v>
      </c>
      <c r="O520">
        <f t="shared" si="107"/>
        <v>5.8207660913467407E-10</v>
      </c>
      <c r="P520">
        <f t="shared" si="108"/>
        <v>-3.4924596548080444E-10</v>
      </c>
      <c r="Q520">
        <f t="shared" si="109"/>
        <v>-3.4924596548080444E-10</v>
      </c>
    </row>
    <row r="521" spans="2:17" x14ac:dyDescent="0.25">
      <c r="B521" s="18">
        <f t="shared" si="101"/>
        <v>1.584452641983925E-4</v>
      </c>
      <c r="C521" s="18">
        <f t="shared" si="102"/>
        <v>1.5844526419839253E-4</v>
      </c>
      <c r="D521" s="18">
        <f t="shared" si="103"/>
        <v>1.584452641983925E-4</v>
      </c>
      <c r="E521">
        <f t="shared" si="104"/>
        <v>4.6609784476459026E-8</v>
      </c>
      <c r="F521">
        <f t="shared" si="110"/>
        <v>-9.4369170255959034E-9</v>
      </c>
      <c r="G521">
        <f t="shared" si="111"/>
        <v>4.6609784476459026E-8</v>
      </c>
      <c r="L521" s="7">
        <f t="shared" si="105"/>
        <v>4.9720262030229161E-2</v>
      </c>
      <c r="M521" s="7">
        <f t="shared" si="106"/>
        <v>4.9720262030229168E-2</v>
      </c>
      <c r="N521" s="20">
        <f t="shared" si="100"/>
        <v>4.9720262030229168E-2</v>
      </c>
      <c r="O521">
        <f t="shared" si="107"/>
        <v>5.8207660913467407E-10</v>
      </c>
      <c r="P521">
        <f t="shared" si="108"/>
        <v>-3.4924596548080444E-10</v>
      </c>
      <c r="Q521">
        <f t="shared" si="109"/>
        <v>-3.4924596548080444E-10</v>
      </c>
    </row>
    <row r="522" spans="2:17" x14ac:dyDescent="0.25">
      <c r="B522" s="18">
        <f t="shared" si="101"/>
        <v>1.584452641983925E-4</v>
      </c>
      <c r="C522" s="18">
        <f t="shared" si="102"/>
        <v>1.5844526419839253E-4</v>
      </c>
      <c r="D522" s="18">
        <f t="shared" si="103"/>
        <v>1.584452641983925E-4</v>
      </c>
      <c r="E522">
        <f t="shared" si="104"/>
        <v>4.6609784476459026E-8</v>
      </c>
      <c r="F522">
        <f t="shared" si="110"/>
        <v>-9.4369170255959034E-9</v>
      </c>
      <c r="G522">
        <f t="shared" si="111"/>
        <v>4.6609784476459026E-8</v>
      </c>
      <c r="L522" s="7">
        <f t="shared" si="105"/>
        <v>4.9720262030229161E-2</v>
      </c>
      <c r="M522" s="7">
        <f t="shared" si="106"/>
        <v>4.9720262030229168E-2</v>
      </c>
      <c r="N522" s="20">
        <f t="shared" si="100"/>
        <v>4.9720262030229168E-2</v>
      </c>
      <c r="O522">
        <f t="shared" si="107"/>
        <v>5.8207660913467407E-10</v>
      </c>
      <c r="P522">
        <f t="shared" si="108"/>
        <v>-3.4924596548080444E-10</v>
      </c>
      <c r="Q522">
        <f t="shared" si="109"/>
        <v>-3.4924596548080444E-10</v>
      </c>
    </row>
    <row r="523" spans="2:17" x14ac:dyDescent="0.25">
      <c r="B523" s="18">
        <f t="shared" si="101"/>
        <v>1.584452641983925E-4</v>
      </c>
      <c r="C523" s="18">
        <f t="shared" si="102"/>
        <v>1.5844526419839253E-4</v>
      </c>
      <c r="D523" s="18">
        <f t="shared" si="103"/>
        <v>1.584452641983925E-4</v>
      </c>
      <c r="E523">
        <f t="shared" si="104"/>
        <v>4.6609784476459026E-8</v>
      </c>
      <c r="F523">
        <f t="shared" si="110"/>
        <v>-9.4369170255959034E-9</v>
      </c>
      <c r="G523">
        <f t="shared" si="111"/>
        <v>4.6609784476459026E-8</v>
      </c>
      <c r="L523" s="7">
        <f t="shared" si="105"/>
        <v>4.9720262030229161E-2</v>
      </c>
      <c r="M523" s="7">
        <f t="shared" si="106"/>
        <v>4.9720262030229168E-2</v>
      </c>
      <c r="N523" s="20">
        <f t="shared" si="100"/>
        <v>4.9720262030229168E-2</v>
      </c>
      <c r="O523">
        <f t="shared" si="107"/>
        <v>5.8207660913467407E-10</v>
      </c>
      <c r="P523">
        <f t="shared" si="108"/>
        <v>-3.4924596548080444E-10</v>
      </c>
      <c r="Q523">
        <f t="shared" si="109"/>
        <v>-3.4924596548080444E-10</v>
      </c>
    </row>
    <row r="524" spans="2:17" x14ac:dyDescent="0.25">
      <c r="B524" s="18">
        <f t="shared" si="101"/>
        <v>1.584452641983925E-4</v>
      </c>
      <c r="C524" s="18">
        <f t="shared" si="102"/>
        <v>1.5844526419839253E-4</v>
      </c>
      <c r="D524" s="18">
        <f t="shared" si="103"/>
        <v>1.584452641983925E-4</v>
      </c>
      <c r="E524">
        <f t="shared" si="104"/>
        <v>4.6609784476459026E-8</v>
      </c>
      <c r="F524">
        <f t="shared" si="110"/>
        <v>-9.4369170255959034E-9</v>
      </c>
      <c r="G524">
        <f t="shared" si="111"/>
        <v>4.6609784476459026E-8</v>
      </c>
      <c r="L524" s="7">
        <f t="shared" si="105"/>
        <v>4.9720262030229161E-2</v>
      </c>
      <c r="M524" s="7">
        <f t="shared" si="106"/>
        <v>4.9720262030229168E-2</v>
      </c>
      <c r="N524" s="20">
        <f t="shared" si="100"/>
        <v>4.9720262030229168E-2</v>
      </c>
      <c r="O524">
        <f t="shared" si="107"/>
        <v>5.8207660913467407E-10</v>
      </c>
      <c r="P524">
        <f t="shared" si="108"/>
        <v>-3.4924596548080444E-10</v>
      </c>
      <c r="Q524">
        <f t="shared" si="109"/>
        <v>-3.4924596548080444E-10</v>
      </c>
    </row>
    <row r="525" spans="2:17" x14ac:dyDescent="0.25">
      <c r="B525" s="18">
        <f t="shared" si="101"/>
        <v>1.584452641983925E-4</v>
      </c>
      <c r="C525" s="18">
        <f t="shared" si="102"/>
        <v>1.5844526419839253E-4</v>
      </c>
      <c r="D525" s="18">
        <f t="shared" si="103"/>
        <v>1.584452641983925E-4</v>
      </c>
      <c r="E525">
        <f t="shared" si="104"/>
        <v>4.6609784476459026E-8</v>
      </c>
      <c r="F525">
        <f t="shared" si="110"/>
        <v>-9.4369170255959034E-9</v>
      </c>
      <c r="G525">
        <f t="shared" si="111"/>
        <v>4.6609784476459026E-8</v>
      </c>
      <c r="L525" s="7">
        <f t="shared" si="105"/>
        <v>4.9720262030229161E-2</v>
      </c>
      <c r="M525" s="7">
        <f t="shared" si="106"/>
        <v>4.9720262030229168E-2</v>
      </c>
      <c r="N525" s="20">
        <f t="shared" si="100"/>
        <v>4.9720262030229168E-2</v>
      </c>
      <c r="O525">
        <f t="shared" si="107"/>
        <v>5.8207660913467407E-10</v>
      </c>
      <c r="P525">
        <f t="shared" si="108"/>
        <v>-3.4924596548080444E-10</v>
      </c>
      <c r="Q525">
        <f t="shared" si="109"/>
        <v>-3.4924596548080444E-10</v>
      </c>
    </row>
    <row r="526" spans="2:17" x14ac:dyDescent="0.25">
      <c r="B526" s="18">
        <f t="shared" si="101"/>
        <v>1.584452641983925E-4</v>
      </c>
      <c r="C526" s="18">
        <f t="shared" si="102"/>
        <v>1.5844526419839253E-4</v>
      </c>
      <c r="D526" s="18">
        <f t="shared" si="103"/>
        <v>1.584452641983925E-4</v>
      </c>
      <c r="E526">
        <f t="shared" si="104"/>
        <v>4.6609784476459026E-8</v>
      </c>
      <c r="F526">
        <f t="shared" si="110"/>
        <v>-9.4369170255959034E-9</v>
      </c>
      <c r="G526">
        <f t="shared" si="111"/>
        <v>4.6609784476459026E-8</v>
      </c>
      <c r="L526" s="7">
        <f t="shared" si="105"/>
        <v>4.9720262030229161E-2</v>
      </c>
      <c r="M526" s="7">
        <f t="shared" si="106"/>
        <v>4.9720262030229168E-2</v>
      </c>
      <c r="N526" s="20">
        <f t="shared" si="100"/>
        <v>4.9720262030229168E-2</v>
      </c>
      <c r="O526">
        <f t="shared" si="107"/>
        <v>5.8207660913467407E-10</v>
      </c>
      <c r="P526">
        <f t="shared" si="108"/>
        <v>-3.4924596548080444E-10</v>
      </c>
      <c r="Q526">
        <f t="shared" si="109"/>
        <v>-3.4924596548080444E-10</v>
      </c>
    </row>
    <row r="527" spans="2:17" x14ac:dyDescent="0.25">
      <c r="B527" s="18">
        <f t="shared" si="101"/>
        <v>1.584452641983925E-4</v>
      </c>
      <c r="C527" s="18">
        <f t="shared" si="102"/>
        <v>1.5844526419839253E-4</v>
      </c>
      <c r="D527" s="18">
        <f t="shared" si="103"/>
        <v>1.584452641983925E-4</v>
      </c>
      <c r="E527">
        <f t="shared" si="104"/>
        <v>4.6609784476459026E-8</v>
      </c>
      <c r="F527">
        <f t="shared" si="110"/>
        <v>-9.4369170255959034E-9</v>
      </c>
      <c r="G527">
        <f t="shared" si="111"/>
        <v>4.6609784476459026E-8</v>
      </c>
      <c r="L527" s="7">
        <f t="shared" si="105"/>
        <v>4.9720262030229161E-2</v>
      </c>
      <c r="M527" s="7">
        <f t="shared" si="106"/>
        <v>4.9720262030229168E-2</v>
      </c>
      <c r="N527" s="20">
        <f t="shared" si="100"/>
        <v>4.9720262030229168E-2</v>
      </c>
      <c r="O527">
        <f t="shared" si="107"/>
        <v>5.8207660913467407E-10</v>
      </c>
      <c r="P527">
        <f t="shared" si="108"/>
        <v>-3.4924596548080444E-10</v>
      </c>
      <c r="Q527">
        <f t="shared" si="109"/>
        <v>-3.4924596548080444E-10</v>
      </c>
    </row>
    <row r="528" spans="2:17" x14ac:dyDescent="0.25">
      <c r="B528" s="18">
        <f t="shared" si="101"/>
        <v>1.584452641983925E-4</v>
      </c>
      <c r="C528" s="18">
        <f t="shared" si="102"/>
        <v>1.5844526419839253E-4</v>
      </c>
      <c r="D528" s="18">
        <f t="shared" si="103"/>
        <v>1.584452641983925E-4</v>
      </c>
      <c r="E528">
        <f t="shared" si="104"/>
        <v>4.6609784476459026E-8</v>
      </c>
      <c r="F528">
        <f t="shared" si="110"/>
        <v>-9.4369170255959034E-9</v>
      </c>
      <c r="G528">
        <f t="shared" si="111"/>
        <v>4.6609784476459026E-8</v>
      </c>
      <c r="L528" s="7">
        <f t="shared" si="105"/>
        <v>4.9720262030229161E-2</v>
      </c>
      <c r="M528" s="7">
        <f t="shared" si="106"/>
        <v>4.9720262030229168E-2</v>
      </c>
      <c r="N528" s="20">
        <f t="shared" si="100"/>
        <v>4.9720262030229168E-2</v>
      </c>
      <c r="O528">
        <f t="shared" si="107"/>
        <v>5.8207660913467407E-10</v>
      </c>
      <c r="P528">
        <f t="shared" si="108"/>
        <v>-3.4924596548080444E-10</v>
      </c>
      <c r="Q528">
        <f t="shared" si="109"/>
        <v>-3.4924596548080444E-10</v>
      </c>
    </row>
    <row r="529" spans="2:17" x14ac:dyDescent="0.25">
      <c r="B529" s="18">
        <f t="shared" si="101"/>
        <v>1.584452641983925E-4</v>
      </c>
      <c r="C529" s="18">
        <f t="shared" si="102"/>
        <v>1.5844526419839253E-4</v>
      </c>
      <c r="D529" s="18">
        <f t="shared" si="103"/>
        <v>1.584452641983925E-4</v>
      </c>
      <c r="E529">
        <f t="shared" si="104"/>
        <v>4.6609784476459026E-8</v>
      </c>
      <c r="F529">
        <f t="shared" si="110"/>
        <v>-9.4369170255959034E-9</v>
      </c>
      <c r="G529">
        <f t="shared" si="111"/>
        <v>4.6609784476459026E-8</v>
      </c>
      <c r="L529" s="7">
        <f t="shared" si="105"/>
        <v>4.9720262030229161E-2</v>
      </c>
      <c r="M529" s="7">
        <f t="shared" si="106"/>
        <v>4.9720262030229168E-2</v>
      </c>
      <c r="N529" s="20">
        <f t="shared" si="100"/>
        <v>4.9720262030229168E-2</v>
      </c>
      <c r="O529">
        <f t="shared" si="107"/>
        <v>5.8207660913467407E-10</v>
      </c>
      <c r="P529">
        <f t="shared" si="108"/>
        <v>-3.4924596548080444E-10</v>
      </c>
      <c r="Q529">
        <f t="shared" si="109"/>
        <v>-3.4924596548080444E-10</v>
      </c>
    </row>
    <row r="530" spans="2:17" x14ac:dyDescent="0.25">
      <c r="B530" s="18">
        <f t="shared" si="101"/>
        <v>1.584452641983925E-4</v>
      </c>
      <c r="C530" s="18">
        <f t="shared" si="102"/>
        <v>1.5844526419839253E-4</v>
      </c>
      <c r="D530" s="18">
        <f t="shared" si="103"/>
        <v>1.584452641983925E-4</v>
      </c>
      <c r="E530">
        <f t="shared" si="104"/>
        <v>4.6609784476459026E-8</v>
      </c>
      <c r="F530">
        <f t="shared" si="110"/>
        <v>-9.4369170255959034E-9</v>
      </c>
      <c r="G530">
        <f t="shared" si="111"/>
        <v>4.6609784476459026E-8</v>
      </c>
      <c r="L530" s="7">
        <f t="shared" si="105"/>
        <v>4.9720262030229161E-2</v>
      </c>
      <c r="M530" s="7">
        <f t="shared" si="106"/>
        <v>4.9720262030229168E-2</v>
      </c>
      <c r="N530" s="20">
        <f t="shared" si="100"/>
        <v>4.9720262030229168E-2</v>
      </c>
      <c r="O530">
        <f t="shared" si="107"/>
        <v>5.8207660913467407E-10</v>
      </c>
      <c r="P530">
        <f t="shared" si="108"/>
        <v>-3.4924596548080444E-10</v>
      </c>
      <c r="Q530">
        <f t="shared" si="109"/>
        <v>-3.4924596548080444E-10</v>
      </c>
    </row>
    <row r="531" spans="2:17" x14ac:dyDescent="0.25">
      <c r="B531" s="18">
        <f t="shared" si="101"/>
        <v>1.584452641983925E-4</v>
      </c>
      <c r="C531" s="18">
        <f t="shared" si="102"/>
        <v>1.5844526419839253E-4</v>
      </c>
      <c r="D531" s="18">
        <f t="shared" si="103"/>
        <v>1.584452641983925E-4</v>
      </c>
      <c r="E531">
        <f t="shared" si="104"/>
        <v>4.6609784476459026E-8</v>
      </c>
      <c r="F531">
        <f t="shared" si="110"/>
        <v>-9.4369170255959034E-9</v>
      </c>
      <c r="G531">
        <f t="shared" si="111"/>
        <v>4.6609784476459026E-8</v>
      </c>
      <c r="L531" s="7">
        <f t="shared" si="105"/>
        <v>4.9720262030229161E-2</v>
      </c>
      <c r="M531" s="7">
        <f t="shared" si="106"/>
        <v>4.9720262030229168E-2</v>
      </c>
      <c r="N531" s="20">
        <f t="shared" si="100"/>
        <v>4.9720262030229168E-2</v>
      </c>
      <c r="O531">
        <f t="shared" si="107"/>
        <v>5.8207660913467407E-10</v>
      </c>
      <c r="P531">
        <f t="shared" si="108"/>
        <v>-3.4924596548080444E-10</v>
      </c>
      <c r="Q531">
        <f t="shared" si="109"/>
        <v>-3.4924596548080444E-10</v>
      </c>
    </row>
    <row r="532" spans="2:17" x14ac:dyDescent="0.25">
      <c r="B532" s="18">
        <f t="shared" si="101"/>
        <v>1.584452641983925E-4</v>
      </c>
      <c r="C532" s="18">
        <f t="shared" si="102"/>
        <v>1.5844526419839253E-4</v>
      </c>
      <c r="D532" s="18">
        <f t="shared" si="103"/>
        <v>1.584452641983925E-4</v>
      </c>
      <c r="E532">
        <f t="shared" si="104"/>
        <v>4.6609784476459026E-8</v>
      </c>
      <c r="F532">
        <f t="shared" si="110"/>
        <v>-9.4369170255959034E-9</v>
      </c>
      <c r="G532">
        <f t="shared" si="111"/>
        <v>4.6609784476459026E-8</v>
      </c>
      <c r="L532" s="7">
        <f t="shared" si="105"/>
        <v>4.9720262030229161E-2</v>
      </c>
      <c r="M532" s="7">
        <f t="shared" si="106"/>
        <v>4.9720262030229168E-2</v>
      </c>
      <c r="N532" s="20">
        <f t="shared" si="100"/>
        <v>4.9720262030229168E-2</v>
      </c>
      <c r="O532">
        <f t="shared" si="107"/>
        <v>5.8207660913467407E-10</v>
      </c>
      <c r="P532">
        <f t="shared" si="108"/>
        <v>-3.4924596548080444E-10</v>
      </c>
      <c r="Q532">
        <f t="shared" si="109"/>
        <v>-3.4924596548080444E-10</v>
      </c>
    </row>
    <row r="533" spans="2:17" x14ac:dyDescent="0.25">
      <c r="B533" s="18">
        <f t="shared" si="101"/>
        <v>1.584452641983925E-4</v>
      </c>
      <c r="C533" s="18">
        <f t="shared" si="102"/>
        <v>1.5844526419839253E-4</v>
      </c>
      <c r="D533" s="18">
        <f t="shared" si="103"/>
        <v>1.584452641983925E-4</v>
      </c>
      <c r="E533">
        <f t="shared" si="104"/>
        <v>4.6609784476459026E-8</v>
      </c>
      <c r="F533">
        <f t="shared" si="110"/>
        <v>-9.4369170255959034E-9</v>
      </c>
      <c r="G533">
        <f t="shared" si="111"/>
        <v>4.6609784476459026E-8</v>
      </c>
      <c r="L533" s="7">
        <f t="shared" si="105"/>
        <v>4.9720262030229161E-2</v>
      </c>
      <c r="M533" s="7">
        <f t="shared" si="106"/>
        <v>4.9720262030229168E-2</v>
      </c>
      <c r="N533" s="20">
        <f t="shared" si="100"/>
        <v>4.9720262030229168E-2</v>
      </c>
      <c r="O533">
        <f t="shared" si="107"/>
        <v>5.8207660913467407E-10</v>
      </c>
      <c r="P533">
        <f t="shared" si="108"/>
        <v>-3.4924596548080444E-10</v>
      </c>
      <c r="Q533">
        <f t="shared" si="109"/>
        <v>-3.4924596548080444E-10</v>
      </c>
    </row>
    <row r="534" spans="2:17" x14ac:dyDescent="0.25">
      <c r="B534" s="18">
        <f t="shared" si="101"/>
        <v>1.584452641983925E-4</v>
      </c>
      <c r="C534" s="18">
        <f t="shared" si="102"/>
        <v>1.5844526419839253E-4</v>
      </c>
      <c r="D534" s="18">
        <f t="shared" si="103"/>
        <v>1.584452641983925E-4</v>
      </c>
      <c r="E534">
        <f t="shared" si="104"/>
        <v>4.6609784476459026E-8</v>
      </c>
      <c r="F534">
        <f t="shared" si="110"/>
        <v>-9.4369170255959034E-9</v>
      </c>
      <c r="G534">
        <f t="shared" si="111"/>
        <v>4.6609784476459026E-8</v>
      </c>
      <c r="L534" s="7">
        <f t="shared" si="105"/>
        <v>4.9720262030229161E-2</v>
      </c>
      <c r="M534" s="7">
        <f t="shared" si="106"/>
        <v>4.9720262030229168E-2</v>
      </c>
      <c r="N534" s="20">
        <f t="shared" si="100"/>
        <v>4.9720262030229168E-2</v>
      </c>
      <c r="O534">
        <f t="shared" si="107"/>
        <v>5.8207660913467407E-10</v>
      </c>
      <c r="P534">
        <f t="shared" si="108"/>
        <v>-3.4924596548080444E-10</v>
      </c>
      <c r="Q534">
        <f t="shared" si="109"/>
        <v>-3.4924596548080444E-10</v>
      </c>
    </row>
    <row r="535" spans="2:17" x14ac:dyDescent="0.25">
      <c r="B535" s="18">
        <f t="shared" si="101"/>
        <v>1.584452641983925E-4</v>
      </c>
      <c r="C535" s="18">
        <f t="shared" si="102"/>
        <v>1.5844526419839253E-4</v>
      </c>
      <c r="D535" s="18">
        <f t="shared" si="103"/>
        <v>1.584452641983925E-4</v>
      </c>
      <c r="E535">
        <f t="shared" si="104"/>
        <v>4.6609784476459026E-8</v>
      </c>
      <c r="F535">
        <f t="shared" si="110"/>
        <v>-9.4369170255959034E-9</v>
      </c>
      <c r="G535">
        <f t="shared" si="111"/>
        <v>4.6609784476459026E-8</v>
      </c>
      <c r="L535" s="7">
        <f t="shared" si="105"/>
        <v>4.9720262030229161E-2</v>
      </c>
      <c r="M535" s="7">
        <f t="shared" si="106"/>
        <v>4.9720262030229168E-2</v>
      </c>
      <c r="N535" s="20">
        <f t="shared" si="100"/>
        <v>4.9720262030229168E-2</v>
      </c>
      <c r="O535">
        <f t="shared" si="107"/>
        <v>5.8207660913467407E-10</v>
      </c>
      <c r="P535">
        <f t="shared" si="108"/>
        <v>-3.4924596548080444E-10</v>
      </c>
      <c r="Q535">
        <f t="shared" si="109"/>
        <v>-3.4924596548080444E-10</v>
      </c>
    </row>
    <row r="536" spans="2:17" x14ac:dyDescent="0.25">
      <c r="B536" s="18">
        <f t="shared" si="101"/>
        <v>1.584452641983925E-4</v>
      </c>
      <c r="C536" s="18">
        <f t="shared" si="102"/>
        <v>1.5844526419839253E-4</v>
      </c>
      <c r="D536" s="18">
        <f t="shared" si="103"/>
        <v>1.584452641983925E-4</v>
      </c>
      <c r="E536">
        <f t="shared" si="104"/>
        <v>4.6609784476459026E-8</v>
      </c>
      <c r="F536">
        <f t="shared" si="110"/>
        <v>-9.4369170255959034E-9</v>
      </c>
      <c r="G536">
        <f t="shared" si="111"/>
        <v>4.6609784476459026E-8</v>
      </c>
      <c r="L536" s="7">
        <f t="shared" si="105"/>
        <v>4.9720262030229161E-2</v>
      </c>
      <c r="M536" s="7">
        <f t="shared" si="106"/>
        <v>4.9720262030229168E-2</v>
      </c>
      <c r="N536" s="20">
        <f t="shared" si="100"/>
        <v>4.9720262030229168E-2</v>
      </c>
      <c r="O536">
        <f t="shared" si="107"/>
        <v>5.8207660913467407E-10</v>
      </c>
      <c r="P536">
        <f t="shared" si="108"/>
        <v>-3.4924596548080444E-10</v>
      </c>
      <c r="Q536">
        <f t="shared" si="109"/>
        <v>-3.4924596548080444E-10</v>
      </c>
    </row>
    <row r="537" spans="2:17" x14ac:dyDescent="0.25">
      <c r="B537" s="18">
        <f t="shared" si="101"/>
        <v>1.584452641983925E-4</v>
      </c>
      <c r="C537" s="18">
        <f t="shared" si="102"/>
        <v>1.5844526419839253E-4</v>
      </c>
      <c r="D537" s="18">
        <f t="shared" si="103"/>
        <v>1.584452641983925E-4</v>
      </c>
      <c r="E537">
        <f t="shared" si="104"/>
        <v>4.6609784476459026E-8</v>
      </c>
      <c r="F537">
        <f t="shared" si="110"/>
        <v>-9.4369170255959034E-9</v>
      </c>
      <c r="G537">
        <f t="shared" si="111"/>
        <v>4.6609784476459026E-8</v>
      </c>
      <c r="L537" s="7">
        <f t="shared" si="105"/>
        <v>4.9720262030229161E-2</v>
      </c>
      <c r="M537" s="7">
        <f t="shared" si="106"/>
        <v>4.9720262030229168E-2</v>
      </c>
      <c r="N537" s="20">
        <f t="shared" ref="N537:N600" si="112">(L537+M537)/2</f>
        <v>4.9720262030229168E-2</v>
      </c>
      <c r="O537">
        <f t="shared" si="107"/>
        <v>5.8207660913467407E-10</v>
      </c>
      <c r="P537">
        <f t="shared" si="108"/>
        <v>-3.4924596548080444E-10</v>
      </c>
      <c r="Q537">
        <f t="shared" si="109"/>
        <v>-3.4924596548080444E-10</v>
      </c>
    </row>
    <row r="538" spans="2:17" x14ac:dyDescent="0.25">
      <c r="B538" s="18">
        <f t="shared" ref="B538:B601" si="113">IF(E537*G537&lt;0,B537,D537)</f>
        <v>1.584452641983925E-4</v>
      </c>
      <c r="C538" s="18">
        <f t="shared" ref="C538:C601" si="114">IF(F537*G537&lt;0,C537,D537)</f>
        <v>1.5844526419839253E-4</v>
      </c>
      <c r="D538" s="18">
        <f t="shared" ref="D538:D601" si="115">(B538+C538)/2</f>
        <v>1.584452641983925E-4</v>
      </c>
      <c r="E538">
        <f t="shared" ref="E538:E601" si="116">IF($G$8 = "Future Value",$C$5-($D$5*(((1+B538)^($F$5*$G$5)-1)/B538)),$H$5-$D$5*((1-(1+B538)^(-1*$F$5*$G$5))/B538))</f>
        <v>4.6609784476459026E-8</v>
      </c>
      <c r="F538">
        <f t="shared" si="110"/>
        <v>-9.4369170255959034E-9</v>
      </c>
      <c r="G538">
        <f t="shared" si="111"/>
        <v>4.6609784476459026E-8</v>
      </c>
      <c r="L538" s="7">
        <f t="shared" ref="L538:L601" si="117">IF(O537*Q537&lt;0,L537,N537)</f>
        <v>4.9720262030229161E-2</v>
      </c>
      <c r="M538" s="7">
        <f t="shared" ref="M538:M601" si="118">IF(P537*Q537&lt;0,M537,N537)</f>
        <v>4.9720262030229168E-2</v>
      </c>
      <c r="N538" s="20">
        <f t="shared" si="112"/>
        <v>4.9720262030229168E-2</v>
      </c>
      <c r="O538">
        <f t="shared" ref="O538:O601" si="119">IF($Q$8 = "Future Value",$M$5-($N$5*(1+L538)*(((1+L538)^($P$5*$Q$5)-1)/L538)),$R$5-$N$5*(1+L538)*((1-(1+L538)^(-1*$P$5*$Q$5))/L538))</f>
        <v>5.8207660913467407E-10</v>
      </c>
      <c r="P538">
        <f t="shared" ref="P538:P601" si="120">IF($Q$8 = "Future Value",$M$5-($N$5*(1+M538)*(((1+M538)^($P$5*$Q$5)-1)/M538)),$R$5-$N$5*(1+M538)*((1-(1+M538)^(-1*$P$5*$Q$5))/M538))</f>
        <v>-3.4924596548080444E-10</v>
      </c>
      <c r="Q538">
        <f t="shared" ref="Q538:Q601" si="121">IF($Q$8 = "Future Value",$M$5-($N$5*(1+N538)*(((1+N538)^($P$5*$Q$5)-1)/N538)),$R$5-$N$5*(1+N538)*((1-(1+N538)^(-1*$P$5*$Q$5))/N538))</f>
        <v>-3.4924596548080444E-10</v>
      </c>
    </row>
    <row r="539" spans="2:17" x14ac:dyDescent="0.25">
      <c r="B539" s="18">
        <f t="shared" si="113"/>
        <v>1.584452641983925E-4</v>
      </c>
      <c r="C539" s="18">
        <f t="shared" si="114"/>
        <v>1.5844526419839253E-4</v>
      </c>
      <c r="D539" s="18">
        <f t="shared" si="115"/>
        <v>1.584452641983925E-4</v>
      </c>
      <c r="E539">
        <f t="shared" si="116"/>
        <v>4.6609784476459026E-8</v>
      </c>
      <c r="F539">
        <f t="shared" ref="F539:F602" si="122">IF($G$8 = "Future Value",$C$5-($D$5*(((1+C539)^($F$5*$G$5)-1)/C539)),$H$5-$D$5*((1-(1+C539)^(-1*$F$5*$G$5))/C539))</f>
        <v>-9.4369170255959034E-9</v>
      </c>
      <c r="G539">
        <f t="shared" ref="G539:G602" si="123">IF($G$8 = "Future Value",$C$5-($D$5*(((1+D539)^($F$5*$G$5)-1)/D539)),$H$5-$D$5*((1-(1+D539)^(-1*$F$5*$G$5))/D539))</f>
        <v>4.6609784476459026E-8</v>
      </c>
      <c r="L539" s="7">
        <f t="shared" si="117"/>
        <v>4.9720262030229161E-2</v>
      </c>
      <c r="M539" s="7">
        <f t="shared" si="118"/>
        <v>4.9720262030229168E-2</v>
      </c>
      <c r="N539" s="20">
        <f t="shared" si="112"/>
        <v>4.9720262030229168E-2</v>
      </c>
      <c r="O539">
        <f t="shared" si="119"/>
        <v>5.8207660913467407E-10</v>
      </c>
      <c r="P539">
        <f t="shared" si="120"/>
        <v>-3.4924596548080444E-10</v>
      </c>
      <c r="Q539">
        <f t="shared" si="121"/>
        <v>-3.4924596548080444E-10</v>
      </c>
    </row>
    <row r="540" spans="2:17" x14ac:dyDescent="0.25">
      <c r="B540" s="18">
        <f t="shared" si="113"/>
        <v>1.584452641983925E-4</v>
      </c>
      <c r="C540" s="18">
        <f t="shared" si="114"/>
        <v>1.5844526419839253E-4</v>
      </c>
      <c r="D540" s="18">
        <f t="shared" si="115"/>
        <v>1.584452641983925E-4</v>
      </c>
      <c r="E540">
        <f t="shared" si="116"/>
        <v>4.6609784476459026E-8</v>
      </c>
      <c r="F540">
        <f t="shared" si="122"/>
        <v>-9.4369170255959034E-9</v>
      </c>
      <c r="G540">
        <f t="shared" si="123"/>
        <v>4.6609784476459026E-8</v>
      </c>
      <c r="L540" s="7">
        <f t="shared" si="117"/>
        <v>4.9720262030229161E-2</v>
      </c>
      <c r="M540" s="7">
        <f t="shared" si="118"/>
        <v>4.9720262030229168E-2</v>
      </c>
      <c r="N540" s="20">
        <f t="shared" si="112"/>
        <v>4.9720262030229168E-2</v>
      </c>
      <c r="O540">
        <f t="shared" si="119"/>
        <v>5.8207660913467407E-10</v>
      </c>
      <c r="P540">
        <f t="shared" si="120"/>
        <v>-3.4924596548080444E-10</v>
      </c>
      <c r="Q540">
        <f t="shared" si="121"/>
        <v>-3.4924596548080444E-10</v>
      </c>
    </row>
    <row r="541" spans="2:17" x14ac:dyDescent="0.25">
      <c r="B541" s="18">
        <f t="shared" si="113"/>
        <v>1.584452641983925E-4</v>
      </c>
      <c r="C541" s="18">
        <f t="shared" si="114"/>
        <v>1.5844526419839253E-4</v>
      </c>
      <c r="D541" s="18">
        <f t="shared" si="115"/>
        <v>1.584452641983925E-4</v>
      </c>
      <c r="E541">
        <f t="shared" si="116"/>
        <v>4.6609784476459026E-8</v>
      </c>
      <c r="F541">
        <f t="shared" si="122"/>
        <v>-9.4369170255959034E-9</v>
      </c>
      <c r="G541">
        <f t="shared" si="123"/>
        <v>4.6609784476459026E-8</v>
      </c>
      <c r="L541" s="7">
        <f t="shared" si="117"/>
        <v>4.9720262030229161E-2</v>
      </c>
      <c r="M541" s="7">
        <f t="shared" si="118"/>
        <v>4.9720262030229168E-2</v>
      </c>
      <c r="N541" s="20">
        <f t="shared" si="112"/>
        <v>4.9720262030229168E-2</v>
      </c>
      <c r="O541">
        <f t="shared" si="119"/>
        <v>5.8207660913467407E-10</v>
      </c>
      <c r="P541">
        <f t="shared" si="120"/>
        <v>-3.4924596548080444E-10</v>
      </c>
      <c r="Q541">
        <f t="shared" si="121"/>
        <v>-3.4924596548080444E-10</v>
      </c>
    </row>
    <row r="542" spans="2:17" x14ac:dyDescent="0.25">
      <c r="B542" s="18">
        <f t="shared" si="113"/>
        <v>1.584452641983925E-4</v>
      </c>
      <c r="C542" s="18">
        <f t="shared" si="114"/>
        <v>1.5844526419839253E-4</v>
      </c>
      <c r="D542" s="18">
        <f t="shared" si="115"/>
        <v>1.584452641983925E-4</v>
      </c>
      <c r="E542">
        <f t="shared" si="116"/>
        <v>4.6609784476459026E-8</v>
      </c>
      <c r="F542">
        <f t="shared" si="122"/>
        <v>-9.4369170255959034E-9</v>
      </c>
      <c r="G542">
        <f t="shared" si="123"/>
        <v>4.6609784476459026E-8</v>
      </c>
      <c r="L542" s="7">
        <f t="shared" si="117"/>
        <v>4.9720262030229161E-2</v>
      </c>
      <c r="M542" s="7">
        <f t="shared" si="118"/>
        <v>4.9720262030229168E-2</v>
      </c>
      <c r="N542" s="20">
        <f t="shared" si="112"/>
        <v>4.9720262030229168E-2</v>
      </c>
      <c r="O542">
        <f t="shared" si="119"/>
        <v>5.8207660913467407E-10</v>
      </c>
      <c r="P542">
        <f t="shared" si="120"/>
        <v>-3.4924596548080444E-10</v>
      </c>
      <c r="Q542">
        <f t="shared" si="121"/>
        <v>-3.4924596548080444E-10</v>
      </c>
    </row>
    <row r="543" spans="2:17" x14ac:dyDescent="0.25">
      <c r="B543" s="18">
        <f t="shared" si="113"/>
        <v>1.584452641983925E-4</v>
      </c>
      <c r="C543" s="18">
        <f t="shared" si="114"/>
        <v>1.5844526419839253E-4</v>
      </c>
      <c r="D543" s="18">
        <f t="shared" si="115"/>
        <v>1.584452641983925E-4</v>
      </c>
      <c r="E543">
        <f t="shared" si="116"/>
        <v>4.6609784476459026E-8</v>
      </c>
      <c r="F543">
        <f t="shared" si="122"/>
        <v>-9.4369170255959034E-9</v>
      </c>
      <c r="G543">
        <f t="shared" si="123"/>
        <v>4.6609784476459026E-8</v>
      </c>
      <c r="L543" s="7">
        <f t="shared" si="117"/>
        <v>4.9720262030229161E-2</v>
      </c>
      <c r="M543" s="7">
        <f t="shared" si="118"/>
        <v>4.9720262030229168E-2</v>
      </c>
      <c r="N543" s="20">
        <f t="shared" si="112"/>
        <v>4.9720262030229168E-2</v>
      </c>
      <c r="O543">
        <f t="shared" si="119"/>
        <v>5.8207660913467407E-10</v>
      </c>
      <c r="P543">
        <f t="shared" si="120"/>
        <v>-3.4924596548080444E-10</v>
      </c>
      <c r="Q543">
        <f t="shared" si="121"/>
        <v>-3.4924596548080444E-10</v>
      </c>
    </row>
    <row r="544" spans="2:17" x14ac:dyDescent="0.25">
      <c r="B544" s="18">
        <f t="shared" si="113"/>
        <v>1.584452641983925E-4</v>
      </c>
      <c r="C544" s="18">
        <f t="shared" si="114"/>
        <v>1.5844526419839253E-4</v>
      </c>
      <c r="D544" s="18">
        <f t="shared" si="115"/>
        <v>1.584452641983925E-4</v>
      </c>
      <c r="E544">
        <f t="shared" si="116"/>
        <v>4.6609784476459026E-8</v>
      </c>
      <c r="F544">
        <f t="shared" si="122"/>
        <v>-9.4369170255959034E-9</v>
      </c>
      <c r="G544">
        <f t="shared" si="123"/>
        <v>4.6609784476459026E-8</v>
      </c>
      <c r="L544" s="7">
        <f t="shared" si="117"/>
        <v>4.9720262030229161E-2</v>
      </c>
      <c r="M544" s="7">
        <f t="shared" si="118"/>
        <v>4.9720262030229168E-2</v>
      </c>
      <c r="N544" s="20">
        <f t="shared" si="112"/>
        <v>4.9720262030229168E-2</v>
      </c>
      <c r="O544">
        <f t="shared" si="119"/>
        <v>5.8207660913467407E-10</v>
      </c>
      <c r="P544">
        <f t="shared" si="120"/>
        <v>-3.4924596548080444E-10</v>
      </c>
      <c r="Q544">
        <f t="shared" si="121"/>
        <v>-3.4924596548080444E-10</v>
      </c>
    </row>
    <row r="545" spans="2:17" x14ac:dyDescent="0.25">
      <c r="B545" s="18">
        <f t="shared" si="113"/>
        <v>1.584452641983925E-4</v>
      </c>
      <c r="C545" s="18">
        <f t="shared" si="114"/>
        <v>1.5844526419839253E-4</v>
      </c>
      <c r="D545" s="18">
        <f t="shared" si="115"/>
        <v>1.584452641983925E-4</v>
      </c>
      <c r="E545">
        <f t="shared" si="116"/>
        <v>4.6609784476459026E-8</v>
      </c>
      <c r="F545">
        <f t="shared" si="122"/>
        <v>-9.4369170255959034E-9</v>
      </c>
      <c r="G545">
        <f t="shared" si="123"/>
        <v>4.6609784476459026E-8</v>
      </c>
      <c r="L545" s="7">
        <f t="shared" si="117"/>
        <v>4.9720262030229161E-2</v>
      </c>
      <c r="M545" s="7">
        <f t="shared" si="118"/>
        <v>4.9720262030229168E-2</v>
      </c>
      <c r="N545" s="20">
        <f t="shared" si="112"/>
        <v>4.9720262030229168E-2</v>
      </c>
      <c r="O545">
        <f t="shared" si="119"/>
        <v>5.8207660913467407E-10</v>
      </c>
      <c r="P545">
        <f t="shared" si="120"/>
        <v>-3.4924596548080444E-10</v>
      </c>
      <c r="Q545">
        <f t="shared" si="121"/>
        <v>-3.4924596548080444E-10</v>
      </c>
    </row>
    <row r="546" spans="2:17" x14ac:dyDescent="0.25">
      <c r="B546" s="18">
        <f t="shared" si="113"/>
        <v>1.584452641983925E-4</v>
      </c>
      <c r="C546" s="18">
        <f t="shared" si="114"/>
        <v>1.5844526419839253E-4</v>
      </c>
      <c r="D546" s="18">
        <f t="shared" si="115"/>
        <v>1.584452641983925E-4</v>
      </c>
      <c r="E546">
        <f t="shared" si="116"/>
        <v>4.6609784476459026E-8</v>
      </c>
      <c r="F546">
        <f t="shared" si="122"/>
        <v>-9.4369170255959034E-9</v>
      </c>
      <c r="G546">
        <f t="shared" si="123"/>
        <v>4.6609784476459026E-8</v>
      </c>
      <c r="L546" s="7">
        <f t="shared" si="117"/>
        <v>4.9720262030229161E-2</v>
      </c>
      <c r="M546" s="7">
        <f t="shared" si="118"/>
        <v>4.9720262030229168E-2</v>
      </c>
      <c r="N546" s="20">
        <f t="shared" si="112"/>
        <v>4.9720262030229168E-2</v>
      </c>
      <c r="O546">
        <f t="shared" si="119"/>
        <v>5.8207660913467407E-10</v>
      </c>
      <c r="P546">
        <f t="shared" si="120"/>
        <v>-3.4924596548080444E-10</v>
      </c>
      <c r="Q546">
        <f t="shared" si="121"/>
        <v>-3.4924596548080444E-10</v>
      </c>
    </row>
    <row r="547" spans="2:17" x14ac:dyDescent="0.25">
      <c r="B547" s="18">
        <f t="shared" si="113"/>
        <v>1.584452641983925E-4</v>
      </c>
      <c r="C547" s="18">
        <f t="shared" si="114"/>
        <v>1.5844526419839253E-4</v>
      </c>
      <c r="D547" s="18">
        <f t="shared" si="115"/>
        <v>1.584452641983925E-4</v>
      </c>
      <c r="E547">
        <f t="shared" si="116"/>
        <v>4.6609784476459026E-8</v>
      </c>
      <c r="F547">
        <f t="shared" si="122"/>
        <v>-9.4369170255959034E-9</v>
      </c>
      <c r="G547">
        <f t="shared" si="123"/>
        <v>4.6609784476459026E-8</v>
      </c>
      <c r="L547" s="7">
        <f t="shared" si="117"/>
        <v>4.9720262030229161E-2</v>
      </c>
      <c r="M547" s="7">
        <f t="shared" si="118"/>
        <v>4.9720262030229168E-2</v>
      </c>
      <c r="N547" s="20">
        <f t="shared" si="112"/>
        <v>4.9720262030229168E-2</v>
      </c>
      <c r="O547">
        <f t="shared" si="119"/>
        <v>5.8207660913467407E-10</v>
      </c>
      <c r="P547">
        <f t="shared" si="120"/>
        <v>-3.4924596548080444E-10</v>
      </c>
      <c r="Q547">
        <f t="shared" si="121"/>
        <v>-3.4924596548080444E-10</v>
      </c>
    </row>
    <row r="548" spans="2:17" x14ac:dyDescent="0.25">
      <c r="B548" s="18">
        <f t="shared" si="113"/>
        <v>1.584452641983925E-4</v>
      </c>
      <c r="C548" s="18">
        <f t="shared" si="114"/>
        <v>1.5844526419839253E-4</v>
      </c>
      <c r="D548" s="18">
        <f t="shared" si="115"/>
        <v>1.584452641983925E-4</v>
      </c>
      <c r="E548">
        <f t="shared" si="116"/>
        <v>4.6609784476459026E-8</v>
      </c>
      <c r="F548">
        <f t="shared" si="122"/>
        <v>-9.4369170255959034E-9</v>
      </c>
      <c r="G548">
        <f t="shared" si="123"/>
        <v>4.6609784476459026E-8</v>
      </c>
      <c r="L548" s="7">
        <f t="shared" si="117"/>
        <v>4.9720262030229161E-2</v>
      </c>
      <c r="M548" s="7">
        <f t="shared" si="118"/>
        <v>4.9720262030229168E-2</v>
      </c>
      <c r="N548" s="20">
        <f t="shared" si="112"/>
        <v>4.9720262030229168E-2</v>
      </c>
      <c r="O548">
        <f t="shared" si="119"/>
        <v>5.8207660913467407E-10</v>
      </c>
      <c r="P548">
        <f t="shared" si="120"/>
        <v>-3.4924596548080444E-10</v>
      </c>
      <c r="Q548">
        <f t="shared" si="121"/>
        <v>-3.4924596548080444E-10</v>
      </c>
    </row>
    <row r="549" spans="2:17" x14ac:dyDescent="0.25">
      <c r="B549" s="18">
        <f t="shared" si="113"/>
        <v>1.584452641983925E-4</v>
      </c>
      <c r="C549" s="18">
        <f t="shared" si="114"/>
        <v>1.5844526419839253E-4</v>
      </c>
      <c r="D549" s="18">
        <f t="shared" si="115"/>
        <v>1.584452641983925E-4</v>
      </c>
      <c r="E549">
        <f t="shared" si="116"/>
        <v>4.6609784476459026E-8</v>
      </c>
      <c r="F549">
        <f t="shared" si="122"/>
        <v>-9.4369170255959034E-9</v>
      </c>
      <c r="G549">
        <f t="shared" si="123"/>
        <v>4.6609784476459026E-8</v>
      </c>
      <c r="L549" s="7">
        <f t="shared" si="117"/>
        <v>4.9720262030229161E-2</v>
      </c>
      <c r="M549" s="7">
        <f t="shared" si="118"/>
        <v>4.9720262030229168E-2</v>
      </c>
      <c r="N549" s="20">
        <f t="shared" si="112"/>
        <v>4.9720262030229168E-2</v>
      </c>
      <c r="O549">
        <f t="shared" si="119"/>
        <v>5.8207660913467407E-10</v>
      </c>
      <c r="P549">
        <f t="shared" si="120"/>
        <v>-3.4924596548080444E-10</v>
      </c>
      <c r="Q549">
        <f t="shared" si="121"/>
        <v>-3.4924596548080444E-10</v>
      </c>
    </row>
    <row r="550" spans="2:17" x14ac:dyDescent="0.25">
      <c r="B550" s="18">
        <f t="shared" si="113"/>
        <v>1.584452641983925E-4</v>
      </c>
      <c r="C550" s="18">
        <f t="shared" si="114"/>
        <v>1.5844526419839253E-4</v>
      </c>
      <c r="D550" s="18">
        <f t="shared" si="115"/>
        <v>1.584452641983925E-4</v>
      </c>
      <c r="E550">
        <f t="shared" si="116"/>
        <v>4.6609784476459026E-8</v>
      </c>
      <c r="F550">
        <f t="shared" si="122"/>
        <v>-9.4369170255959034E-9</v>
      </c>
      <c r="G550">
        <f t="shared" si="123"/>
        <v>4.6609784476459026E-8</v>
      </c>
      <c r="L550" s="7">
        <f t="shared" si="117"/>
        <v>4.9720262030229161E-2</v>
      </c>
      <c r="M550" s="7">
        <f t="shared" si="118"/>
        <v>4.9720262030229168E-2</v>
      </c>
      <c r="N550" s="20">
        <f t="shared" si="112"/>
        <v>4.9720262030229168E-2</v>
      </c>
      <c r="O550">
        <f t="shared" si="119"/>
        <v>5.8207660913467407E-10</v>
      </c>
      <c r="P550">
        <f t="shared" si="120"/>
        <v>-3.4924596548080444E-10</v>
      </c>
      <c r="Q550">
        <f t="shared" si="121"/>
        <v>-3.4924596548080444E-10</v>
      </c>
    </row>
    <row r="551" spans="2:17" x14ac:dyDescent="0.25">
      <c r="B551" s="18">
        <f t="shared" si="113"/>
        <v>1.584452641983925E-4</v>
      </c>
      <c r="C551" s="18">
        <f t="shared" si="114"/>
        <v>1.5844526419839253E-4</v>
      </c>
      <c r="D551" s="18">
        <f t="shared" si="115"/>
        <v>1.584452641983925E-4</v>
      </c>
      <c r="E551">
        <f t="shared" si="116"/>
        <v>4.6609784476459026E-8</v>
      </c>
      <c r="F551">
        <f t="shared" si="122"/>
        <v>-9.4369170255959034E-9</v>
      </c>
      <c r="G551">
        <f t="shared" si="123"/>
        <v>4.6609784476459026E-8</v>
      </c>
      <c r="L551" s="7">
        <f t="shared" si="117"/>
        <v>4.9720262030229161E-2</v>
      </c>
      <c r="M551" s="7">
        <f t="shared" si="118"/>
        <v>4.9720262030229168E-2</v>
      </c>
      <c r="N551" s="20">
        <f t="shared" si="112"/>
        <v>4.9720262030229168E-2</v>
      </c>
      <c r="O551">
        <f t="shared" si="119"/>
        <v>5.8207660913467407E-10</v>
      </c>
      <c r="P551">
        <f t="shared" si="120"/>
        <v>-3.4924596548080444E-10</v>
      </c>
      <c r="Q551">
        <f t="shared" si="121"/>
        <v>-3.4924596548080444E-10</v>
      </c>
    </row>
    <row r="552" spans="2:17" x14ac:dyDescent="0.25">
      <c r="B552" s="18">
        <f t="shared" si="113"/>
        <v>1.584452641983925E-4</v>
      </c>
      <c r="C552" s="18">
        <f t="shared" si="114"/>
        <v>1.5844526419839253E-4</v>
      </c>
      <c r="D552" s="18">
        <f t="shared" si="115"/>
        <v>1.584452641983925E-4</v>
      </c>
      <c r="E552">
        <f t="shared" si="116"/>
        <v>4.6609784476459026E-8</v>
      </c>
      <c r="F552">
        <f t="shared" si="122"/>
        <v>-9.4369170255959034E-9</v>
      </c>
      <c r="G552">
        <f t="shared" si="123"/>
        <v>4.6609784476459026E-8</v>
      </c>
      <c r="L552" s="7">
        <f t="shared" si="117"/>
        <v>4.9720262030229161E-2</v>
      </c>
      <c r="M552" s="7">
        <f t="shared" si="118"/>
        <v>4.9720262030229168E-2</v>
      </c>
      <c r="N552" s="20">
        <f t="shared" si="112"/>
        <v>4.9720262030229168E-2</v>
      </c>
      <c r="O552">
        <f t="shared" si="119"/>
        <v>5.8207660913467407E-10</v>
      </c>
      <c r="P552">
        <f t="shared" si="120"/>
        <v>-3.4924596548080444E-10</v>
      </c>
      <c r="Q552">
        <f t="shared" si="121"/>
        <v>-3.4924596548080444E-10</v>
      </c>
    </row>
    <row r="553" spans="2:17" x14ac:dyDescent="0.25">
      <c r="B553" s="18">
        <f t="shared" si="113"/>
        <v>1.584452641983925E-4</v>
      </c>
      <c r="C553" s="18">
        <f t="shared" si="114"/>
        <v>1.5844526419839253E-4</v>
      </c>
      <c r="D553" s="18">
        <f t="shared" si="115"/>
        <v>1.584452641983925E-4</v>
      </c>
      <c r="E553">
        <f t="shared" si="116"/>
        <v>4.6609784476459026E-8</v>
      </c>
      <c r="F553">
        <f t="shared" si="122"/>
        <v>-9.4369170255959034E-9</v>
      </c>
      <c r="G553">
        <f t="shared" si="123"/>
        <v>4.6609784476459026E-8</v>
      </c>
      <c r="L553" s="7">
        <f t="shared" si="117"/>
        <v>4.9720262030229161E-2</v>
      </c>
      <c r="M553" s="7">
        <f t="shared" si="118"/>
        <v>4.9720262030229168E-2</v>
      </c>
      <c r="N553" s="20">
        <f t="shared" si="112"/>
        <v>4.9720262030229168E-2</v>
      </c>
      <c r="O553">
        <f t="shared" si="119"/>
        <v>5.8207660913467407E-10</v>
      </c>
      <c r="P553">
        <f t="shared" si="120"/>
        <v>-3.4924596548080444E-10</v>
      </c>
      <c r="Q553">
        <f t="shared" si="121"/>
        <v>-3.4924596548080444E-10</v>
      </c>
    </row>
    <row r="554" spans="2:17" x14ac:dyDescent="0.25">
      <c r="B554" s="18">
        <f t="shared" si="113"/>
        <v>1.584452641983925E-4</v>
      </c>
      <c r="C554" s="18">
        <f t="shared" si="114"/>
        <v>1.5844526419839253E-4</v>
      </c>
      <c r="D554" s="18">
        <f t="shared" si="115"/>
        <v>1.584452641983925E-4</v>
      </c>
      <c r="E554">
        <f t="shared" si="116"/>
        <v>4.6609784476459026E-8</v>
      </c>
      <c r="F554">
        <f t="shared" si="122"/>
        <v>-9.4369170255959034E-9</v>
      </c>
      <c r="G554">
        <f t="shared" si="123"/>
        <v>4.6609784476459026E-8</v>
      </c>
      <c r="L554" s="7">
        <f t="shared" si="117"/>
        <v>4.9720262030229161E-2</v>
      </c>
      <c r="M554" s="7">
        <f t="shared" si="118"/>
        <v>4.9720262030229168E-2</v>
      </c>
      <c r="N554" s="20">
        <f t="shared" si="112"/>
        <v>4.9720262030229168E-2</v>
      </c>
      <c r="O554">
        <f t="shared" si="119"/>
        <v>5.8207660913467407E-10</v>
      </c>
      <c r="P554">
        <f t="shared" si="120"/>
        <v>-3.4924596548080444E-10</v>
      </c>
      <c r="Q554">
        <f t="shared" si="121"/>
        <v>-3.4924596548080444E-10</v>
      </c>
    </row>
    <row r="555" spans="2:17" x14ac:dyDescent="0.25">
      <c r="B555" s="18">
        <f t="shared" si="113"/>
        <v>1.584452641983925E-4</v>
      </c>
      <c r="C555" s="18">
        <f t="shared" si="114"/>
        <v>1.5844526419839253E-4</v>
      </c>
      <c r="D555" s="18">
        <f t="shared" si="115"/>
        <v>1.584452641983925E-4</v>
      </c>
      <c r="E555">
        <f t="shared" si="116"/>
        <v>4.6609784476459026E-8</v>
      </c>
      <c r="F555">
        <f t="shared" si="122"/>
        <v>-9.4369170255959034E-9</v>
      </c>
      <c r="G555">
        <f t="shared" si="123"/>
        <v>4.6609784476459026E-8</v>
      </c>
      <c r="L555" s="7">
        <f t="shared" si="117"/>
        <v>4.9720262030229161E-2</v>
      </c>
      <c r="M555" s="7">
        <f t="shared" si="118"/>
        <v>4.9720262030229168E-2</v>
      </c>
      <c r="N555" s="20">
        <f t="shared" si="112"/>
        <v>4.9720262030229168E-2</v>
      </c>
      <c r="O555">
        <f t="shared" si="119"/>
        <v>5.8207660913467407E-10</v>
      </c>
      <c r="P555">
        <f t="shared" si="120"/>
        <v>-3.4924596548080444E-10</v>
      </c>
      <c r="Q555">
        <f t="shared" si="121"/>
        <v>-3.4924596548080444E-10</v>
      </c>
    </row>
    <row r="556" spans="2:17" x14ac:dyDescent="0.25">
      <c r="B556" s="18">
        <f t="shared" si="113"/>
        <v>1.584452641983925E-4</v>
      </c>
      <c r="C556" s="18">
        <f t="shared" si="114"/>
        <v>1.5844526419839253E-4</v>
      </c>
      <c r="D556" s="18">
        <f t="shared" si="115"/>
        <v>1.584452641983925E-4</v>
      </c>
      <c r="E556">
        <f t="shared" si="116"/>
        <v>4.6609784476459026E-8</v>
      </c>
      <c r="F556">
        <f t="shared" si="122"/>
        <v>-9.4369170255959034E-9</v>
      </c>
      <c r="G556">
        <f t="shared" si="123"/>
        <v>4.6609784476459026E-8</v>
      </c>
      <c r="L556" s="7">
        <f t="shared" si="117"/>
        <v>4.9720262030229161E-2</v>
      </c>
      <c r="M556" s="7">
        <f t="shared" si="118"/>
        <v>4.9720262030229168E-2</v>
      </c>
      <c r="N556" s="20">
        <f t="shared" si="112"/>
        <v>4.9720262030229168E-2</v>
      </c>
      <c r="O556">
        <f t="shared" si="119"/>
        <v>5.8207660913467407E-10</v>
      </c>
      <c r="P556">
        <f t="shared" si="120"/>
        <v>-3.4924596548080444E-10</v>
      </c>
      <c r="Q556">
        <f t="shared" si="121"/>
        <v>-3.4924596548080444E-10</v>
      </c>
    </row>
    <row r="557" spans="2:17" x14ac:dyDescent="0.25">
      <c r="B557" s="18">
        <f t="shared" si="113"/>
        <v>1.584452641983925E-4</v>
      </c>
      <c r="C557" s="18">
        <f t="shared" si="114"/>
        <v>1.5844526419839253E-4</v>
      </c>
      <c r="D557" s="18">
        <f t="shared" si="115"/>
        <v>1.584452641983925E-4</v>
      </c>
      <c r="E557">
        <f t="shared" si="116"/>
        <v>4.6609784476459026E-8</v>
      </c>
      <c r="F557">
        <f t="shared" si="122"/>
        <v>-9.4369170255959034E-9</v>
      </c>
      <c r="G557">
        <f t="shared" si="123"/>
        <v>4.6609784476459026E-8</v>
      </c>
      <c r="L557" s="7">
        <f t="shared" si="117"/>
        <v>4.9720262030229161E-2</v>
      </c>
      <c r="M557" s="7">
        <f t="shared" si="118"/>
        <v>4.9720262030229168E-2</v>
      </c>
      <c r="N557" s="20">
        <f t="shared" si="112"/>
        <v>4.9720262030229168E-2</v>
      </c>
      <c r="O557">
        <f t="shared" si="119"/>
        <v>5.8207660913467407E-10</v>
      </c>
      <c r="P557">
        <f t="shared" si="120"/>
        <v>-3.4924596548080444E-10</v>
      </c>
      <c r="Q557">
        <f t="shared" si="121"/>
        <v>-3.4924596548080444E-10</v>
      </c>
    </row>
    <row r="558" spans="2:17" x14ac:dyDescent="0.25">
      <c r="B558" s="18">
        <f t="shared" si="113"/>
        <v>1.584452641983925E-4</v>
      </c>
      <c r="C558" s="18">
        <f t="shared" si="114"/>
        <v>1.5844526419839253E-4</v>
      </c>
      <c r="D558" s="18">
        <f t="shared" si="115"/>
        <v>1.584452641983925E-4</v>
      </c>
      <c r="E558">
        <f t="shared" si="116"/>
        <v>4.6609784476459026E-8</v>
      </c>
      <c r="F558">
        <f t="shared" si="122"/>
        <v>-9.4369170255959034E-9</v>
      </c>
      <c r="G558">
        <f t="shared" si="123"/>
        <v>4.6609784476459026E-8</v>
      </c>
      <c r="L558" s="7">
        <f t="shared" si="117"/>
        <v>4.9720262030229161E-2</v>
      </c>
      <c r="M558" s="7">
        <f t="shared" si="118"/>
        <v>4.9720262030229168E-2</v>
      </c>
      <c r="N558" s="20">
        <f t="shared" si="112"/>
        <v>4.9720262030229168E-2</v>
      </c>
      <c r="O558">
        <f t="shared" si="119"/>
        <v>5.8207660913467407E-10</v>
      </c>
      <c r="P558">
        <f t="shared" si="120"/>
        <v>-3.4924596548080444E-10</v>
      </c>
      <c r="Q558">
        <f t="shared" si="121"/>
        <v>-3.4924596548080444E-10</v>
      </c>
    </row>
    <row r="559" spans="2:17" x14ac:dyDescent="0.25">
      <c r="B559" s="18">
        <f t="shared" si="113"/>
        <v>1.584452641983925E-4</v>
      </c>
      <c r="C559" s="18">
        <f t="shared" si="114"/>
        <v>1.5844526419839253E-4</v>
      </c>
      <c r="D559" s="18">
        <f t="shared" si="115"/>
        <v>1.584452641983925E-4</v>
      </c>
      <c r="E559">
        <f t="shared" si="116"/>
        <v>4.6609784476459026E-8</v>
      </c>
      <c r="F559">
        <f t="shared" si="122"/>
        <v>-9.4369170255959034E-9</v>
      </c>
      <c r="G559">
        <f t="shared" si="123"/>
        <v>4.6609784476459026E-8</v>
      </c>
      <c r="L559" s="7">
        <f t="shared" si="117"/>
        <v>4.9720262030229161E-2</v>
      </c>
      <c r="M559" s="7">
        <f t="shared" si="118"/>
        <v>4.9720262030229168E-2</v>
      </c>
      <c r="N559" s="20">
        <f t="shared" si="112"/>
        <v>4.9720262030229168E-2</v>
      </c>
      <c r="O559">
        <f t="shared" si="119"/>
        <v>5.8207660913467407E-10</v>
      </c>
      <c r="P559">
        <f t="shared" si="120"/>
        <v>-3.4924596548080444E-10</v>
      </c>
      <c r="Q559">
        <f t="shared" si="121"/>
        <v>-3.4924596548080444E-10</v>
      </c>
    </row>
    <row r="560" spans="2:17" x14ac:dyDescent="0.25">
      <c r="B560" s="18">
        <f t="shared" si="113"/>
        <v>1.584452641983925E-4</v>
      </c>
      <c r="C560" s="18">
        <f t="shared" si="114"/>
        <v>1.5844526419839253E-4</v>
      </c>
      <c r="D560" s="18">
        <f t="shared" si="115"/>
        <v>1.584452641983925E-4</v>
      </c>
      <c r="E560">
        <f t="shared" si="116"/>
        <v>4.6609784476459026E-8</v>
      </c>
      <c r="F560">
        <f t="shared" si="122"/>
        <v>-9.4369170255959034E-9</v>
      </c>
      <c r="G560">
        <f t="shared" si="123"/>
        <v>4.6609784476459026E-8</v>
      </c>
      <c r="L560" s="7">
        <f t="shared" si="117"/>
        <v>4.9720262030229161E-2</v>
      </c>
      <c r="M560" s="7">
        <f t="shared" si="118"/>
        <v>4.9720262030229168E-2</v>
      </c>
      <c r="N560" s="20">
        <f t="shared" si="112"/>
        <v>4.9720262030229168E-2</v>
      </c>
      <c r="O560">
        <f t="shared" si="119"/>
        <v>5.8207660913467407E-10</v>
      </c>
      <c r="P560">
        <f t="shared" si="120"/>
        <v>-3.4924596548080444E-10</v>
      </c>
      <c r="Q560">
        <f t="shared" si="121"/>
        <v>-3.4924596548080444E-10</v>
      </c>
    </row>
    <row r="561" spans="2:17" x14ac:dyDescent="0.25">
      <c r="B561" s="18">
        <f t="shared" si="113"/>
        <v>1.584452641983925E-4</v>
      </c>
      <c r="C561" s="18">
        <f t="shared" si="114"/>
        <v>1.5844526419839253E-4</v>
      </c>
      <c r="D561" s="18">
        <f t="shared" si="115"/>
        <v>1.584452641983925E-4</v>
      </c>
      <c r="E561">
        <f t="shared" si="116"/>
        <v>4.6609784476459026E-8</v>
      </c>
      <c r="F561">
        <f t="shared" si="122"/>
        <v>-9.4369170255959034E-9</v>
      </c>
      <c r="G561">
        <f t="shared" si="123"/>
        <v>4.6609784476459026E-8</v>
      </c>
      <c r="L561" s="7">
        <f t="shared" si="117"/>
        <v>4.9720262030229161E-2</v>
      </c>
      <c r="M561" s="7">
        <f t="shared" si="118"/>
        <v>4.9720262030229168E-2</v>
      </c>
      <c r="N561" s="20">
        <f t="shared" si="112"/>
        <v>4.9720262030229168E-2</v>
      </c>
      <c r="O561">
        <f t="shared" si="119"/>
        <v>5.8207660913467407E-10</v>
      </c>
      <c r="P561">
        <f t="shared" si="120"/>
        <v>-3.4924596548080444E-10</v>
      </c>
      <c r="Q561">
        <f t="shared" si="121"/>
        <v>-3.4924596548080444E-10</v>
      </c>
    </row>
    <row r="562" spans="2:17" x14ac:dyDescent="0.25">
      <c r="B562" s="18">
        <f t="shared" si="113"/>
        <v>1.584452641983925E-4</v>
      </c>
      <c r="C562" s="18">
        <f t="shared" si="114"/>
        <v>1.5844526419839253E-4</v>
      </c>
      <c r="D562" s="18">
        <f t="shared" si="115"/>
        <v>1.584452641983925E-4</v>
      </c>
      <c r="E562">
        <f t="shared" si="116"/>
        <v>4.6609784476459026E-8</v>
      </c>
      <c r="F562">
        <f t="shared" si="122"/>
        <v>-9.4369170255959034E-9</v>
      </c>
      <c r="G562">
        <f t="shared" si="123"/>
        <v>4.6609784476459026E-8</v>
      </c>
      <c r="L562" s="7">
        <f t="shared" si="117"/>
        <v>4.9720262030229161E-2</v>
      </c>
      <c r="M562" s="7">
        <f t="shared" si="118"/>
        <v>4.9720262030229168E-2</v>
      </c>
      <c r="N562" s="20">
        <f t="shared" si="112"/>
        <v>4.9720262030229168E-2</v>
      </c>
      <c r="O562">
        <f t="shared" si="119"/>
        <v>5.8207660913467407E-10</v>
      </c>
      <c r="P562">
        <f t="shared" si="120"/>
        <v>-3.4924596548080444E-10</v>
      </c>
      <c r="Q562">
        <f t="shared" si="121"/>
        <v>-3.4924596548080444E-10</v>
      </c>
    </row>
    <row r="563" spans="2:17" x14ac:dyDescent="0.25">
      <c r="B563" s="18">
        <f t="shared" si="113"/>
        <v>1.584452641983925E-4</v>
      </c>
      <c r="C563" s="18">
        <f t="shared" si="114"/>
        <v>1.5844526419839253E-4</v>
      </c>
      <c r="D563" s="18">
        <f t="shared" si="115"/>
        <v>1.584452641983925E-4</v>
      </c>
      <c r="E563">
        <f t="shared" si="116"/>
        <v>4.6609784476459026E-8</v>
      </c>
      <c r="F563">
        <f t="shared" si="122"/>
        <v>-9.4369170255959034E-9</v>
      </c>
      <c r="G563">
        <f t="shared" si="123"/>
        <v>4.6609784476459026E-8</v>
      </c>
      <c r="L563" s="7">
        <f t="shared" si="117"/>
        <v>4.9720262030229161E-2</v>
      </c>
      <c r="M563" s="7">
        <f t="shared" si="118"/>
        <v>4.9720262030229168E-2</v>
      </c>
      <c r="N563" s="20">
        <f t="shared" si="112"/>
        <v>4.9720262030229168E-2</v>
      </c>
      <c r="O563">
        <f t="shared" si="119"/>
        <v>5.8207660913467407E-10</v>
      </c>
      <c r="P563">
        <f t="shared" si="120"/>
        <v>-3.4924596548080444E-10</v>
      </c>
      <c r="Q563">
        <f t="shared" si="121"/>
        <v>-3.4924596548080444E-10</v>
      </c>
    </row>
    <row r="564" spans="2:17" x14ac:dyDescent="0.25">
      <c r="B564" s="18">
        <f t="shared" si="113"/>
        <v>1.584452641983925E-4</v>
      </c>
      <c r="C564" s="18">
        <f t="shared" si="114"/>
        <v>1.5844526419839253E-4</v>
      </c>
      <c r="D564" s="18">
        <f t="shared" si="115"/>
        <v>1.584452641983925E-4</v>
      </c>
      <c r="E564">
        <f t="shared" si="116"/>
        <v>4.6609784476459026E-8</v>
      </c>
      <c r="F564">
        <f t="shared" si="122"/>
        <v>-9.4369170255959034E-9</v>
      </c>
      <c r="G564">
        <f t="shared" si="123"/>
        <v>4.6609784476459026E-8</v>
      </c>
      <c r="L564" s="7">
        <f t="shared" si="117"/>
        <v>4.9720262030229161E-2</v>
      </c>
      <c r="M564" s="7">
        <f t="shared" si="118"/>
        <v>4.9720262030229168E-2</v>
      </c>
      <c r="N564" s="20">
        <f t="shared" si="112"/>
        <v>4.9720262030229168E-2</v>
      </c>
      <c r="O564">
        <f t="shared" si="119"/>
        <v>5.8207660913467407E-10</v>
      </c>
      <c r="P564">
        <f t="shared" si="120"/>
        <v>-3.4924596548080444E-10</v>
      </c>
      <c r="Q564">
        <f t="shared" si="121"/>
        <v>-3.4924596548080444E-10</v>
      </c>
    </row>
    <row r="565" spans="2:17" x14ac:dyDescent="0.25">
      <c r="B565" s="18">
        <f t="shared" si="113"/>
        <v>1.584452641983925E-4</v>
      </c>
      <c r="C565" s="18">
        <f t="shared" si="114"/>
        <v>1.5844526419839253E-4</v>
      </c>
      <c r="D565" s="18">
        <f t="shared" si="115"/>
        <v>1.584452641983925E-4</v>
      </c>
      <c r="E565">
        <f t="shared" si="116"/>
        <v>4.6609784476459026E-8</v>
      </c>
      <c r="F565">
        <f t="shared" si="122"/>
        <v>-9.4369170255959034E-9</v>
      </c>
      <c r="G565">
        <f t="shared" si="123"/>
        <v>4.6609784476459026E-8</v>
      </c>
      <c r="L565" s="7">
        <f t="shared" si="117"/>
        <v>4.9720262030229161E-2</v>
      </c>
      <c r="M565" s="7">
        <f t="shared" si="118"/>
        <v>4.9720262030229168E-2</v>
      </c>
      <c r="N565" s="20">
        <f t="shared" si="112"/>
        <v>4.9720262030229168E-2</v>
      </c>
      <c r="O565">
        <f t="shared" si="119"/>
        <v>5.8207660913467407E-10</v>
      </c>
      <c r="P565">
        <f t="shared" si="120"/>
        <v>-3.4924596548080444E-10</v>
      </c>
      <c r="Q565">
        <f t="shared" si="121"/>
        <v>-3.4924596548080444E-10</v>
      </c>
    </row>
    <row r="566" spans="2:17" x14ac:dyDescent="0.25">
      <c r="B566" s="18">
        <f t="shared" si="113"/>
        <v>1.584452641983925E-4</v>
      </c>
      <c r="C566" s="18">
        <f t="shared" si="114"/>
        <v>1.5844526419839253E-4</v>
      </c>
      <c r="D566" s="18">
        <f t="shared" si="115"/>
        <v>1.584452641983925E-4</v>
      </c>
      <c r="E566">
        <f t="shared" si="116"/>
        <v>4.6609784476459026E-8</v>
      </c>
      <c r="F566">
        <f t="shared" si="122"/>
        <v>-9.4369170255959034E-9</v>
      </c>
      <c r="G566">
        <f t="shared" si="123"/>
        <v>4.6609784476459026E-8</v>
      </c>
      <c r="L566" s="7">
        <f t="shared" si="117"/>
        <v>4.9720262030229161E-2</v>
      </c>
      <c r="M566" s="7">
        <f t="shared" si="118"/>
        <v>4.9720262030229168E-2</v>
      </c>
      <c r="N566" s="20">
        <f t="shared" si="112"/>
        <v>4.9720262030229168E-2</v>
      </c>
      <c r="O566">
        <f t="shared" si="119"/>
        <v>5.8207660913467407E-10</v>
      </c>
      <c r="P566">
        <f t="shared" si="120"/>
        <v>-3.4924596548080444E-10</v>
      </c>
      <c r="Q566">
        <f t="shared" si="121"/>
        <v>-3.4924596548080444E-10</v>
      </c>
    </row>
    <row r="567" spans="2:17" x14ac:dyDescent="0.25">
      <c r="B567" s="18">
        <f t="shared" si="113"/>
        <v>1.584452641983925E-4</v>
      </c>
      <c r="C567" s="18">
        <f t="shared" si="114"/>
        <v>1.5844526419839253E-4</v>
      </c>
      <c r="D567" s="18">
        <f t="shared" si="115"/>
        <v>1.584452641983925E-4</v>
      </c>
      <c r="E567">
        <f t="shared" si="116"/>
        <v>4.6609784476459026E-8</v>
      </c>
      <c r="F567">
        <f t="shared" si="122"/>
        <v>-9.4369170255959034E-9</v>
      </c>
      <c r="G567">
        <f t="shared" si="123"/>
        <v>4.6609784476459026E-8</v>
      </c>
      <c r="L567" s="7">
        <f t="shared" si="117"/>
        <v>4.9720262030229161E-2</v>
      </c>
      <c r="M567" s="7">
        <f t="shared" si="118"/>
        <v>4.9720262030229168E-2</v>
      </c>
      <c r="N567" s="20">
        <f t="shared" si="112"/>
        <v>4.9720262030229168E-2</v>
      </c>
      <c r="O567">
        <f t="shared" si="119"/>
        <v>5.8207660913467407E-10</v>
      </c>
      <c r="P567">
        <f t="shared" si="120"/>
        <v>-3.4924596548080444E-10</v>
      </c>
      <c r="Q567">
        <f t="shared" si="121"/>
        <v>-3.4924596548080444E-10</v>
      </c>
    </row>
    <row r="568" spans="2:17" x14ac:dyDescent="0.25">
      <c r="B568" s="18">
        <f t="shared" si="113"/>
        <v>1.584452641983925E-4</v>
      </c>
      <c r="C568" s="18">
        <f t="shared" si="114"/>
        <v>1.5844526419839253E-4</v>
      </c>
      <c r="D568" s="18">
        <f t="shared" si="115"/>
        <v>1.584452641983925E-4</v>
      </c>
      <c r="E568">
        <f t="shared" si="116"/>
        <v>4.6609784476459026E-8</v>
      </c>
      <c r="F568">
        <f t="shared" si="122"/>
        <v>-9.4369170255959034E-9</v>
      </c>
      <c r="G568">
        <f t="shared" si="123"/>
        <v>4.6609784476459026E-8</v>
      </c>
      <c r="L568" s="7">
        <f t="shared" si="117"/>
        <v>4.9720262030229161E-2</v>
      </c>
      <c r="M568" s="7">
        <f t="shared" si="118"/>
        <v>4.9720262030229168E-2</v>
      </c>
      <c r="N568" s="20">
        <f t="shared" si="112"/>
        <v>4.9720262030229168E-2</v>
      </c>
      <c r="O568">
        <f t="shared" si="119"/>
        <v>5.8207660913467407E-10</v>
      </c>
      <c r="P568">
        <f t="shared" si="120"/>
        <v>-3.4924596548080444E-10</v>
      </c>
      <c r="Q568">
        <f t="shared" si="121"/>
        <v>-3.4924596548080444E-10</v>
      </c>
    </row>
    <row r="569" spans="2:17" x14ac:dyDescent="0.25">
      <c r="B569" s="18">
        <f t="shared" si="113"/>
        <v>1.584452641983925E-4</v>
      </c>
      <c r="C569" s="18">
        <f t="shared" si="114"/>
        <v>1.5844526419839253E-4</v>
      </c>
      <c r="D569" s="18">
        <f t="shared" si="115"/>
        <v>1.584452641983925E-4</v>
      </c>
      <c r="E569">
        <f t="shared" si="116"/>
        <v>4.6609784476459026E-8</v>
      </c>
      <c r="F569">
        <f t="shared" si="122"/>
        <v>-9.4369170255959034E-9</v>
      </c>
      <c r="G569">
        <f t="shared" si="123"/>
        <v>4.6609784476459026E-8</v>
      </c>
      <c r="L569" s="7">
        <f t="shared" si="117"/>
        <v>4.9720262030229161E-2</v>
      </c>
      <c r="M569" s="7">
        <f t="shared" si="118"/>
        <v>4.9720262030229168E-2</v>
      </c>
      <c r="N569" s="20">
        <f t="shared" si="112"/>
        <v>4.9720262030229168E-2</v>
      </c>
      <c r="O569">
        <f t="shared" si="119"/>
        <v>5.8207660913467407E-10</v>
      </c>
      <c r="P569">
        <f t="shared" si="120"/>
        <v>-3.4924596548080444E-10</v>
      </c>
      <c r="Q569">
        <f t="shared" si="121"/>
        <v>-3.4924596548080444E-10</v>
      </c>
    </row>
    <row r="570" spans="2:17" x14ac:dyDescent="0.25">
      <c r="B570" s="18">
        <f t="shared" si="113"/>
        <v>1.584452641983925E-4</v>
      </c>
      <c r="C570" s="18">
        <f t="shared" si="114"/>
        <v>1.5844526419839253E-4</v>
      </c>
      <c r="D570" s="18">
        <f t="shared" si="115"/>
        <v>1.584452641983925E-4</v>
      </c>
      <c r="E570">
        <f t="shared" si="116"/>
        <v>4.6609784476459026E-8</v>
      </c>
      <c r="F570">
        <f t="shared" si="122"/>
        <v>-9.4369170255959034E-9</v>
      </c>
      <c r="G570">
        <f t="shared" si="123"/>
        <v>4.6609784476459026E-8</v>
      </c>
      <c r="L570" s="7">
        <f t="shared" si="117"/>
        <v>4.9720262030229161E-2</v>
      </c>
      <c r="M570" s="7">
        <f t="shared" si="118"/>
        <v>4.9720262030229168E-2</v>
      </c>
      <c r="N570" s="20">
        <f t="shared" si="112"/>
        <v>4.9720262030229168E-2</v>
      </c>
      <c r="O570">
        <f t="shared" si="119"/>
        <v>5.8207660913467407E-10</v>
      </c>
      <c r="P570">
        <f t="shared" si="120"/>
        <v>-3.4924596548080444E-10</v>
      </c>
      <c r="Q570">
        <f t="shared" si="121"/>
        <v>-3.4924596548080444E-10</v>
      </c>
    </row>
    <row r="571" spans="2:17" x14ac:dyDescent="0.25">
      <c r="B571" s="18">
        <f t="shared" si="113"/>
        <v>1.584452641983925E-4</v>
      </c>
      <c r="C571" s="18">
        <f t="shared" si="114"/>
        <v>1.5844526419839253E-4</v>
      </c>
      <c r="D571" s="18">
        <f t="shared" si="115"/>
        <v>1.584452641983925E-4</v>
      </c>
      <c r="E571">
        <f t="shared" si="116"/>
        <v>4.6609784476459026E-8</v>
      </c>
      <c r="F571">
        <f t="shared" si="122"/>
        <v>-9.4369170255959034E-9</v>
      </c>
      <c r="G571">
        <f t="shared" si="123"/>
        <v>4.6609784476459026E-8</v>
      </c>
      <c r="L571" s="7">
        <f t="shared" si="117"/>
        <v>4.9720262030229161E-2</v>
      </c>
      <c r="M571" s="7">
        <f t="shared" si="118"/>
        <v>4.9720262030229168E-2</v>
      </c>
      <c r="N571" s="20">
        <f t="shared" si="112"/>
        <v>4.9720262030229168E-2</v>
      </c>
      <c r="O571">
        <f t="shared" si="119"/>
        <v>5.8207660913467407E-10</v>
      </c>
      <c r="P571">
        <f t="shared" si="120"/>
        <v>-3.4924596548080444E-10</v>
      </c>
      <c r="Q571">
        <f t="shared" si="121"/>
        <v>-3.4924596548080444E-10</v>
      </c>
    </row>
    <row r="572" spans="2:17" x14ac:dyDescent="0.25">
      <c r="B572" s="18">
        <f t="shared" si="113"/>
        <v>1.584452641983925E-4</v>
      </c>
      <c r="C572" s="18">
        <f t="shared" si="114"/>
        <v>1.5844526419839253E-4</v>
      </c>
      <c r="D572" s="18">
        <f t="shared" si="115"/>
        <v>1.584452641983925E-4</v>
      </c>
      <c r="E572">
        <f t="shared" si="116"/>
        <v>4.6609784476459026E-8</v>
      </c>
      <c r="F572">
        <f t="shared" si="122"/>
        <v>-9.4369170255959034E-9</v>
      </c>
      <c r="G572">
        <f t="shared" si="123"/>
        <v>4.6609784476459026E-8</v>
      </c>
      <c r="L572" s="7">
        <f t="shared" si="117"/>
        <v>4.9720262030229161E-2</v>
      </c>
      <c r="M572" s="7">
        <f t="shared" si="118"/>
        <v>4.9720262030229168E-2</v>
      </c>
      <c r="N572" s="20">
        <f t="shared" si="112"/>
        <v>4.9720262030229168E-2</v>
      </c>
      <c r="O572">
        <f t="shared" si="119"/>
        <v>5.8207660913467407E-10</v>
      </c>
      <c r="P572">
        <f t="shared" si="120"/>
        <v>-3.4924596548080444E-10</v>
      </c>
      <c r="Q572">
        <f t="shared" si="121"/>
        <v>-3.4924596548080444E-10</v>
      </c>
    </row>
    <row r="573" spans="2:17" x14ac:dyDescent="0.25">
      <c r="B573" s="18">
        <f t="shared" si="113"/>
        <v>1.584452641983925E-4</v>
      </c>
      <c r="C573" s="18">
        <f t="shared" si="114"/>
        <v>1.5844526419839253E-4</v>
      </c>
      <c r="D573" s="18">
        <f t="shared" si="115"/>
        <v>1.584452641983925E-4</v>
      </c>
      <c r="E573">
        <f t="shared" si="116"/>
        <v>4.6609784476459026E-8</v>
      </c>
      <c r="F573">
        <f t="shared" si="122"/>
        <v>-9.4369170255959034E-9</v>
      </c>
      <c r="G573">
        <f t="shared" si="123"/>
        <v>4.6609784476459026E-8</v>
      </c>
      <c r="L573" s="7">
        <f t="shared" si="117"/>
        <v>4.9720262030229161E-2</v>
      </c>
      <c r="M573" s="7">
        <f t="shared" si="118"/>
        <v>4.9720262030229168E-2</v>
      </c>
      <c r="N573" s="20">
        <f t="shared" si="112"/>
        <v>4.9720262030229168E-2</v>
      </c>
      <c r="O573">
        <f t="shared" si="119"/>
        <v>5.8207660913467407E-10</v>
      </c>
      <c r="P573">
        <f t="shared" si="120"/>
        <v>-3.4924596548080444E-10</v>
      </c>
      <c r="Q573">
        <f t="shared" si="121"/>
        <v>-3.4924596548080444E-10</v>
      </c>
    </row>
    <row r="574" spans="2:17" x14ac:dyDescent="0.25">
      <c r="B574" s="18">
        <f t="shared" si="113"/>
        <v>1.584452641983925E-4</v>
      </c>
      <c r="C574" s="18">
        <f t="shared" si="114"/>
        <v>1.5844526419839253E-4</v>
      </c>
      <c r="D574" s="18">
        <f t="shared" si="115"/>
        <v>1.584452641983925E-4</v>
      </c>
      <c r="E574">
        <f t="shared" si="116"/>
        <v>4.6609784476459026E-8</v>
      </c>
      <c r="F574">
        <f t="shared" si="122"/>
        <v>-9.4369170255959034E-9</v>
      </c>
      <c r="G574">
        <f t="shared" si="123"/>
        <v>4.6609784476459026E-8</v>
      </c>
      <c r="L574" s="7">
        <f t="shared" si="117"/>
        <v>4.9720262030229161E-2</v>
      </c>
      <c r="M574" s="7">
        <f t="shared" si="118"/>
        <v>4.9720262030229168E-2</v>
      </c>
      <c r="N574" s="20">
        <f t="shared" si="112"/>
        <v>4.9720262030229168E-2</v>
      </c>
      <c r="O574">
        <f t="shared" si="119"/>
        <v>5.8207660913467407E-10</v>
      </c>
      <c r="P574">
        <f t="shared" si="120"/>
        <v>-3.4924596548080444E-10</v>
      </c>
      <c r="Q574">
        <f t="shared" si="121"/>
        <v>-3.4924596548080444E-10</v>
      </c>
    </row>
    <row r="575" spans="2:17" x14ac:dyDescent="0.25">
      <c r="B575" s="18">
        <f t="shared" si="113"/>
        <v>1.584452641983925E-4</v>
      </c>
      <c r="C575" s="18">
        <f t="shared" si="114"/>
        <v>1.5844526419839253E-4</v>
      </c>
      <c r="D575" s="18">
        <f t="shared" si="115"/>
        <v>1.584452641983925E-4</v>
      </c>
      <c r="E575">
        <f t="shared" si="116"/>
        <v>4.6609784476459026E-8</v>
      </c>
      <c r="F575">
        <f t="shared" si="122"/>
        <v>-9.4369170255959034E-9</v>
      </c>
      <c r="G575">
        <f t="shared" si="123"/>
        <v>4.6609784476459026E-8</v>
      </c>
      <c r="L575" s="7">
        <f t="shared" si="117"/>
        <v>4.9720262030229161E-2</v>
      </c>
      <c r="M575" s="7">
        <f t="shared" si="118"/>
        <v>4.9720262030229168E-2</v>
      </c>
      <c r="N575" s="20">
        <f t="shared" si="112"/>
        <v>4.9720262030229168E-2</v>
      </c>
      <c r="O575">
        <f t="shared" si="119"/>
        <v>5.8207660913467407E-10</v>
      </c>
      <c r="P575">
        <f t="shared" si="120"/>
        <v>-3.4924596548080444E-10</v>
      </c>
      <c r="Q575">
        <f t="shared" si="121"/>
        <v>-3.4924596548080444E-10</v>
      </c>
    </row>
    <row r="576" spans="2:17" x14ac:dyDescent="0.25">
      <c r="B576" s="18">
        <f t="shared" si="113"/>
        <v>1.584452641983925E-4</v>
      </c>
      <c r="C576" s="18">
        <f t="shared" si="114"/>
        <v>1.5844526419839253E-4</v>
      </c>
      <c r="D576" s="18">
        <f t="shared" si="115"/>
        <v>1.584452641983925E-4</v>
      </c>
      <c r="E576">
        <f t="shared" si="116"/>
        <v>4.6609784476459026E-8</v>
      </c>
      <c r="F576">
        <f t="shared" si="122"/>
        <v>-9.4369170255959034E-9</v>
      </c>
      <c r="G576">
        <f t="shared" si="123"/>
        <v>4.6609784476459026E-8</v>
      </c>
      <c r="L576" s="7">
        <f t="shared" si="117"/>
        <v>4.9720262030229161E-2</v>
      </c>
      <c r="M576" s="7">
        <f t="shared" si="118"/>
        <v>4.9720262030229168E-2</v>
      </c>
      <c r="N576" s="20">
        <f t="shared" si="112"/>
        <v>4.9720262030229168E-2</v>
      </c>
      <c r="O576">
        <f t="shared" si="119"/>
        <v>5.8207660913467407E-10</v>
      </c>
      <c r="P576">
        <f t="shared" si="120"/>
        <v>-3.4924596548080444E-10</v>
      </c>
      <c r="Q576">
        <f t="shared" si="121"/>
        <v>-3.4924596548080444E-10</v>
      </c>
    </row>
    <row r="577" spans="2:17" x14ac:dyDescent="0.25">
      <c r="B577" s="18">
        <f t="shared" si="113"/>
        <v>1.584452641983925E-4</v>
      </c>
      <c r="C577" s="18">
        <f t="shared" si="114"/>
        <v>1.5844526419839253E-4</v>
      </c>
      <c r="D577" s="18">
        <f t="shared" si="115"/>
        <v>1.584452641983925E-4</v>
      </c>
      <c r="E577">
        <f t="shared" si="116"/>
        <v>4.6609784476459026E-8</v>
      </c>
      <c r="F577">
        <f t="shared" si="122"/>
        <v>-9.4369170255959034E-9</v>
      </c>
      <c r="G577">
        <f t="shared" si="123"/>
        <v>4.6609784476459026E-8</v>
      </c>
      <c r="L577" s="7">
        <f t="shared" si="117"/>
        <v>4.9720262030229161E-2</v>
      </c>
      <c r="M577" s="7">
        <f t="shared" si="118"/>
        <v>4.9720262030229168E-2</v>
      </c>
      <c r="N577" s="20">
        <f t="shared" si="112"/>
        <v>4.9720262030229168E-2</v>
      </c>
      <c r="O577">
        <f t="shared" si="119"/>
        <v>5.8207660913467407E-10</v>
      </c>
      <c r="P577">
        <f t="shared" si="120"/>
        <v>-3.4924596548080444E-10</v>
      </c>
      <c r="Q577">
        <f t="shared" si="121"/>
        <v>-3.4924596548080444E-10</v>
      </c>
    </row>
    <row r="578" spans="2:17" x14ac:dyDescent="0.25">
      <c r="B578" s="18">
        <f t="shared" si="113"/>
        <v>1.584452641983925E-4</v>
      </c>
      <c r="C578" s="18">
        <f t="shared" si="114"/>
        <v>1.5844526419839253E-4</v>
      </c>
      <c r="D578" s="18">
        <f t="shared" si="115"/>
        <v>1.584452641983925E-4</v>
      </c>
      <c r="E578">
        <f t="shared" si="116"/>
        <v>4.6609784476459026E-8</v>
      </c>
      <c r="F578">
        <f t="shared" si="122"/>
        <v>-9.4369170255959034E-9</v>
      </c>
      <c r="G578">
        <f t="shared" si="123"/>
        <v>4.6609784476459026E-8</v>
      </c>
      <c r="L578" s="7">
        <f t="shared" si="117"/>
        <v>4.9720262030229161E-2</v>
      </c>
      <c r="M578" s="7">
        <f t="shared" si="118"/>
        <v>4.9720262030229168E-2</v>
      </c>
      <c r="N578" s="20">
        <f t="shared" si="112"/>
        <v>4.9720262030229168E-2</v>
      </c>
      <c r="O578">
        <f t="shared" si="119"/>
        <v>5.8207660913467407E-10</v>
      </c>
      <c r="P578">
        <f t="shared" si="120"/>
        <v>-3.4924596548080444E-10</v>
      </c>
      <c r="Q578">
        <f t="shared" si="121"/>
        <v>-3.4924596548080444E-10</v>
      </c>
    </row>
    <row r="579" spans="2:17" x14ac:dyDescent="0.25">
      <c r="B579" s="18">
        <f t="shared" si="113"/>
        <v>1.584452641983925E-4</v>
      </c>
      <c r="C579" s="18">
        <f t="shared" si="114"/>
        <v>1.5844526419839253E-4</v>
      </c>
      <c r="D579" s="18">
        <f t="shared" si="115"/>
        <v>1.584452641983925E-4</v>
      </c>
      <c r="E579">
        <f t="shared" si="116"/>
        <v>4.6609784476459026E-8</v>
      </c>
      <c r="F579">
        <f t="shared" si="122"/>
        <v>-9.4369170255959034E-9</v>
      </c>
      <c r="G579">
        <f t="shared" si="123"/>
        <v>4.6609784476459026E-8</v>
      </c>
      <c r="L579" s="7">
        <f t="shared" si="117"/>
        <v>4.9720262030229161E-2</v>
      </c>
      <c r="M579" s="7">
        <f t="shared" si="118"/>
        <v>4.9720262030229168E-2</v>
      </c>
      <c r="N579" s="20">
        <f t="shared" si="112"/>
        <v>4.9720262030229168E-2</v>
      </c>
      <c r="O579">
        <f t="shared" si="119"/>
        <v>5.8207660913467407E-10</v>
      </c>
      <c r="P579">
        <f t="shared" si="120"/>
        <v>-3.4924596548080444E-10</v>
      </c>
      <c r="Q579">
        <f t="shared" si="121"/>
        <v>-3.4924596548080444E-10</v>
      </c>
    </row>
    <row r="580" spans="2:17" x14ac:dyDescent="0.25">
      <c r="B580" s="18">
        <f t="shared" si="113"/>
        <v>1.584452641983925E-4</v>
      </c>
      <c r="C580" s="18">
        <f t="shared" si="114"/>
        <v>1.5844526419839253E-4</v>
      </c>
      <c r="D580" s="18">
        <f t="shared" si="115"/>
        <v>1.584452641983925E-4</v>
      </c>
      <c r="E580">
        <f t="shared" si="116"/>
        <v>4.6609784476459026E-8</v>
      </c>
      <c r="F580">
        <f t="shared" si="122"/>
        <v>-9.4369170255959034E-9</v>
      </c>
      <c r="G580">
        <f t="shared" si="123"/>
        <v>4.6609784476459026E-8</v>
      </c>
      <c r="L580" s="7">
        <f t="shared" si="117"/>
        <v>4.9720262030229161E-2</v>
      </c>
      <c r="M580" s="7">
        <f t="shared" si="118"/>
        <v>4.9720262030229168E-2</v>
      </c>
      <c r="N580" s="20">
        <f t="shared" si="112"/>
        <v>4.9720262030229168E-2</v>
      </c>
      <c r="O580">
        <f t="shared" si="119"/>
        <v>5.8207660913467407E-10</v>
      </c>
      <c r="P580">
        <f t="shared" si="120"/>
        <v>-3.4924596548080444E-10</v>
      </c>
      <c r="Q580">
        <f t="shared" si="121"/>
        <v>-3.4924596548080444E-10</v>
      </c>
    </row>
    <row r="581" spans="2:17" x14ac:dyDescent="0.25">
      <c r="B581" s="18">
        <f t="shared" si="113"/>
        <v>1.584452641983925E-4</v>
      </c>
      <c r="C581" s="18">
        <f t="shared" si="114"/>
        <v>1.5844526419839253E-4</v>
      </c>
      <c r="D581" s="18">
        <f t="shared" si="115"/>
        <v>1.584452641983925E-4</v>
      </c>
      <c r="E581">
        <f t="shared" si="116"/>
        <v>4.6609784476459026E-8</v>
      </c>
      <c r="F581">
        <f t="shared" si="122"/>
        <v>-9.4369170255959034E-9</v>
      </c>
      <c r="G581">
        <f t="shared" si="123"/>
        <v>4.6609784476459026E-8</v>
      </c>
      <c r="L581" s="7">
        <f t="shared" si="117"/>
        <v>4.9720262030229161E-2</v>
      </c>
      <c r="M581" s="7">
        <f t="shared" si="118"/>
        <v>4.9720262030229168E-2</v>
      </c>
      <c r="N581" s="20">
        <f t="shared" si="112"/>
        <v>4.9720262030229168E-2</v>
      </c>
      <c r="O581">
        <f t="shared" si="119"/>
        <v>5.8207660913467407E-10</v>
      </c>
      <c r="P581">
        <f t="shared" si="120"/>
        <v>-3.4924596548080444E-10</v>
      </c>
      <c r="Q581">
        <f t="shared" si="121"/>
        <v>-3.4924596548080444E-10</v>
      </c>
    </row>
    <row r="582" spans="2:17" x14ac:dyDescent="0.25">
      <c r="B582" s="18">
        <f t="shared" si="113"/>
        <v>1.584452641983925E-4</v>
      </c>
      <c r="C582" s="18">
        <f t="shared" si="114"/>
        <v>1.5844526419839253E-4</v>
      </c>
      <c r="D582" s="18">
        <f t="shared" si="115"/>
        <v>1.584452641983925E-4</v>
      </c>
      <c r="E582">
        <f t="shared" si="116"/>
        <v>4.6609784476459026E-8</v>
      </c>
      <c r="F582">
        <f t="shared" si="122"/>
        <v>-9.4369170255959034E-9</v>
      </c>
      <c r="G582">
        <f t="shared" si="123"/>
        <v>4.6609784476459026E-8</v>
      </c>
      <c r="L582" s="7">
        <f t="shared" si="117"/>
        <v>4.9720262030229161E-2</v>
      </c>
      <c r="M582" s="7">
        <f t="shared" si="118"/>
        <v>4.9720262030229168E-2</v>
      </c>
      <c r="N582" s="20">
        <f t="shared" si="112"/>
        <v>4.9720262030229168E-2</v>
      </c>
      <c r="O582">
        <f t="shared" si="119"/>
        <v>5.8207660913467407E-10</v>
      </c>
      <c r="P582">
        <f t="shared" si="120"/>
        <v>-3.4924596548080444E-10</v>
      </c>
      <c r="Q582">
        <f t="shared" si="121"/>
        <v>-3.4924596548080444E-10</v>
      </c>
    </row>
    <row r="583" spans="2:17" x14ac:dyDescent="0.25">
      <c r="B583" s="18">
        <f t="shared" si="113"/>
        <v>1.584452641983925E-4</v>
      </c>
      <c r="C583" s="18">
        <f t="shared" si="114"/>
        <v>1.5844526419839253E-4</v>
      </c>
      <c r="D583" s="18">
        <f t="shared" si="115"/>
        <v>1.584452641983925E-4</v>
      </c>
      <c r="E583">
        <f t="shared" si="116"/>
        <v>4.6609784476459026E-8</v>
      </c>
      <c r="F583">
        <f t="shared" si="122"/>
        <v>-9.4369170255959034E-9</v>
      </c>
      <c r="G583">
        <f t="shared" si="123"/>
        <v>4.6609784476459026E-8</v>
      </c>
      <c r="L583" s="7">
        <f t="shared" si="117"/>
        <v>4.9720262030229161E-2</v>
      </c>
      <c r="M583" s="7">
        <f t="shared" si="118"/>
        <v>4.9720262030229168E-2</v>
      </c>
      <c r="N583" s="20">
        <f t="shared" si="112"/>
        <v>4.9720262030229168E-2</v>
      </c>
      <c r="O583">
        <f t="shared" si="119"/>
        <v>5.8207660913467407E-10</v>
      </c>
      <c r="P583">
        <f t="shared" si="120"/>
        <v>-3.4924596548080444E-10</v>
      </c>
      <c r="Q583">
        <f t="shared" si="121"/>
        <v>-3.4924596548080444E-10</v>
      </c>
    </row>
    <row r="584" spans="2:17" x14ac:dyDescent="0.25">
      <c r="B584" s="18">
        <f t="shared" si="113"/>
        <v>1.584452641983925E-4</v>
      </c>
      <c r="C584" s="18">
        <f t="shared" si="114"/>
        <v>1.5844526419839253E-4</v>
      </c>
      <c r="D584" s="18">
        <f t="shared" si="115"/>
        <v>1.584452641983925E-4</v>
      </c>
      <c r="E584">
        <f t="shared" si="116"/>
        <v>4.6609784476459026E-8</v>
      </c>
      <c r="F584">
        <f t="shared" si="122"/>
        <v>-9.4369170255959034E-9</v>
      </c>
      <c r="G584">
        <f t="shared" si="123"/>
        <v>4.6609784476459026E-8</v>
      </c>
      <c r="L584" s="7">
        <f t="shared" si="117"/>
        <v>4.9720262030229161E-2</v>
      </c>
      <c r="M584" s="7">
        <f t="shared" si="118"/>
        <v>4.9720262030229168E-2</v>
      </c>
      <c r="N584" s="20">
        <f t="shared" si="112"/>
        <v>4.9720262030229168E-2</v>
      </c>
      <c r="O584">
        <f t="shared" si="119"/>
        <v>5.8207660913467407E-10</v>
      </c>
      <c r="P584">
        <f t="shared" si="120"/>
        <v>-3.4924596548080444E-10</v>
      </c>
      <c r="Q584">
        <f t="shared" si="121"/>
        <v>-3.4924596548080444E-10</v>
      </c>
    </row>
    <row r="585" spans="2:17" x14ac:dyDescent="0.25">
      <c r="B585" s="18">
        <f t="shared" si="113"/>
        <v>1.584452641983925E-4</v>
      </c>
      <c r="C585" s="18">
        <f t="shared" si="114"/>
        <v>1.5844526419839253E-4</v>
      </c>
      <c r="D585" s="18">
        <f t="shared" si="115"/>
        <v>1.584452641983925E-4</v>
      </c>
      <c r="E585">
        <f t="shared" si="116"/>
        <v>4.6609784476459026E-8</v>
      </c>
      <c r="F585">
        <f t="shared" si="122"/>
        <v>-9.4369170255959034E-9</v>
      </c>
      <c r="G585">
        <f t="shared" si="123"/>
        <v>4.6609784476459026E-8</v>
      </c>
      <c r="L585" s="7">
        <f t="shared" si="117"/>
        <v>4.9720262030229161E-2</v>
      </c>
      <c r="M585" s="7">
        <f t="shared" si="118"/>
        <v>4.9720262030229168E-2</v>
      </c>
      <c r="N585" s="20">
        <f t="shared" si="112"/>
        <v>4.9720262030229168E-2</v>
      </c>
      <c r="O585">
        <f t="shared" si="119"/>
        <v>5.8207660913467407E-10</v>
      </c>
      <c r="P585">
        <f t="shared" si="120"/>
        <v>-3.4924596548080444E-10</v>
      </c>
      <c r="Q585">
        <f t="shared" si="121"/>
        <v>-3.4924596548080444E-10</v>
      </c>
    </row>
    <row r="586" spans="2:17" x14ac:dyDescent="0.25">
      <c r="B586" s="18">
        <f t="shared" si="113"/>
        <v>1.584452641983925E-4</v>
      </c>
      <c r="C586" s="18">
        <f t="shared" si="114"/>
        <v>1.5844526419839253E-4</v>
      </c>
      <c r="D586" s="18">
        <f t="shared" si="115"/>
        <v>1.584452641983925E-4</v>
      </c>
      <c r="E586">
        <f t="shared" si="116"/>
        <v>4.6609784476459026E-8</v>
      </c>
      <c r="F586">
        <f t="shared" si="122"/>
        <v>-9.4369170255959034E-9</v>
      </c>
      <c r="G586">
        <f t="shared" si="123"/>
        <v>4.6609784476459026E-8</v>
      </c>
      <c r="L586" s="7">
        <f t="shared" si="117"/>
        <v>4.9720262030229161E-2</v>
      </c>
      <c r="M586" s="7">
        <f t="shared" si="118"/>
        <v>4.9720262030229168E-2</v>
      </c>
      <c r="N586" s="20">
        <f t="shared" si="112"/>
        <v>4.9720262030229168E-2</v>
      </c>
      <c r="O586">
        <f t="shared" si="119"/>
        <v>5.8207660913467407E-10</v>
      </c>
      <c r="P586">
        <f t="shared" si="120"/>
        <v>-3.4924596548080444E-10</v>
      </c>
      <c r="Q586">
        <f t="shared" si="121"/>
        <v>-3.4924596548080444E-10</v>
      </c>
    </row>
    <row r="587" spans="2:17" x14ac:dyDescent="0.25">
      <c r="B587" s="18">
        <f t="shared" si="113"/>
        <v>1.584452641983925E-4</v>
      </c>
      <c r="C587" s="18">
        <f t="shared" si="114"/>
        <v>1.5844526419839253E-4</v>
      </c>
      <c r="D587" s="18">
        <f t="shared" si="115"/>
        <v>1.584452641983925E-4</v>
      </c>
      <c r="E587">
        <f t="shared" si="116"/>
        <v>4.6609784476459026E-8</v>
      </c>
      <c r="F587">
        <f t="shared" si="122"/>
        <v>-9.4369170255959034E-9</v>
      </c>
      <c r="G587">
        <f t="shared" si="123"/>
        <v>4.6609784476459026E-8</v>
      </c>
      <c r="L587" s="7">
        <f t="shared" si="117"/>
        <v>4.9720262030229161E-2</v>
      </c>
      <c r="M587" s="7">
        <f t="shared" si="118"/>
        <v>4.9720262030229168E-2</v>
      </c>
      <c r="N587" s="20">
        <f t="shared" si="112"/>
        <v>4.9720262030229168E-2</v>
      </c>
      <c r="O587">
        <f t="shared" si="119"/>
        <v>5.8207660913467407E-10</v>
      </c>
      <c r="P587">
        <f t="shared" si="120"/>
        <v>-3.4924596548080444E-10</v>
      </c>
      <c r="Q587">
        <f t="shared" si="121"/>
        <v>-3.4924596548080444E-10</v>
      </c>
    </row>
    <row r="588" spans="2:17" x14ac:dyDescent="0.25">
      <c r="B588" s="18">
        <f t="shared" si="113"/>
        <v>1.584452641983925E-4</v>
      </c>
      <c r="C588" s="18">
        <f t="shared" si="114"/>
        <v>1.5844526419839253E-4</v>
      </c>
      <c r="D588" s="18">
        <f t="shared" si="115"/>
        <v>1.584452641983925E-4</v>
      </c>
      <c r="E588">
        <f t="shared" si="116"/>
        <v>4.6609784476459026E-8</v>
      </c>
      <c r="F588">
        <f t="shared" si="122"/>
        <v>-9.4369170255959034E-9</v>
      </c>
      <c r="G588">
        <f t="shared" si="123"/>
        <v>4.6609784476459026E-8</v>
      </c>
      <c r="L588" s="7">
        <f t="shared" si="117"/>
        <v>4.9720262030229161E-2</v>
      </c>
      <c r="M588" s="7">
        <f t="shared" si="118"/>
        <v>4.9720262030229168E-2</v>
      </c>
      <c r="N588" s="20">
        <f t="shared" si="112"/>
        <v>4.9720262030229168E-2</v>
      </c>
      <c r="O588">
        <f t="shared" si="119"/>
        <v>5.8207660913467407E-10</v>
      </c>
      <c r="P588">
        <f t="shared" si="120"/>
        <v>-3.4924596548080444E-10</v>
      </c>
      <c r="Q588">
        <f t="shared" si="121"/>
        <v>-3.4924596548080444E-10</v>
      </c>
    </row>
    <row r="589" spans="2:17" x14ac:dyDescent="0.25">
      <c r="B589" s="18">
        <f t="shared" si="113"/>
        <v>1.584452641983925E-4</v>
      </c>
      <c r="C589" s="18">
        <f t="shared" si="114"/>
        <v>1.5844526419839253E-4</v>
      </c>
      <c r="D589" s="18">
        <f t="shared" si="115"/>
        <v>1.584452641983925E-4</v>
      </c>
      <c r="E589">
        <f t="shared" si="116"/>
        <v>4.6609784476459026E-8</v>
      </c>
      <c r="F589">
        <f t="shared" si="122"/>
        <v>-9.4369170255959034E-9</v>
      </c>
      <c r="G589">
        <f t="shared" si="123"/>
        <v>4.6609784476459026E-8</v>
      </c>
      <c r="L589" s="7">
        <f t="shared" si="117"/>
        <v>4.9720262030229161E-2</v>
      </c>
      <c r="M589" s="7">
        <f t="shared" si="118"/>
        <v>4.9720262030229168E-2</v>
      </c>
      <c r="N589" s="20">
        <f t="shared" si="112"/>
        <v>4.9720262030229168E-2</v>
      </c>
      <c r="O589">
        <f t="shared" si="119"/>
        <v>5.8207660913467407E-10</v>
      </c>
      <c r="P589">
        <f t="shared" si="120"/>
        <v>-3.4924596548080444E-10</v>
      </c>
      <c r="Q589">
        <f t="shared" si="121"/>
        <v>-3.4924596548080444E-10</v>
      </c>
    </row>
    <row r="590" spans="2:17" x14ac:dyDescent="0.25">
      <c r="B590" s="18">
        <f t="shared" si="113"/>
        <v>1.584452641983925E-4</v>
      </c>
      <c r="C590" s="18">
        <f t="shared" si="114"/>
        <v>1.5844526419839253E-4</v>
      </c>
      <c r="D590" s="18">
        <f t="shared" si="115"/>
        <v>1.584452641983925E-4</v>
      </c>
      <c r="E590">
        <f t="shared" si="116"/>
        <v>4.6609784476459026E-8</v>
      </c>
      <c r="F590">
        <f t="shared" si="122"/>
        <v>-9.4369170255959034E-9</v>
      </c>
      <c r="G590">
        <f t="shared" si="123"/>
        <v>4.6609784476459026E-8</v>
      </c>
      <c r="L590" s="7">
        <f t="shared" si="117"/>
        <v>4.9720262030229161E-2</v>
      </c>
      <c r="M590" s="7">
        <f t="shared" si="118"/>
        <v>4.9720262030229168E-2</v>
      </c>
      <c r="N590" s="20">
        <f t="shared" si="112"/>
        <v>4.9720262030229168E-2</v>
      </c>
      <c r="O590">
        <f t="shared" si="119"/>
        <v>5.8207660913467407E-10</v>
      </c>
      <c r="P590">
        <f t="shared" si="120"/>
        <v>-3.4924596548080444E-10</v>
      </c>
      <c r="Q590">
        <f t="shared" si="121"/>
        <v>-3.4924596548080444E-10</v>
      </c>
    </row>
    <row r="591" spans="2:17" x14ac:dyDescent="0.25">
      <c r="B591" s="18">
        <f t="shared" si="113"/>
        <v>1.584452641983925E-4</v>
      </c>
      <c r="C591" s="18">
        <f t="shared" si="114"/>
        <v>1.5844526419839253E-4</v>
      </c>
      <c r="D591" s="18">
        <f t="shared" si="115"/>
        <v>1.584452641983925E-4</v>
      </c>
      <c r="E591">
        <f t="shared" si="116"/>
        <v>4.6609784476459026E-8</v>
      </c>
      <c r="F591">
        <f t="shared" si="122"/>
        <v>-9.4369170255959034E-9</v>
      </c>
      <c r="G591">
        <f t="shared" si="123"/>
        <v>4.6609784476459026E-8</v>
      </c>
      <c r="L591" s="7">
        <f t="shared" si="117"/>
        <v>4.9720262030229161E-2</v>
      </c>
      <c r="M591" s="7">
        <f t="shared" si="118"/>
        <v>4.9720262030229168E-2</v>
      </c>
      <c r="N591" s="20">
        <f t="shared" si="112"/>
        <v>4.9720262030229168E-2</v>
      </c>
      <c r="O591">
        <f t="shared" si="119"/>
        <v>5.8207660913467407E-10</v>
      </c>
      <c r="P591">
        <f t="shared" si="120"/>
        <v>-3.4924596548080444E-10</v>
      </c>
      <c r="Q591">
        <f t="shared" si="121"/>
        <v>-3.4924596548080444E-10</v>
      </c>
    </row>
    <row r="592" spans="2:17" x14ac:dyDescent="0.25">
      <c r="B592" s="18">
        <f t="shared" si="113"/>
        <v>1.584452641983925E-4</v>
      </c>
      <c r="C592" s="18">
        <f t="shared" si="114"/>
        <v>1.5844526419839253E-4</v>
      </c>
      <c r="D592" s="18">
        <f t="shared" si="115"/>
        <v>1.584452641983925E-4</v>
      </c>
      <c r="E592">
        <f t="shared" si="116"/>
        <v>4.6609784476459026E-8</v>
      </c>
      <c r="F592">
        <f t="shared" si="122"/>
        <v>-9.4369170255959034E-9</v>
      </c>
      <c r="G592">
        <f t="shared" si="123"/>
        <v>4.6609784476459026E-8</v>
      </c>
      <c r="L592" s="7">
        <f t="shared" si="117"/>
        <v>4.9720262030229161E-2</v>
      </c>
      <c r="M592" s="7">
        <f t="shared" si="118"/>
        <v>4.9720262030229168E-2</v>
      </c>
      <c r="N592" s="20">
        <f t="shared" si="112"/>
        <v>4.9720262030229168E-2</v>
      </c>
      <c r="O592">
        <f t="shared" si="119"/>
        <v>5.8207660913467407E-10</v>
      </c>
      <c r="P592">
        <f t="shared" si="120"/>
        <v>-3.4924596548080444E-10</v>
      </c>
      <c r="Q592">
        <f t="shared" si="121"/>
        <v>-3.4924596548080444E-10</v>
      </c>
    </row>
    <row r="593" spans="2:17" x14ac:dyDescent="0.25">
      <c r="B593" s="18">
        <f t="shared" si="113"/>
        <v>1.584452641983925E-4</v>
      </c>
      <c r="C593" s="18">
        <f t="shared" si="114"/>
        <v>1.5844526419839253E-4</v>
      </c>
      <c r="D593" s="18">
        <f t="shared" si="115"/>
        <v>1.584452641983925E-4</v>
      </c>
      <c r="E593">
        <f t="shared" si="116"/>
        <v>4.6609784476459026E-8</v>
      </c>
      <c r="F593">
        <f t="shared" si="122"/>
        <v>-9.4369170255959034E-9</v>
      </c>
      <c r="G593">
        <f t="shared" si="123"/>
        <v>4.6609784476459026E-8</v>
      </c>
      <c r="L593" s="7">
        <f t="shared" si="117"/>
        <v>4.9720262030229161E-2</v>
      </c>
      <c r="M593" s="7">
        <f t="shared" si="118"/>
        <v>4.9720262030229168E-2</v>
      </c>
      <c r="N593" s="20">
        <f t="shared" si="112"/>
        <v>4.9720262030229168E-2</v>
      </c>
      <c r="O593">
        <f t="shared" si="119"/>
        <v>5.8207660913467407E-10</v>
      </c>
      <c r="P593">
        <f t="shared" si="120"/>
        <v>-3.4924596548080444E-10</v>
      </c>
      <c r="Q593">
        <f t="shared" si="121"/>
        <v>-3.4924596548080444E-10</v>
      </c>
    </row>
    <row r="594" spans="2:17" x14ac:dyDescent="0.25">
      <c r="B594" s="18">
        <f t="shared" si="113"/>
        <v>1.584452641983925E-4</v>
      </c>
      <c r="C594" s="18">
        <f t="shared" si="114"/>
        <v>1.5844526419839253E-4</v>
      </c>
      <c r="D594" s="18">
        <f t="shared" si="115"/>
        <v>1.584452641983925E-4</v>
      </c>
      <c r="E594">
        <f t="shared" si="116"/>
        <v>4.6609784476459026E-8</v>
      </c>
      <c r="F594">
        <f t="shared" si="122"/>
        <v>-9.4369170255959034E-9</v>
      </c>
      <c r="G594">
        <f t="shared" si="123"/>
        <v>4.6609784476459026E-8</v>
      </c>
      <c r="L594" s="7">
        <f t="shared" si="117"/>
        <v>4.9720262030229161E-2</v>
      </c>
      <c r="M594" s="7">
        <f t="shared" si="118"/>
        <v>4.9720262030229168E-2</v>
      </c>
      <c r="N594" s="20">
        <f t="shared" si="112"/>
        <v>4.9720262030229168E-2</v>
      </c>
      <c r="O594">
        <f t="shared" si="119"/>
        <v>5.8207660913467407E-10</v>
      </c>
      <c r="P594">
        <f t="shared" si="120"/>
        <v>-3.4924596548080444E-10</v>
      </c>
      <c r="Q594">
        <f t="shared" si="121"/>
        <v>-3.4924596548080444E-10</v>
      </c>
    </row>
    <row r="595" spans="2:17" x14ac:dyDescent="0.25">
      <c r="B595" s="18">
        <f t="shared" si="113"/>
        <v>1.584452641983925E-4</v>
      </c>
      <c r="C595" s="18">
        <f t="shared" si="114"/>
        <v>1.5844526419839253E-4</v>
      </c>
      <c r="D595" s="18">
        <f t="shared" si="115"/>
        <v>1.584452641983925E-4</v>
      </c>
      <c r="E595">
        <f t="shared" si="116"/>
        <v>4.6609784476459026E-8</v>
      </c>
      <c r="F595">
        <f t="shared" si="122"/>
        <v>-9.4369170255959034E-9</v>
      </c>
      <c r="G595">
        <f t="shared" si="123"/>
        <v>4.6609784476459026E-8</v>
      </c>
      <c r="L595" s="7">
        <f t="shared" si="117"/>
        <v>4.9720262030229161E-2</v>
      </c>
      <c r="M595" s="7">
        <f t="shared" si="118"/>
        <v>4.9720262030229168E-2</v>
      </c>
      <c r="N595" s="20">
        <f t="shared" si="112"/>
        <v>4.9720262030229168E-2</v>
      </c>
      <c r="O595">
        <f t="shared" si="119"/>
        <v>5.8207660913467407E-10</v>
      </c>
      <c r="P595">
        <f t="shared" si="120"/>
        <v>-3.4924596548080444E-10</v>
      </c>
      <c r="Q595">
        <f t="shared" si="121"/>
        <v>-3.4924596548080444E-10</v>
      </c>
    </row>
    <row r="596" spans="2:17" x14ac:dyDescent="0.25">
      <c r="B596" s="18">
        <f t="shared" si="113"/>
        <v>1.584452641983925E-4</v>
      </c>
      <c r="C596" s="18">
        <f t="shared" si="114"/>
        <v>1.5844526419839253E-4</v>
      </c>
      <c r="D596" s="18">
        <f t="shared" si="115"/>
        <v>1.584452641983925E-4</v>
      </c>
      <c r="E596">
        <f t="shared" si="116"/>
        <v>4.6609784476459026E-8</v>
      </c>
      <c r="F596">
        <f t="shared" si="122"/>
        <v>-9.4369170255959034E-9</v>
      </c>
      <c r="G596">
        <f t="shared" si="123"/>
        <v>4.6609784476459026E-8</v>
      </c>
      <c r="L596" s="7">
        <f t="shared" si="117"/>
        <v>4.9720262030229161E-2</v>
      </c>
      <c r="M596" s="7">
        <f t="shared" si="118"/>
        <v>4.9720262030229168E-2</v>
      </c>
      <c r="N596" s="20">
        <f t="shared" si="112"/>
        <v>4.9720262030229168E-2</v>
      </c>
      <c r="O596">
        <f t="shared" si="119"/>
        <v>5.8207660913467407E-10</v>
      </c>
      <c r="P596">
        <f t="shared" si="120"/>
        <v>-3.4924596548080444E-10</v>
      </c>
      <c r="Q596">
        <f t="shared" si="121"/>
        <v>-3.4924596548080444E-10</v>
      </c>
    </row>
    <row r="597" spans="2:17" x14ac:dyDescent="0.25">
      <c r="B597" s="18">
        <f t="shared" si="113"/>
        <v>1.584452641983925E-4</v>
      </c>
      <c r="C597" s="18">
        <f t="shared" si="114"/>
        <v>1.5844526419839253E-4</v>
      </c>
      <c r="D597" s="18">
        <f t="shared" si="115"/>
        <v>1.584452641983925E-4</v>
      </c>
      <c r="E597">
        <f t="shared" si="116"/>
        <v>4.6609784476459026E-8</v>
      </c>
      <c r="F597">
        <f t="shared" si="122"/>
        <v>-9.4369170255959034E-9</v>
      </c>
      <c r="G597">
        <f t="shared" si="123"/>
        <v>4.6609784476459026E-8</v>
      </c>
      <c r="L597" s="7">
        <f t="shared" si="117"/>
        <v>4.9720262030229161E-2</v>
      </c>
      <c r="M597" s="7">
        <f t="shared" si="118"/>
        <v>4.9720262030229168E-2</v>
      </c>
      <c r="N597" s="20">
        <f t="shared" si="112"/>
        <v>4.9720262030229168E-2</v>
      </c>
      <c r="O597">
        <f t="shared" si="119"/>
        <v>5.8207660913467407E-10</v>
      </c>
      <c r="P597">
        <f t="shared" si="120"/>
        <v>-3.4924596548080444E-10</v>
      </c>
      <c r="Q597">
        <f t="shared" si="121"/>
        <v>-3.4924596548080444E-10</v>
      </c>
    </row>
    <row r="598" spans="2:17" x14ac:dyDescent="0.25">
      <c r="B598" s="18">
        <f t="shared" si="113"/>
        <v>1.584452641983925E-4</v>
      </c>
      <c r="C598" s="18">
        <f t="shared" si="114"/>
        <v>1.5844526419839253E-4</v>
      </c>
      <c r="D598" s="18">
        <f t="shared" si="115"/>
        <v>1.584452641983925E-4</v>
      </c>
      <c r="E598">
        <f t="shared" si="116"/>
        <v>4.6609784476459026E-8</v>
      </c>
      <c r="F598">
        <f t="shared" si="122"/>
        <v>-9.4369170255959034E-9</v>
      </c>
      <c r="G598">
        <f t="shared" si="123"/>
        <v>4.6609784476459026E-8</v>
      </c>
      <c r="L598" s="7">
        <f t="shared" si="117"/>
        <v>4.9720262030229161E-2</v>
      </c>
      <c r="M598" s="7">
        <f t="shared" si="118"/>
        <v>4.9720262030229168E-2</v>
      </c>
      <c r="N598" s="20">
        <f t="shared" si="112"/>
        <v>4.9720262030229168E-2</v>
      </c>
      <c r="O598">
        <f t="shared" si="119"/>
        <v>5.8207660913467407E-10</v>
      </c>
      <c r="P598">
        <f t="shared" si="120"/>
        <v>-3.4924596548080444E-10</v>
      </c>
      <c r="Q598">
        <f t="shared" si="121"/>
        <v>-3.4924596548080444E-10</v>
      </c>
    </row>
    <row r="599" spans="2:17" x14ac:dyDescent="0.25">
      <c r="B599" s="18">
        <f t="shared" si="113"/>
        <v>1.584452641983925E-4</v>
      </c>
      <c r="C599" s="18">
        <f t="shared" si="114"/>
        <v>1.5844526419839253E-4</v>
      </c>
      <c r="D599" s="18">
        <f t="shared" si="115"/>
        <v>1.584452641983925E-4</v>
      </c>
      <c r="E599">
        <f t="shared" si="116"/>
        <v>4.6609784476459026E-8</v>
      </c>
      <c r="F599">
        <f t="shared" si="122"/>
        <v>-9.4369170255959034E-9</v>
      </c>
      <c r="G599">
        <f t="shared" si="123"/>
        <v>4.6609784476459026E-8</v>
      </c>
      <c r="L599" s="7">
        <f t="shared" si="117"/>
        <v>4.9720262030229161E-2</v>
      </c>
      <c r="M599" s="7">
        <f t="shared" si="118"/>
        <v>4.9720262030229168E-2</v>
      </c>
      <c r="N599" s="20">
        <f t="shared" si="112"/>
        <v>4.9720262030229168E-2</v>
      </c>
      <c r="O599">
        <f t="shared" si="119"/>
        <v>5.8207660913467407E-10</v>
      </c>
      <c r="P599">
        <f t="shared" si="120"/>
        <v>-3.4924596548080444E-10</v>
      </c>
      <c r="Q599">
        <f t="shared" si="121"/>
        <v>-3.4924596548080444E-10</v>
      </c>
    </row>
    <row r="600" spans="2:17" x14ac:dyDescent="0.25">
      <c r="B600" s="18">
        <f t="shared" si="113"/>
        <v>1.584452641983925E-4</v>
      </c>
      <c r="C600" s="18">
        <f t="shared" si="114"/>
        <v>1.5844526419839253E-4</v>
      </c>
      <c r="D600" s="18">
        <f t="shared" si="115"/>
        <v>1.584452641983925E-4</v>
      </c>
      <c r="E600">
        <f t="shared" si="116"/>
        <v>4.6609784476459026E-8</v>
      </c>
      <c r="F600">
        <f t="shared" si="122"/>
        <v>-9.4369170255959034E-9</v>
      </c>
      <c r="G600">
        <f t="shared" si="123"/>
        <v>4.6609784476459026E-8</v>
      </c>
      <c r="L600" s="7">
        <f t="shared" si="117"/>
        <v>4.9720262030229161E-2</v>
      </c>
      <c r="M600" s="7">
        <f t="shared" si="118"/>
        <v>4.9720262030229168E-2</v>
      </c>
      <c r="N600" s="20">
        <f t="shared" si="112"/>
        <v>4.9720262030229168E-2</v>
      </c>
      <c r="O600">
        <f t="shared" si="119"/>
        <v>5.8207660913467407E-10</v>
      </c>
      <c r="P600">
        <f t="shared" si="120"/>
        <v>-3.4924596548080444E-10</v>
      </c>
      <c r="Q600">
        <f t="shared" si="121"/>
        <v>-3.4924596548080444E-10</v>
      </c>
    </row>
    <row r="601" spans="2:17" x14ac:dyDescent="0.25">
      <c r="B601" s="18">
        <f t="shared" si="113"/>
        <v>1.584452641983925E-4</v>
      </c>
      <c r="C601" s="18">
        <f t="shared" si="114"/>
        <v>1.5844526419839253E-4</v>
      </c>
      <c r="D601" s="18">
        <f t="shared" si="115"/>
        <v>1.584452641983925E-4</v>
      </c>
      <c r="E601">
        <f t="shared" si="116"/>
        <v>4.6609784476459026E-8</v>
      </c>
      <c r="F601">
        <f t="shared" si="122"/>
        <v>-9.4369170255959034E-9</v>
      </c>
      <c r="G601">
        <f t="shared" si="123"/>
        <v>4.6609784476459026E-8</v>
      </c>
      <c r="L601" s="7">
        <f t="shared" si="117"/>
        <v>4.9720262030229161E-2</v>
      </c>
      <c r="M601" s="7">
        <f t="shared" si="118"/>
        <v>4.9720262030229168E-2</v>
      </c>
      <c r="N601" s="20">
        <f t="shared" ref="N601:N664" si="124">(L601+M601)/2</f>
        <v>4.9720262030229168E-2</v>
      </c>
      <c r="O601">
        <f t="shared" si="119"/>
        <v>5.8207660913467407E-10</v>
      </c>
      <c r="P601">
        <f t="shared" si="120"/>
        <v>-3.4924596548080444E-10</v>
      </c>
      <c r="Q601">
        <f t="shared" si="121"/>
        <v>-3.4924596548080444E-10</v>
      </c>
    </row>
    <row r="602" spans="2:17" x14ac:dyDescent="0.25">
      <c r="B602" s="18">
        <f t="shared" ref="B602:B665" si="125">IF(E601*G601&lt;0,B601,D601)</f>
        <v>1.584452641983925E-4</v>
      </c>
      <c r="C602" s="18">
        <f t="shared" ref="C602:C665" si="126">IF(F601*G601&lt;0,C601,D601)</f>
        <v>1.5844526419839253E-4</v>
      </c>
      <c r="D602" s="18">
        <f t="shared" ref="D602:D665" si="127">(B602+C602)/2</f>
        <v>1.584452641983925E-4</v>
      </c>
      <c r="E602">
        <f t="shared" ref="E602:E665" si="128">IF($G$8 = "Future Value",$C$5-($D$5*(((1+B602)^($F$5*$G$5)-1)/B602)),$H$5-$D$5*((1-(1+B602)^(-1*$F$5*$G$5))/B602))</f>
        <v>4.6609784476459026E-8</v>
      </c>
      <c r="F602">
        <f t="shared" si="122"/>
        <v>-9.4369170255959034E-9</v>
      </c>
      <c r="G602">
        <f t="shared" si="123"/>
        <v>4.6609784476459026E-8</v>
      </c>
      <c r="L602" s="7">
        <f t="shared" ref="L602:L665" si="129">IF(O601*Q601&lt;0,L601,N601)</f>
        <v>4.9720262030229161E-2</v>
      </c>
      <c r="M602" s="7">
        <f t="shared" ref="M602:M665" si="130">IF(P601*Q601&lt;0,M601,N601)</f>
        <v>4.9720262030229168E-2</v>
      </c>
      <c r="N602" s="20">
        <f t="shared" si="124"/>
        <v>4.9720262030229168E-2</v>
      </c>
      <c r="O602">
        <f t="shared" ref="O602:O665" si="131">IF($Q$8 = "Future Value",$M$5-($N$5*(1+L602)*(((1+L602)^($P$5*$Q$5)-1)/L602)),$R$5-$N$5*(1+L602)*((1-(1+L602)^(-1*$P$5*$Q$5))/L602))</f>
        <v>5.8207660913467407E-10</v>
      </c>
      <c r="P602">
        <f t="shared" ref="P602:P665" si="132">IF($Q$8 = "Future Value",$M$5-($N$5*(1+M602)*(((1+M602)^($P$5*$Q$5)-1)/M602)),$R$5-$N$5*(1+M602)*((1-(1+M602)^(-1*$P$5*$Q$5))/M602))</f>
        <v>-3.4924596548080444E-10</v>
      </c>
      <c r="Q602">
        <f t="shared" ref="Q602:Q665" si="133">IF($Q$8 = "Future Value",$M$5-($N$5*(1+N602)*(((1+N602)^($P$5*$Q$5)-1)/N602)),$R$5-$N$5*(1+N602)*((1-(1+N602)^(-1*$P$5*$Q$5))/N602))</f>
        <v>-3.4924596548080444E-10</v>
      </c>
    </row>
    <row r="603" spans="2:17" x14ac:dyDescent="0.25">
      <c r="B603" s="18">
        <f t="shared" si="125"/>
        <v>1.584452641983925E-4</v>
      </c>
      <c r="C603" s="18">
        <f t="shared" si="126"/>
        <v>1.5844526419839253E-4</v>
      </c>
      <c r="D603" s="18">
        <f t="shared" si="127"/>
        <v>1.584452641983925E-4</v>
      </c>
      <c r="E603">
        <f t="shared" si="128"/>
        <v>4.6609784476459026E-8</v>
      </c>
      <c r="F603">
        <f t="shared" ref="F603:F666" si="134">IF($G$8 = "Future Value",$C$5-($D$5*(((1+C603)^($F$5*$G$5)-1)/C603)),$H$5-$D$5*((1-(1+C603)^(-1*$F$5*$G$5))/C603))</f>
        <v>-9.4369170255959034E-9</v>
      </c>
      <c r="G603">
        <f t="shared" ref="G603:G666" si="135">IF($G$8 = "Future Value",$C$5-($D$5*(((1+D603)^($F$5*$G$5)-1)/D603)),$H$5-$D$5*((1-(1+D603)^(-1*$F$5*$G$5))/D603))</f>
        <v>4.6609784476459026E-8</v>
      </c>
      <c r="L603" s="7">
        <f t="shared" si="129"/>
        <v>4.9720262030229161E-2</v>
      </c>
      <c r="M603" s="7">
        <f t="shared" si="130"/>
        <v>4.9720262030229168E-2</v>
      </c>
      <c r="N603" s="20">
        <f t="shared" si="124"/>
        <v>4.9720262030229168E-2</v>
      </c>
      <c r="O603">
        <f t="shared" si="131"/>
        <v>5.8207660913467407E-10</v>
      </c>
      <c r="P603">
        <f t="shared" si="132"/>
        <v>-3.4924596548080444E-10</v>
      </c>
      <c r="Q603">
        <f t="shared" si="133"/>
        <v>-3.4924596548080444E-10</v>
      </c>
    </row>
    <row r="604" spans="2:17" x14ac:dyDescent="0.25">
      <c r="B604" s="18">
        <f t="shared" si="125"/>
        <v>1.584452641983925E-4</v>
      </c>
      <c r="C604" s="18">
        <f t="shared" si="126"/>
        <v>1.5844526419839253E-4</v>
      </c>
      <c r="D604" s="18">
        <f t="shared" si="127"/>
        <v>1.584452641983925E-4</v>
      </c>
      <c r="E604">
        <f t="shared" si="128"/>
        <v>4.6609784476459026E-8</v>
      </c>
      <c r="F604">
        <f t="shared" si="134"/>
        <v>-9.4369170255959034E-9</v>
      </c>
      <c r="G604">
        <f t="shared" si="135"/>
        <v>4.6609784476459026E-8</v>
      </c>
      <c r="L604" s="7">
        <f t="shared" si="129"/>
        <v>4.9720262030229161E-2</v>
      </c>
      <c r="M604" s="7">
        <f t="shared" si="130"/>
        <v>4.9720262030229168E-2</v>
      </c>
      <c r="N604" s="20">
        <f t="shared" si="124"/>
        <v>4.9720262030229168E-2</v>
      </c>
      <c r="O604">
        <f t="shared" si="131"/>
        <v>5.8207660913467407E-10</v>
      </c>
      <c r="P604">
        <f t="shared" si="132"/>
        <v>-3.4924596548080444E-10</v>
      </c>
      <c r="Q604">
        <f t="shared" si="133"/>
        <v>-3.4924596548080444E-10</v>
      </c>
    </row>
    <row r="605" spans="2:17" x14ac:dyDescent="0.25">
      <c r="B605" s="18">
        <f t="shared" si="125"/>
        <v>1.584452641983925E-4</v>
      </c>
      <c r="C605" s="18">
        <f t="shared" si="126"/>
        <v>1.5844526419839253E-4</v>
      </c>
      <c r="D605" s="18">
        <f t="shared" si="127"/>
        <v>1.584452641983925E-4</v>
      </c>
      <c r="E605">
        <f t="shared" si="128"/>
        <v>4.6609784476459026E-8</v>
      </c>
      <c r="F605">
        <f t="shared" si="134"/>
        <v>-9.4369170255959034E-9</v>
      </c>
      <c r="G605">
        <f t="shared" si="135"/>
        <v>4.6609784476459026E-8</v>
      </c>
      <c r="L605" s="7">
        <f t="shared" si="129"/>
        <v>4.9720262030229161E-2</v>
      </c>
      <c r="M605" s="7">
        <f t="shared" si="130"/>
        <v>4.9720262030229168E-2</v>
      </c>
      <c r="N605" s="20">
        <f t="shared" si="124"/>
        <v>4.9720262030229168E-2</v>
      </c>
      <c r="O605">
        <f t="shared" si="131"/>
        <v>5.8207660913467407E-10</v>
      </c>
      <c r="P605">
        <f t="shared" si="132"/>
        <v>-3.4924596548080444E-10</v>
      </c>
      <c r="Q605">
        <f t="shared" si="133"/>
        <v>-3.4924596548080444E-10</v>
      </c>
    </row>
    <row r="606" spans="2:17" x14ac:dyDescent="0.25">
      <c r="B606" s="18">
        <f t="shared" si="125"/>
        <v>1.584452641983925E-4</v>
      </c>
      <c r="C606" s="18">
        <f t="shared" si="126"/>
        <v>1.5844526419839253E-4</v>
      </c>
      <c r="D606" s="18">
        <f t="shared" si="127"/>
        <v>1.584452641983925E-4</v>
      </c>
      <c r="E606">
        <f t="shared" si="128"/>
        <v>4.6609784476459026E-8</v>
      </c>
      <c r="F606">
        <f t="shared" si="134"/>
        <v>-9.4369170255959034E-9</v>
      </c>
      <c r="G606">
        <f t="shared" si="135"/>
        <v>4.6609784476459026E-8</v>
      </c>
      <c r="L606" s="7">
        <f t="shared" si="129"/>
        <v>4.9720262030229161E-2</v>
      </c>
      <c r="M606" s="7">
        <f t="shared" si="130"/>
        <v>4.9720262030229168E-2</v>
      </c>
      <c r="N606" s="20">
        <f t="shared" si="124"/>
        <v>4.9720262030229168E-2</v>
      </c>
      <c r="O606">
        <f t="shared" si="131"/>
        <v>5.8207660913467407E-10</v>
      </c>
      <c r="P606">
        <f t="shared" si="132"/>
        <v>-3.4924596548080444E-10</v>
      </c>
      <c r="Q606">
        <f t="shared" si="133"/>
        <v>-3.4924596548080444E-10</v>
      </c>
    </row>
    <row r="607" spans="2:17" x14ac:dyDescent="0.25">
      <c r="B607" s="18">
        <f t="shared" si="125"/>
        <v>1.584452641983925E-4</v>
      </c>
      <c r="C607" s="18">
        <f t="shared" si="126"/>
        <v>1.5844526419839253E-4</v>
      </c>
      <c r="D607" s="18">
        <f t="shared" si="127"/>
        <v>1.584452641983925E-4</v>
      </c>
      <c r="E607">
        <f t="shared" si="128"/>
        <v>4.6609784476459026E-8</v>
      </c>
      <c r="F607">
        <f t="shared" si="134"/>
        <v>-9.4369170255959034E-9</v>
      </c>
      <c r="G607">
        <f t="shared" si="135"/>
        <v>4.6609784476459026E-8</v>
      </c>
      <c r="L607" s="7">
        <f t="shared" si="129"/>
        <v>4.9720262030229161E-2</v>
      </c>
      <c r="M607" s="7">
        <f t="shared" si="130"/>
        <v>4.9720262030229168E-2</v>
      </c>
      <c r="N607" s="20">
        <f t="shared" si="124"/>
        <v>4.9720262030229168E-2</v>
      </c>
      <c r="O607">
        <f t="shared" si="131"/>
        <v>5.8207660913467407E-10</v>
      </c>
      <c r="P607">
        <f t="shared" si="132"/>
        <v>-3.4924596548080444E-10</v>
      </c>
      <c r="Q607">
        <f t="shared" si="133"/>
        <v>-3.4924596548080444E-10</v>
      </c>
    </row>
    <row r="608" spans="2:17" x14ac:dyDescent="0.25">
      <c r="B608" s="18">
        <f t="shared" si="125"/>
        <v>1.584452641983925E-4</v>
      </c>
      <c r="C608" s="18">
        <f t="shared" si="126"/>
        <v>1.5844526419839253E-4</v>
      </c>
      <c r="D608" s="18">
        <f t="shared" si="127"/>
        <v>1.584452641983925E-4</v>
      </c>
      <c r="E608">
        <f t="shared" si="128"/>
        <v>4.6609784476459026E-8</v>
      </c>
      <c r="F608">
        <f t="shared" si="134"/>
        <v>-9.4369170255959034E-9</v>
      </c>
      <c r="G608">
        <f t="shared" si="135"/>
        <v>4.6609784476459026E-8</v>
      </c>
      <c r="L608" s="7">
        <f t="shared" si="129"/>
        <v>4.9720262030229161E-2</v>
      </c>
      <c r="M608" s="7">
        <f t="shared" si="130"/>
        <v>4.9720262030229168E-2</v>
      </c>
      <c r="N608" s="20">
        <f t="shared" si="124"/>
        <v>4.9720262030229168E-2</v>
      </c>
      <c r="O608">
        <f t="shared" si="131"/>
        <v>5.8207660913467407E-10</v>
      </c>
      <c r="P608">
        <f t="shared" si="132"/>
        <v>-3.4924596548080444E-10</v>
      </c>
      <c r="Q608">
        <f t="shared" si="133"/>
        <v>-3.4924596548080444E-10</v>
      </c>
    </row>
    <row r="609" spans="2:17" x14ac:dyDescent="0.25">
      <c r="B609" s="18">
        <f t="shared" si="125"/>
        <v>1.584452641983925E-4</v>
      </c>
      <c r="C609" s="18">
        <f t="shared" si="126"/>
        <v>1.5844526419839253E-4</v>
      </c>
      <c r="D609" s="18">
        <f t="shared" si="127"/>
        <v>1.584452641983925E-4</v>
      </c>
      <c r="E609">
        <f t="shared" si="128"/>
        <v>4.6609784476459026E-8</v>
      </c>
      <c r="F609">
        <f t="shared" si="134"/>
        <v>-9.4369170255959034E-9</v>
      </c>
      <c r="G609">
        <f t="shared" si="135"/>
        <v>4.6609784476459026E-8</v>
      </c>
      <c r="L609" s="7">
        <f t="shared" si="129"/>
        <v>4.9720262030229161E-2</v>
      </c>
      <c r="M609" s="7">
        <f t="shared" si="130"/>
        <v>4.9720262030229168E-2</v>
      </c>
      <c r="N609" s="20">
        <f t="shared" si="124"/>
        <v>4.9720262030229168E-2</v>
      </c>
      <c r="O609">
        <f t="shared" si="131"/>
        <v>5.8207660913467407E-10</v>
      </c>
      <c r="P609">
        <f t="shared" si="132"/>
        <v>-3.4924596548080444E-10</v>
      </c>
      <c r="Q609">
        <f t="shared" si="133"/>
        <v>-3.4924596548080444E-10</v>
      </c>
    </row>
    <row r="610" spans="2:17" x14ac:dyDescent="0.25">
      <c r="B610" s="18">
        <f t="shared" si="125"/>
        <v>1.584452641983925E-4</v>
      </c>
      <c r="C610" s="18">
        <f t="shared" si="126"/>
        <v>1.5844526419839253E-4</v>
      </c>
      <c r="D610" s="18">
        <f t="shared" si="127"/>
        <v>1.584452641983925E-4</v>
      </c>
      <c r="E610">
        <f t="shared" si="128"/>
        <v>4.6609784476459026E-8</v>
      </c>
      <c r="F610">
        <f t="shared" si="134"/>
        <v>-9.4369170255959034E-9</v>
      </c>
      <c r="G610">
        <f t="shared" si="135"/>
        <v>4.6609784476459026E-8</v>
      </c>
      <c r="L610" s="7">
        <f t="shared" si="129"/>
        <v>4.9720262030229161E-2</v>
      </c>
      <c r="M610" s="7">
        <f t="shared" si="130"/>
        <v>4.9720262030229168E-2</v>
      </c>
      <c r="N610" s="20">
        <f t="shared" si="124"/>
        <v>4.9720262030229168E-2</v>
      </c>
      <c r="O610">
        <f t="shared" si="131"/>
        <v>5.8207660913467407E-10</v>
      </c>
      <c r="P610">
        <f t="shared" si="132"/>
        <v>-3.4924596548080444E-10</v>
      </c>
      <c r="Q610">
        <f t="shared" si="133"/>
        <v>-3.4924596548080444E-10</v>
      </c>
    </row>
    <row r="611" spans="2:17" x14ac:dyDescent="0.25">
      <c r="B611" s="18">
        <f t="shared" si="125"/>
        <v>1.584452641983925E-4</v>
      </c>
      <c r="C611" s="18">
        <f t="shared" si="126"/>
        <v>1.5844526419839253E-4</v>
      </c>
      <c r="D611" s="18">
        <f t="shared" si="127"/>
        <v>1.584452641983925E-4</v>
      </c>
      <c r="E611">
        <f t="shared" si="128"/>
        <v>4.6609784476459026E-8</v>
      </c>
      <c r="F611">
        <f t="shared" si="134"/>
        <v>-9.4369170255959034E-9</v>
      </c>
      <c r="G611">
        <f t="shared" si="135"/>
        <v>4.6609784476459026E-8</v>
      </c>
      <c r="L611" s="7">
        <f t="shared" si="129"/>
        <v>4.9720262030229161E-2</v>
      </c>
      <c r="M611" s="7">
        <f t="shared" si="130"/>
        <v>4.9720262030229168E-2</v>
      </c>
      <c r="N611" s="20">
        <f t="shared" si="124"/>
        <v>4.9720262030229168E-2</v>
      </c>
      <c r="O611">
        <f t="shared" si="131"/>
        <v>5.8207660913467407E-10</v>
      </c>
      <c r="P611">
        <f t="shared" si="132"/>
        <v>-3.4924596548080444E-10</v>
      </c>
      <c r="Q611">
        <f t="shared" si="133"/>
        <v>-3.4924596548080444E-10</v>
      </c>
    </row>
    <row r="612" spans="2:17" x14ac:dyDescent="0.25">
      <c r="B612" s="18">
        <f t="shared" si="125"/>
        <v>1.584452641983925E-4</v>
      </c>
      <c r="C612" s="18">
        <f t="shared" si="126"/>
        <v>1.5844526419839253E-4</v>
      </c>
      <c r="D612" s="18">
        <f t="shared" si="127"/>
        <v>1.584452641983925E-4</v>
      </c>
      <c r="E612">
        <f t="shared" si="128"/>
        <v>4.6609784476459026E-8</v>
      </c>
      <c r="F612">
        <f t="shared" si="134"/>
        <v>-9.4369170255959034E-9</v>
      </c>
      <c r="G612">
        <f t="shared" si="135"/>
        <v>4.6609784476459026E-8</v>
      </c>
      <c r="L612" s="7">
        <f t="shared" si="129"/>
        <v>4.9720262030229161E-2</v>
      </c>
      <c r="M612" s="7">
        <f t="shared" si="130"/>
        <v>4.9720262030229168E-2</v>
      </c>
      <c r="N612" s="20">
        <f t="shared" si="124"/>
        <v>4.9720262030229168E-2</v>
      </c>
      <c r="O612">
        <f t="shared" si="131"/>
        <v>5.8207660913467407E-10</v>
      </c>
      <c r="P612">
        <f t="shared" si="132"/>
        <v>-3.4924596548080444E-10</v>
      </c>
      <c r="Q612">
        <f t="shared" si="133"/>
        <v>-3.4924596548080444E-10</v>
      </c>
    </row>
    <row r="613" spans="2:17" x14ac:dyDescent="0.25">
      <c r="B613" s="18">
        <f t="shared" si="125"/>
        <v>1.584452641983925E-4</v>
      </c>
      <c r="C613" s="18">
        <f t="shared" si="126"/>
        <v>1.5844526419839253E-4</v>
      </c>
      <c r="D613" s="18">
        <f t="shared" si="127"/>
        <v>1.584452641983925E-4</v>
      </c>
      <c r="E613">
        <f t="shared" si="128"/>
        <v>4.6609784476459026E-8</v>
      </c>
      <c r="F613">
        <f t="shared" si="134"/>
        <v>-9.4369170255959034E-9</v>
      </c>
      <c r="G613">
        <f t="shared" si="135"/>
        <v>4.6609784476459026E-8</v>
      </c>
      <c r="L613" s="7">
        <f t="shared" si="129"/>
        <v>4.9720262030229161E-2</v>
      </c>
      <c r="M613" s="7">
        <f t="shared" si="130"/>
        <v>4.9720262030229168E-2</v>
      </c>
      <c r="N613" s="20">
        <f t="shared" si="124"/>
        <v>4.9720262030229168E-2</v>
      </c>
      <c r="O613">
        <f t="shared" si="131"/>
        <v>5.8207660913467407E-10</v>
      </c>
      <c r="P613">
        <f t="shared" si="132"/>
        <v>-3.4924596548080444E-10</v>
      </c>
      <c r="Q613">
        <f t="shared" si="133"/>
        <v>-3.4924596548080444E-10</v>
      </c>
    </row>
    <row r="614" spans="2:17" x14ac:dyDescent="0.25">
      <c r="B614" s="18">
        <f t="shared" si="125"/>
        <v>1.584452641983925E-4</v>
      </c>
      <c r="C614" s="18">
        <f t="shared" si="126"/>
        <v>1.5844526419839253E-4</v>
      </c>
      <c r="D614" s="18">
        <f t="shared" si="127"/>
        <v>1.584452641983925E-4</v>
      </c>
      <c r="E614">
        <f t="shared" si="128"/>
        <v>4.6609784476459026E-8</v>
      </c>
      <c r="F614">
        <f t="shared" si="134"/>
        <v>-9.4369170255959034E-9</v>
      </c>
      <c r="G614">
        <f t="shared" si="135"/>
        <v>4.6609784476459026E-8</v>
      </c>
      <c r="L614" s="7">
        <f t="shared" si="129"/>
        <v>4.9720262030229161E-2</v>
      </c>
      <c r="M614" s="7">
        <f t="shared" si="130"/>
        <v>4.9720262030229168E-2</v>
      </c>
      <c r="N614" s="20">
        <f t="shared" si="124"/>
        <v>4.9720262030229168E-2</v>
      </c>
      <c r="O614">
        <f t="shared" si="131"/>
        <v>5.8207660913467407E-10</v>
      </c>
      <c r="P614">
        <f t="shared" si="132"/>
        <v>-3.4924596548080444E-10</v>
      </c>
      <c r="Q614">
        <f t="shared" si="133"/>
        <v>-3.4924596548080444E-10</v>
      </c>
    </row>
    <row r="615" spans="2:17" x14ac:dyDescent="0.25">
      <c r="B615" s="18">
        <f t="shared" si="125"/>
        <v>1.584452641983925E-4</v>
      </c>
      <c r="C615" s="18">
        <f t="shared" si="126"/>
        <v>1.5844526419839253E-4</v>
      </c>
      <c r="D615" s="18">
        <f t="shared" si="127"/>
        <v>1.584452641983925E-4</v>
      </c>
      <c r="E615">
        <f t="shared" si="128"/>
        <v>4.6609784476459026E-8</v>
      </c>
      <c r="F615">
        <f t="shared" si="134"/>
        <v>-9.4369170255959034E-9</v>
      </c>
      <c r="G615">
        <f t="shared" si="135"/>
        <v>4.6609784476459026E-8</v>
      </c>
      <c r="L615" s="7">
        <f t="shared" si="129"/>
        <v>4.9720262030229161E-2</v>
      </c>
      <c r="M615" s="7">
        <f t="shared" si="130"/>
        <v>4.9720262030229168E-2</v>
      </c>
      <c r="N615" s="20">
        <f t="shared" si="124"/>
        <v>4.9720262030229168E-2</v>
      </c>
      <c r="O615">
        <f t="shared" si="131"/>
        <v>5.8207660913467407E-10</v>
      </c>
      <c r="P615">
        <f t="shared" si="132"/>
        <v>-3.4924596548080444E-10</v>
      </c>
      <c r="Q615">
        <f t="shared" si="133"/>
        <v>-3.4924596548080444E-10</v>
      </c>
    </row>
    <row r="616" spans="2:17" x14ac:dyDescent="0.25">
      <c r="B616" s="18">
        <f t="shared" si="125"/>
        <v>1.584452641983925E-4</v>
      </c>
      <c r="C616" s="18">
        <f t="shared" si="126"/>
        <v>1.5844526419839253E-4</v>
      </c>
      <c r="D616" s="18">
        <f t="shared" si="127"/>
        <v>1.584452641983925E-4</v>
      </c>
      <c r="E616">
        <f t="shared" si="128"/>
        <v>4.6609784476459026E-8</v>
      </c>
      <c r="F616">
        <f t="shared" si="134"/>
        <v>-9.4369170255959034E-9</v>
      </c>
      <c r="G616">
        <f t="shared" si="135"/>
        <v>4.6609784476459026E-8</v>
      </c>
      <c r="L616" s="7">
        <f t="shared" si="129"/>
        <v>4.9720262030229161E-2</v>
      </c>
      <c r="M616" s="7">
        <f t="shared" si="130"/>
        <v>4.9720262030229168E-2</v>
      </c>
      <c r="N616" s="20">
        <f t="shared" si="124"/>
        <v>4.9720262030229168E-2</v>
      </c>
      <c r="O616">
        <f t="shared" si="131"/>
        <v>5.8207660913467407E-10</v>
      </c>
      <c r="P616">
        <f t="shared" si="132"/>
        <v>-3.4924596548080444E-10</v>
      </c>
      <c r="Q616">
        <f t="shared" si="133"/>
        <v>-3.4924596548080444E-10</v>
      </c>
    </row>
    <row r="617" spans="2:17" x14ac:dyDescent="0.25">
      <c r="B617" s="18">
        <f t="shared" si="125"/>
        <v>1.584452641983925E-4</v>
      </c>
      <c r="C617" s="18">
        <f t="shared" si="126"/>
        <v>1.5844526419839253E-4</v>
      </c>
      <c r="D617" s="18">
        <f t="shared" si="127"/>
        <v>1.584452641983925E-4</v>
      </c>
      <c r="E617">
        <f t="shared" si="128"/>
        <v>4.6609784476459026E-8</v>
      </c>
      <c r="F617">
        <f t="shared" si="134"/>
        <v>-9.4369170255959034E-9</v>
      </c>
      <c r="G617">
        <f t="shared" si="135"/>
        <v>4.6609784476459026E-8</v>
      </c>
      <c r="L617" s="7">
        <f t="shared" si="129"/>
        <v>4.9720262030229161E-2</v>
      </c>
      <c r="M617" s="7">
        <f t="shared" si="130"/>
        <v>4.9720262030229168E-2</v>
      </c>
      <c r="N617" s="20">
        <f t="shared" si="124"/>
        <v>4.9720262030229168E-2</v>
      </c>
      <c r="O617">
        <f t="shared" si="131"/>
        <v>5.8207660913467407E-10</v>
      </c>
      <c r="P617">
        <f t="shared" si="132"/>
        <v>-3.4924596548080444E-10</v>
      </c>
      <c r="Q617">
        <f t="shared" si="133"/>
        <v>-3.4924596548080444E-10</v>
      </c>
    </row>
    <row r="618" spans="2:17" x14ac:dyDescent="0.25">
      <c r="B618" s="18">
        <f t="shared" si="125"/>
        <v>1.584452641983925E-4</v>
      </c>
      <c r="C618" s="18">
        <f t="shared" si="126"/>
        <v>1.5844526419839253E-4</v>
      </c>
      <c r="D618" s="18">
        <f t="shared" si="127"/>
        <v>1.584452641983925E-4</v>
      </c>
      <c r="E618">
        <f t="shared" si="128"/>
        <v>4.6609784476459026E-8</v>
      </c>
      <c r="F618">
        <f t="shared" si="134"/>
        <v>-9.4369170255959034E-9</v>
      </c>
      <c r="G618">
        <f t="shared" si="135"/>
        <v>4.6609784476459026E-8</v>
      </c>
      <c r="L618" s="7">
        <f t="shared" si="129"/>
        <v>4.9720262030229161E-2</v>
      </c>
      <c r="M618" s="7">
        <f t="shared" si="130"/>
        <v>4.9720262030229168E-2</v>
      </c>
      <c r="N618" s="20">
        <f t="shared" si="124"/>
        <v>4.9720262030229168E-2</v>
      </c>
      <c r="O618">
        <f t="shared" si="131"/>
        <v>5.8207660913467407E-10</v>
      </c>
      <c r="P618">
        <f t="shared" si="132"/>
        <v>-3.4924596548080444E-10</v>
      </c>
      <c r="Q618">
        <f t="shared" si="133"/>
        <v>-3.4924596548080444E-10</v>
      </c>
    </row>
    <row r="619" spans="2:17" x14ac:dyDescent="0.25">
      <c r="B619" s="18">
        <f t="shared" si="125"/>
        <v>1.584452641983925E-4</v>
      </c>
      <c r="C619" s="18">
        <f t="shared" si="126"/>
        <v>1.5844526419839253E-4</v>
      </c>
      <c r="D619" s="18">
        <f t="shared" si="127"/>
        <v>1.584452641983925E-4</v>
      </c>
      <c r="E619">
        <f t="shared" si="128"/>
        <v>4.6609784476459026E-8</v>
      </c>
      <c r="F619">
        <f t="shared" si="134"/>
        <v>-9.4369170255959034E-9</v>
      </c>
      <c r="G619">
        <f t="shared" si="135"/>
        <v>4.6609784476459026E-8</v>
      </c>
      <c r="L619" s="7">
        <f t="shared" si="129"/>
        <v>4.9720262030229161E-2</v>
      </c>
      <c r="M619" s="7">
        <f t="shared" si="130"/>
        <v>4.9720262030229168E-2</v>
      </c>
      <c r="N619" s="20">
        <f t="shared" si="124"/>
        <v>4.9720262030229168E-2</v>
      </c>
      <c r="O619">
        <f t="shared" si="131"/>
        <v>5.8207660913467407E-10</v>
      </c>
      <c r="P619">
        <f t="shared" si="132"/>
        <v>-3.4924596548080444E-10</v>
      </c>
      <c r="Q619">
        <f t="shared" si="133"/>
        <v>-3.4924596548080444E-10</v>
      </c>
    </row>
    <row r="620" spans="2:17" x14ac:dyDescent="0.25">
      <c r="B620" s="18">
        <f t="shared" si="125"/>
        <v>1.584452641983925E-4</v>
      </c>
      <c r="C620" s="18">
        <f t="shared" si="126"/>
        <v>1.5844526419839253E-4</v>
      </c>
      <c r="D620" s="18">
        <f t="shared" si="127"/>
        <v>1.584452641983925E-4</v>
      </c>
      <c r="E620">
        <f t="shared" si="128"/>
        <v>4.6609784476459026E-8</v>
      </c>
      <c r="F620">
        <f t="shared" si="134"/>
        <v>-9.4369170255959034E-9</v>
      </c>
      <c r="G620">
        <f t="shared" si="135"/>
        <v>4.6609784476459026E-8</v>
      </c>
      <c r="L620" s="7">
        <f t="shared" si="129"/>
        <v>4.9720262030229161E-2</v>
      </c>
      <c r="M620" s="7">
        <f t="shared" si="130"/>
        <v>4.9720262030229168E-2</v>
      </c>
      <c r="N620" s="20">
        <f t="shared" si="124"/>
        <v>4.9720262030229168E-2</v>
      </c>
      <c r="O620">
        <f t="shared" si="131"/>
        <v>5.8207660913467407E-10</v>
      </c>
      <c r="P620">
        <f t="shared" si="132"/>
        <v>-3.4924596548080444E-10</v>
      </c>
      <c r="Q620">
        <f t="shared" si="133"/>
        <v>-3.4924596548080444E-10</v>
      </c>
    </row>
    <row r="621" spans="2:17" x14ac:dyDescent="0.25">
      <c r="B621" s="18">
        <f t="shared" si="125"/>
        <v>1.584452641983925E-4</v>
      </c>
      <c r="C621" s="18">
        <f t="shared" si="126"/>
        <v>1.5844526419839253E-4</v>
      </c>
      <c r="D621" s="18">
        <f t="shared" si="127"/>
        <v>1.584452641983925E-4</v>
      </c>
      <c r="E621">
        <f t="shared" si="128"/>
        <v>4.6609784476459026E-8</v>
      </c>
      <c r="F621">
        <f t="shared" si="134"/>
        <v>-9.4369170255959034E-9</v>
      </c>
      <c r="G621">
        <f t="shared" si="135"/>
        <v>4.6609784476459026E-8</v>
      </c>
      <c r="L621" s="7">
        <f t="shared" si="129"/>
        <v>4.9720262030229161E-2</v>
      </c>
      <c r="M621" s="7">
        <f t="shared" si="130"/>
        <v>4.9720262030229168E-2</v>
      </c>
      <c r="N621" s="20">
        <f t="shared" si="124"/>
        <v>4.9720262030229168E-2</v>
      </c>
      <c r="O621">
        <f t="shared" si="131"/>
        <v>5.8207660913467407E-10</v>
      </c>
      <c r="P621">
        <f t="shared" si="132"/>
        <v>-3.4924596548080444E-10</v>
      </c>
      <c r="Q621">
        <f t="shared" si="133"/>
        <v>-3.4924596548080444E-10</v>
      </c>
    </row>
    <row r="622" spans="2:17" x14ac:dyDescent="0.25">
      <c r="B622" s="18">
        <f t="shared" si="125"/>
        <v>1.584452641983925E-4</v>
      </c>
      <c r="C622" s="18">
        <f t="shared" si="126"/>
        <v>1.5844526419839253E-4</v>
      </c>
      <c r="D622" s="18">
        <f t="shared" si="127"/>
        <v>1.584452641983925E-4</v>
      </c>
      <c r="E622">
        <f t="shared" si="128"/>
        <v>4.6609784476459026E-8</v>
      </c>
      <c r="F622">
        <f t="shared" si="134"/>
        <v>-9.4369170255959034E-9</v>
      </c>
      <c r="G622">
        <f t="shared" si="135"/>
        <v>4.6609784476459026E-8</v>
      </c>
      <c r="L622" s="7">
        <f t="shared" si="129"/>
        <v>4.9720262030229161E-2</v>
      </c>
      <c r="M622" s="7">
        <f t="shared" si="130"/>
        <v>4.9720262030229168E-2</v>
      </c>
      <c r="N622" s="20">
        <f t="shared" si="124"/>
        <v>4.9720262030229168E-2</v>
      </c>
      <c r="O622">
        <f t="shared" si="131"/>
        <v>5.8207660913467407E-10</v>
      </c>
      <c r="P622">
        <f t="shared" si="132"/>
        <v>-3.4924596548080444E-10</v>
      </c>
      <c r="Q622">
        <f t="shared" si="133"/>
        <v>-3.4924596548080444E-10</v>
      </c>
    </row>
    <row r="623" spans="2:17" x14ac:dyDescent="0.25">
      <c r="B623" s="18">
        <f t="shared" si="125"/>
        <v>1.584452641983925E-4</v>
      </c>
      <c r="C623" s="18">
        <f t="shared" si="126"/>
        <v>1.5844526419839253E-4</v>
      </c>
      <c r="D623" s="18">
        <f t="shared" si="127"/>
        <v>1.584452641983925E-4</v>
      </c>
      <c r="E623">
        <f t="shared" si="128"/>
        <v>4.6609784476459026E-8</v>
      </c>
      <c r="F623">
        <f t="shared" si="134"/>
        <v>-9.4369170255959034E-9</v>
      </c>
      <c r="G623">
        <f t="shared" si="135"/>
        <v>4.6609784476459026E-8</v>
      </c>
      <c r="L623" s="7">
        <f t="shared" si="129"/>
        <v>4.9720262030229161E-2</v>
      </c>
      <c r="M623" s="7">
        <f t="shared" si="130"/>
        <v>4.9720262030229168E-2</v>
      </c>
      <c r="N623" s="20">
        <f t="shared" si="124"/>
        <v>4.9720262030229168E-2</v>
      </c>
      <c r="O623">
        <f t="shared" si="131"/>
        <v>5.8207660913467407E-10</v>
      </c>
      <c r="P623">
        <f t="shared" si="132"/>
        <v>-3.4924596548080444E-10</v>
      </c>
      <c r="Q623">
        <f t="shared" si="133"/>
        <v>-3.4924596548080444E-10</v>
      </c>
    </row>
    <row r="624" spans="2:17" x14ac:dyDescent="0.25">
      <c r="B624" s="18">
        <f t="shared" si="125"/>
        <v>1.584452641983925E-4</v>
      </c>
      <c r="C624" s="18">
        <f t="shared" si="126"/>
        <v>1.5844526419839253E-4</v>
      </c>
      <c r="D624" s="18">
        <f t="shared" si="127"/>
        <v>1.584452641983925E-4</v>
      </c>
      <c r="E624">
        <f t="shared" si="128"/>
        <v>4.6609784476459026E-8</v>
      </c>
      <c r="F624">
        <f t="shared" si="134"/>
        <v>-9.4369170255959034E-9</v>
      </c>
      <c r="G624">
        <f t="shared" si="135"/>
        <v>4.6609784476459026E-8</v>
      </c>
      <c r="L624" s="7">
        <f t="shared" si="129"/>
        <v>4.9720262030229161E-2</v>
      </c>
      <c r="M624" s="7">
        <f t="shared" si="130"/>
        <v>4.9720262030229168E-2</v>
      </c>
      <c r="N624" s="20">
        <f t="shared" si="124"/>
        <v>4.9720262030229168E-2</v>
      </c>
      <c r="O624">
        <f t="shared" si="131"/>
        <v>5.8207660913467407E-10</v>
      </c>
      <c r="P624">
        <f t="shared" si="132"/>
        <v>-3.4924596548080444E-10</v>
      </c>
      <c r="Q624">
        <f t="shared" si="133"/>
        <v>-3.4924596548080444E-10</v>
      </c>
    </row>
    <row r="625" spans="2:17" x14ac:dyDescent="0.25">
      <c r="B625" s="18">
        <f t="shared" si="125"/>
        <v>1.584452641983925E-4</v>
      </c>
      <c r="C625" s="18">
        <f t="shared" si="126"/>
        <v>1.5844526419839253E-4</v>
      </c>
      <c r="D625" s="18">
        <f t="shared" si="127"/>
        <v>1.584452641983925E-4</v>
      </c>
      <c r="E625">
        <f t="shared" si="128"/>
        <v>4.6609784476459026E-8</v>
      </c>
      <c r="F625">
        <f t="shared" si="134"/>
        <v>-9.4369170255959034E-9</v>
      </c>
      <c r="G625">
        <f t="shared" si="135"/>
        <v>4.6609784476459026E-8</v>
      </c>
      <c r="L625" s="7">
        <f t="shared" si="129"/>
        <v>4.9720262030229161E-2</v>
      </c>
      <c r="M625" s="7">
        <f t="shared" si="130"/>
        <v>4.9720262030229168E-2</v>
      </c>
      <c r="N625" s="20">
        <f t="shared" si="124"/>
        <v>4.9720262030229168E-2</v>
      </c>
      <c r="O625">
        <f t="shared" si="131"/>
        <v>5.8207660913467407E-10</v>
      </c>
      <c r="P625">
        <f t="shared" si="132"/>
        <v>-3.4924596548080444E-10</v>
      </c>
      <c r="Q625">
        <f t="shared" si="133"/>
        <v>-3.4924596548080444E-10</v>
      </c>
    </row>
    <row r="626" spans="2:17" x14ac:dyDescent="0.25">
      <c r="B626" s="18">
        <f t="shared" si="125"/>
        <v>1.584452641983925E-4</v>
      </c>
      <c r="C626" s="18">
        <f t="shared" si="126"/>
        <v>1.5844526419839253E-4</v>
      </c>
      <c r="D626" s="18">
        <f t="shared" si="127"/>
        <v>1.584452641983925E-4</v>
      </c>
      <c r="E626">
        <f t="shared" si="128"/>
        <v>4.6609784476459026E-8</v>
      </c>
      <c r="F626">
        <f t="shared" si="134"/>
        <v>-9.4369170255959034E-9</v>
      </c>
      <c r="G626">
        <f t="shared" si="135"/>
        <v>4.6609784476459026E-8</v>
      </c>
      <c r="L626" s="7">
        <f t="shared" si="129"/>
        <v>4.9720262030229161E-2</v>
      </c>
      <c r="M626" s="7">
        <f t="shared" si="130"/>
        <v>4.9720262030229168E-2</v>
      </c>
      <c r="N626" s="20">
        <f t="shared" si="124"/>
        <v>4.9720262030229168E-2</v>
      </c>
      <c r="O626">
        <f t="shared" si="131"/>
        <v>5.8207660913467407E-10</v>
      </c>
      <c r="P626">
        <f t="shared" si="132"/>
        <v>-3.4924596548080444E-10</v>
      </c>
      <c r="Q626">
        <f t="shared" si="133"/>
        <v>-3.4924596548080444E-10</v>
      </c>
    </row>
    <row r="627" spans="2:17" x14ac:dyDescent="0.25">
      <c r="B627" s="18">
        <f t="shared" si="125"/>
        <v>1.584452641983925E-4</v>
      </c>
      <c r="C627" s="18">
        <f t="shared" si="126"/>
        <v>1.5844526419839253E-4</v>
      </c>
      <c r="D627" s="18">
        <f t="shared" si="127"/>
        <v>1.584452641983925E-4</v>
      </c>
      <c r="E627">
        <f t="shared" si="128"/>
        <v>4.6609784476459026E-8</v>
      </c>
      <c r="F627">
        <f t="shared" si="134"/>
        <v>-9.4369170255959034E-9</v>
      </c>
      <c r="G627">
        <f t="shared" si="135"/>
        <v>4.6609784476459026E-8</v>
      </c>
      <c r="L627" s="7">
        <f t="shared" si="129"/>
        <v>4.9720262030229161E-2</v>
      </c>
      <c r="M627" s="7">
        <f t="shared" si="130"/>
        <v>4.9720262030229168E-2</v>
      </c>
      <c r="N627" s="20">
        <f t="shared" si="124"/>
        <v>4.9720262030229168E-2</v>
      </c>
      <c r="O627">
        <f t="shared" si="131"/>
        <v>5.8207660913467407E-10</v>
      </c>
      <c r="P627">
        <f t="shared" si="132"/>
        <v>-3.4924596548080444E-10</v>
      </c>
      <c r="Q627">
        <f t="shared" si="133"/>
        <v>-3.4924596548080444E-10</v>
      </c>
    </row>
    <row r="628" spans="2:17" x14ac:dyDescent="0.25">
      <c r="B628" s="18">
        <f t="shared" si="125"/>
        <v>1.584452641983925E-4</v>
      </c>
      <c r="C628" s="18">
        <f t="shared" si="126"/>
        <v>1.5844526419839253E-4</v>
      </c>
      <c r="D628" s="18">
        <f t="shared" si="127"/>
        <v>1.584452641983925E-4</v>
      </c>
      <c r="E628">
        <f t="shared" si="128"/>
        <v>4.6609784476459026E-8</v>
      </c>
      <c r="F628">
        <f t="shared" si="134"/>
        <v>-9.4369170255959034E-9</v>
      </c>
      <c r="G628">
        <f t="shared" si="135"/>
        <v>4.6609784476459026E-8</v>
      </c>
      <c r="L628" s="7">
        <f t="shared" si="129"/>
        <v>4.9720262030229161E-2</v>
      </c>
      <c r="M628" s="7">
        <f t="shared" si="130"/>
        <v>4.9720262030229168E-2</v>
      </c>
      <c r="N628" s="20">
        <f t="shared" si="124"/>
        <v>4.9720262030229168E-2</v>
      </c>
      <c r="O628">
        <f t="shared" si="131"/>
        <v>5.8207660913467407E-10</v>
      </c>
      <c r="P628">
        <f t="shared" si="132"/>
        <v>-3.4924596548080444E-10</v>
      </c>
      <c r="Q628">
        <f t="shared" si="133"/>
        <v>-3.4924596548080444E-10</v>
      </c>
    </row>
    <row r="629" spans="2:17" x14ac:dyDescent="0.25">
      <c r="B629" s="18">
        <f t="shared" si="125"/>
        <v>1.584452641983925E-4</v>
      </c>
      <c r="C629" s="18">
        <f t="shared" si="126"/>
        <v>1.5844526419839253E-4</v>
      </c>
      <c r="D629" s="18">
        <f t="shared" si="127"/>
        <v>1.584452641983925E-4</v>
      </c>
      <c r="E629">
        <f t="shared" si="128"/>
        <v>4.6609784476459026E-8</v>
      </c>
      <c r="F629">
        <f t="shared" si="134"/>
        <v>-9.4369170255959034E-9</v>
      </c>
      <c r="G629">
        <f t="shared" si="135"/>
        <v>4.6609784476459026E-8</v>
      </c>
      <c r="L629" s="7">
        <f t="shared" si="129"/>
        <v>4.9720262030229161E-2</v>
      </c>
      <c r="M629" s="7">
        <f t="shared" si="130"/>
        <v>4.9720262030229168E-2</v>
      </c>
      <c r="N629" s="20">
        <f t="shared" si="124"/>
        <v>4.9720262030229168E-2</v>
      </c>
      <c r="O629">
        <f t="shared" si="131"/>
        <v>5.8207660913467407E-10</v>
      </c>
      <c r="P629">
        <f t="shared" si="132"/>
        <v>-3.4924596548080444E-10</v>
      </c>
      <c r="Q629">
        <f t="shared" si="133"/>
        <v>-3.4924596548080444E-10</v>
      </c>
    </row>
    <row r="630" spans="2:17" x14ac:dyDescent="0.25">
      <c r="B630" s="18">
        <f t="shared" si="125"/>
        <v>1.584452641983925E-4</v>
      </c>
      <c r="C630" s="18">
        <f t="shared" si="126"/>
        <v>1.5844526419839253E-4</v>
      </c>
      <c r="D630" s="18">
        <f t="shared" si="127"/>
        <v>1.584452641983925E-4</v>
      </c>
      <c r="E630">
        <f t="shared" si="128"/>
        <v>4.6609784476459026E-8</v>
      </c>
      <c r="F630">
        <f t="shared" si="134"/>
        <v>-9.4369170255959034E-9</v>
      </c>
      <c r="G630">
        <f t="shared" si="135"/>
        <v>4.6609784476459026E-8</v>
      </c>
      <c r="L630" s="7">
        <f t="shared" si="129"/>
        <v>4.9720262030229161E-2</v>
      </c>
      <c r="M630" s="7">
        <f t="shared" si="130"/>
        <v>4.9720262030229168E-2</v>
      </c>
      <c r="N630" s="20">
        <f t="shared" si="124"/>
        <v>4.9720262030229168E-2</v>
      </c>
      <c r="O630">
        <f t="shared" si="131"/>
        <v>5.8207660913467407E-10</v>
      </c>
      <c r="P630">
        <f t="shared" si="132"/>
        <v>-3.4924596548080444E-10</v>
      </c>
      <c r="Q630">
        <f t="shared" si="133"/>
        <v>-3.4924596548080444E-10</v>
      </c>
    </row>
    <row r="631" spans="2:17" x14ac:dyDescent="0.25">
      <c r="B631" s="18">
        <f t="shared" si="125"/>
        <v>1.584452641983925E-4</v>
      </c>
      <c r="C631" s="18">
        <f t="shared" si="126"/>
        <v>1.5844526419839253E-4</v>
      </c>
      <c r="D631" s="18">
        <f t="shared" si="127"/>
        <v>1.584452641983925E-4</v>
      </c>
      <c r="E631">
        <f t="shared" si="128"/>
        <v>4.6609784476459026E-8</v>
      </c>
      <c r="F631">
        <f t="shared" si="134"/>
        <v>-9.4369170255959034E-9</v>
      </c>
      <c r="G631">
        <f t="shared" si="135"/>
        <v>4.6609784476459026E-8</v>
      </c>
      <c r="L631" s="7">
        <f t="shared" si="129"/>
        <v>4.9720262030229161E-2</v>
      </c>
      <c r="M631" s="7">
        <f t="shared" si="130"/>
        <v>4.9720262030229168E-2</v>
      </c>
      <c r="N631" s="20">
        <f t="shared" si="124"/>
        <v>4.9720262030229168E-2</v>
      </c>
      <c r="O631">
        <f t="shared" si="131"/>
        <v>5.8207660913467407E-10</v>
      </c>
      <c r="P631">
        <f t="shared" si="132"/>
        <v>-3.4924596548080444E-10</v>
      </c>
      <c r="Q631">
        <f t="shared" si="133"/>
        <v>-3.4924596548080444E-10</v>
      </c>
    </row>
    <row r="632" spans="2:17" x14ac:dyDescent="0.25">
      <c r="B632" s="18">
        <f t="shared" si="125"/>
        <v>1.584452641983925E-4</v>
      </c>
      <c r="C632" s="18">
        <f t="shared" si="126"/>
        <v>1.5844526419839253E-4</v>
      </c>
      <c r="D632" s="18">
        <f t="shared" si="127"/>
        <v>1.584452641983925E-4</v>
      </c>
      <c r="E632">
        <f t="shared" si="128"/>
        <v>4.6609784476459026E-8</v>
      </c>
      <c r="F632">
        <f t="shared" si="134"/>
        <v>-9.4369170255959034E-9</v>
      </c>
      <c r="G632">
        <f t="shared" si="135"/>
        <v>4.6609784476459026E-8</v>
      </c>
      <c r="L632" s="7">
        <f t="shared" si="129"/>
        <v>4.9720262030229161E-2</v>
      </c>
      <c r="M632" s="7">
        <f t="shared" si="130"/>
        <v>4.9720262030229168E-2</v>
      </c>
      <c r="N632" s="20">
        <f t="shared" si="124"/>
        <v>4.9720262030229168E-2</v>
      </c>
      <c r="O632">
        <f t="shared" si="131"/>
        <v>5.8207660913467407E-10</v>
      </c>
      <c r="P632">
        <f t="shared" si="132"/>
        <v>-3.4924596548080444E-10</v>
      </c>
      <c r="Q632">
        <f t="shared" si="133"/>
        <v>-3.4924596548080444E-10</v>
      </c>
    </row>
    <row r="633" spans="2:17" x14ac:dyDescent="0.25">
      <c r="B633" s="18">
        <f t="shared" si="125"/>
        <v>1.584452641983925E-4</v>
      </c>
      <c r="C633" s="18">
        <f t="shared" si="126"/>
        <v>1.5844526419839253E-4</v>
      </c>
      <c r="D633" s="18">
        <f t="shared" si="127"/>
        <v>1.584452641983925E-4</v>
      </c>
      <c r="E633">
        <f t="shared" si="128"/>
        <v>4.6609784476459026E-8</v>
      </c>
      <c r="F633">
        <f t="shared" si="134"/>
        <v>-9.4369170255959034E-9</v>
      </c>
      <c r="G633">
        <f t="shared" si="135"/>
        <v>4.6609784476459026E-8</v>
      </c>
      <c r="L633" s="7">
        <f t="shared" si="129"/>
        <v>4.9720262030229161E-2</v>
      </c>
      <c r="M633" s="7">
        <f t="shared" si="130"/>
        <v>4.9720262030229168E-2</v>
      </c>
      <c r="N633" s="20">
        <f t="shared" si="124"/>
        <v>4.9720262030229168E-2</v>
      </c>
      <c r="O633">
        <f t="shared" si="131"/>
        <v>5.8207660913467407E-10</v>
      </c>
      <c r="P633">
        <f t="shared" si="132"/>
        <v>-3.4924596548080444E-10</v>
      </c>
      <c r="Q633">
        <f t="shared" si="133"/>
        <v>-3.4924596548080444E-10</v>
      </c>
    </row>
    <row r="634" spans="2:17" x14ac:dyDescent="0.25">
      <c r="B634" s="18">
        <f t="shared" si="125"/>
        <v>1.584452641983925E-4</v>
      </c>
      <c r="C634" s="18">
        <f t="shared" si="126"/>
        <v>1.5844526419839253E-4</v>
      </c>
      <c r="D634" s="18">
        <f t="shared" si="127"/>
        <v>1.584452641983925E-4</v>
      </c>
      <c r="E634">
        <f t="shared" si="128"/>
        <v>4.6609784476459026E-8</v>
      </c>
      <c r="F634">
        <f t="shared" si="134"/>
        <v>-9.4369170255959034E-9</v>
      </c>
      <c r="G634">
        <f t="shared" si="135"/>
        <v>4.6609784476459026E-8</v>
      </c>
      <c r="L634" s="7">
        <f t="shared" si="129"/>
        <v>4.9720262030229161E-2</v>
      </c>
      <c r="M634" s="7">
        <f t="shared" si="130"/>
        <v>4.9720262030229168E-2</v>
      </c>
      <c r="N634" s="20">
        <f t="shared" si="124"/>
        <v>4.9720262030229168E-2</v>
      </c>
      <c r="O634">
        <f t="shared" si="131"/>
        <v>5.8207660913467407E-10</v>
      </c>
      <c r="P634">
        <f t="shared" si="132"/>
        <v>-3.4924596548080444E-10</v>
      </c>
      <c r="Q634">
        <f t="shared" si="133"/>
        <v>-3.4924596548080444E-10</v>
      </c>
    </row>
    <row r="635" spans="2:17" x14ac:dyDescent="0.25">
      <c r="B635" s="18">
        <f t="shared" si="125"/>
        <v>1.584452641983925E-4</v>
      </c>
      <c r="C635" s="18">
        <f t="shared" si="126"/>
        <v>1.5844526419839253E-4</v>
      </c>
      <c r="D635" s="18">
        <f t="shared" si="127"/>
        <v>1.584452641983925E-4</v>
      </c>
      <c r="E635">
        <f t="shared" si="128"/>
        <v>4.6609784476459026E-8</v>
      </c>
      <c r="F635">
        <f t="shared" si="134"/>
        <v>-9.4369170255959034E-9</v>
      </c>
      <c r="G635">
        <f t="shared" si="135"/>
        <v>4.6609784476459026E-8</v>
      </c>
      <c r="L635" s="7">
        <f t="shared" si="129"/>
        <v>4.9720262030229161E-2</v>
      </c>
      <c r="M635" s="7">
        <f t="shared" si="130"/>
        <v>4.9720262030229168E-2</v>
      </c>
      <c r="N635" s="20">
        <f t="shared" si="124"/>
        <v>4.9720262030229168E-2</v>
      </c>
      <c r="O635">
        <f t="shared" si="131"/>
        <v>5.8207660913467407E-10</v>
      </c>
      <c r="P635">
        <f t="shared" si="132"/>
        <v>-3.4924596548080444E-10</v>
      </c>
      <c r="Q635">
        <f t="shared" si="133"/>
        <v>-3.4924596548080444E-10</v>
      </c>
    </row>
    <row r="636" spans="2:17" x14ac:dyDescent="0.25">
      <c r="B636" s="18">
        <f t="shared" si="125"/>
        <v>1.584452641983925E-4</v>
      </c>
      <c r="C636" s="18">
        <f t="shared" si="126"/>
        <v>1.5844526419839253E-4</v>
      </c>
      <c r="D636" s="18">
        <f t="shared" si="127"/>
        <v>1.584452641983925E-4</v>
      </c>
      <c r="E636">
        <f t="shared" si="128"/>
        <v>4.6609784476459026E-8</v>
      </c>
      <c r="F636">
        <f t="shared" si="134"/>
        <v>-9.4369170255959034E-9</v>
      </c>
      <c r="G636">
        <f t="shared" si="135"/>
        <v>4.6609784476459026E-8</v>
      </c>
      <c r="L636" s="7">
        <f t="shared" si="129"/>
        <v>4.9720262030229161E-2</v>
      </c>
      <c r="M636" s="7">
        <f t="shared" si="130"/>
        <v>4.9720262030229168E-2</v>
      </c>
      <c r="N636" s="20">
        <f t="shared" si="124"/>
        <v>4.9720262030229168E-2</v>
      </c>
      <c r="O636">
        <f t="shared" si="131"/>
        <v>5.8207660913467407E-10</v>
      </c>
      <c r="P636">
        <f t="shared" si="132"/>
        <v>-3.4924596548080444E-10</v>
      </c>
      <c r="Q636">
        <f t="shared" si="133"/>
        <v>-3.4924596548080444E-10</v>
      </c>
    </row>
    <row r="637" spans="2:17" x14ac:dyDescent="0.25">
      <c r="B637" s="18">
        <f t="shared" si="125"/>
        <v>1.584452641983925E-4</v>
      </c>
      <c r="C637" s="18">
        <f t="shared" si="126"/>
        <v>1.5844526419839253E-4</v>
      </c>
      <c r="D637" s="18">
        <f t="shared" si="127"/>
        <v>1.584452641983925E-4</v>
      </c>
      <c r="E637">
        <f t="shared" si="128"/>
        <v>4.6609784476459026E-8</v>
      </c>
      <c r="F637">
        <f t="shared" si="134"/>
        <v>-9.4369170255959034E-9</v>
      </c>
      <c r="G637">
        <f t="shared" si="135"/>
        <v>4.6609784476459026E-8</v>
      </c>
      <c r="L637" s="7">
        <f t="shared" si="129"/>
        <v>4.9720262030229161E-2</v>
      </c>
      <c r="M637" s="7">
        <f t="shared" si="130"/>
        <v>4.9720262030229168E-2</v>
      </c>
      <c r="N637" s="20">
        <f t="shared" si="124"/>
        <v>4.9720262030229168E-2</v>
      </c>
      <c r="O637">
        <f t="shared" si="131"/>
        <v>5.8207660913467407E-10</v>
      </c>
      <c r="P637">
        <f t="shared" si="132"/>
        <v>-3.4924596548080444E-10</v>
      </c>
      <c r="Q637">
        <f t="shared" si="133"/>
        <v>-3.4924596548080444E-10</v>
      </c>
    </row>
    <row r="638" spans="2:17" x14ac:dyDescent="0.25">
      <c r="B638" s="18">
        <f t="shared" si="125"/>
        <v>1.584452641983925E-4</v>
      </c>
      <c r="C638" s="18">
        <f t="shared" si="126"/>
        <v>1.5844526419839253E-4</v>
      </c>
      <c r="D638" s="18">
        <f t="shared" si="127"/>
        <v>1.584452641983925E-4</v>
      </c>
      <c r="E638">
        <f t="shared" si="128"/>
        <v>4.6609784476459026E-8</v>
      </c>
      <c r="F638">
        <f t="shared" si="134"/>
        <v>-9.4369170255959034E-9</v>
      </c>
      <c r="G638">
        <f t="shared" si="135"/>
        <v>4.6609784476459026E-8</v>
      </c>
      <c r="L638" s="7">
        <f t="shared" si="129"/>
        <v>4.9720262030229161E-2</v>
      </c>
      <c r="M638" s="7">
        <f t="shared" si="130"/>
        <v>4.9720262030229168E-2</v>
      </c>
      <c r="N638" s="20">
        <f t="shared" si="124"/>
        <v>4.9720262030229168E-2</v>
      </c>
      <c r="O638">
        <f t="shared" si="131"/>
        <v>5.8207660913467407E-10</v>
      </c>
      <c r="P638">
        <f t="shared" si="132"/>
        <v>-3.4924596548080444E-10</v>
      </c>
      <c r="Q638">
        <f t="shared" si="133"/>
        <v>-3.4924596548080444E-10</v>
      </c>
    </row>
    <row r="639" spans="2:17" x14ac:dyDescent="0.25">
      <c r="B639" s="18">
        <f t="shared" si="125"/>
        <v>1.584452641983925E-4</v>
      </c>
      <c r="C639" s="18">
        <f t="shared" si="126"/>
        <v>1.5844526419839253E-4</v>
      </c>
      <c r="D639" s="18">
        <f t="shared" si="127"/>
        <v>1.584452641983925E-4</v>
      </c>
      <c r="E639">
        <f t="shared" si="128"/>
        <v>4.6609784476459026E-8</v>
      </c>
      <c r="F639">
        <f t="shared" si="134"/>
        <v>-9.4369170255959034E-9</v>
      </c>
      <c r="G639">
        <f t="shared" si="135"/>
        <v>4.6609784476459026E-8</v>
      </c>
      <c r="L639" s="7">
        <f t="shared" si="129"/>
        <v>4.9720262030229161E-2</v>
      </c>
      <c r="M639" s="7">
        <f t="shared" si="130"/>
        <v>4.9720262030229168E-2</v>
      </c>
      <c r="N639" s="20">
        <f t="shared" si="124"/>
        <v>4.9720262030229168E-2</v>
      </c>
      <c r="O639">
        <f t="shared" si="131"/>
        <v>5.8207660913467407E-10</v>
      </c>
      <c r="P639">
        <f t="shared" si="132"/>
        <v>-3.4924596548080444E-10</v>
      </c>
      <c r="Q639">
        <f t="shared" si="133"/>
        <v>-3.4924596548080444E-10</v>
      </c>
    </row>
    <row r="640" spans="2:17" x14ac:dyDescent="0.25">
      <c r="B640" s="18">
        <f t="shared" si="125"/>
        <v>1.584452641983925E-4</v>
      </c>
      <c r="C640" s="18">
        <f t="shared" si="126"/>
        <v>1.5844526419839253E-4</v>
      </c>
      <c r="D640" s="18">
        <f t="shared" si="127"/>
        <v>1.584452641983925E-4</v>
      </c>
      <c r="E640">
        <f t="shared" si="128"/>
        <v>4.6609784476459026E-8</v>
      </c>
      <c r="F640">
        <f t="shared" si="134"/>
        <v>-9.4369170255959034E-9</v>
      </c>
      <c r="G640">
        <f t="shared" si="135"/>
        <v>4.6609784476459026E-8</v>
      </c>
      <c r="L640" s="7">
        <f t="shared" si="129"/>
        <v>4.9720262030229161E-2</v>
      </c>
      <c r="M640" s="7">
        <f t="shared" si="130"/>
        <v>4.9720262030229168E-2</v>
      </c>
      <c r="N640" s="20">
        <f t="shared" si="124"/>
        <v>4.9720262030229168E-2</v>
      </c>
      <c r="O640">
        <f t="shared" si="131"/>
        <v>5.8207660913467407E-10</v>
      </c>
      <c r="P640">
        <f t="shared" si="132"/>
        <v>-3.4924596548080444E-10</v>
      </c>
      <c r="Q640">
        <f t="shared" si="133"/>
        <v>-3.4924596548080444E-10</v>
      </c>
    </row>
    <row r="641" spans="2:17" x14ac:dyDescent="0.25">
      <c r="B641" s="18">
        <f t="shared" si="125"/>
        <v>1.584452641983925E-4</v>
      </c>
      <c r="C641" s="18">
        <f t="shared" si="126"/>
        <v>1.5844526419839253E-4</v>
      </c>
      <c r="D641" s="18">
        <f t="shared" si="127"/>
        <v>1.584452641983925E-4</v>
      </c>
      <c r="E641">
        <f t="shared" si="128"/>
        <v>4.6609784476459026E-8</v>
      </c>
      <c r="F641">
        <f t="shared" si="134"/>
        <v>-9.4369170255959034E-9</v>
      </c>
      <c r="G641">
        <f t="shared" si="135"/>
        <v>4.6609784476459026E-8</v>
      </c>
      <c r="L641" s="7">
        <f t="shared" si="129"/>
        <v>4.9720262030229161E-2</v>
      </c>
      <c r="M641" s="7">
        <f t="shared" si="130"/>
        <v>4.9720262030229168E-2</v>
      </c>
      <c r="N641" s="20">
        <f t="shared" si="124"/>
        <v>4.9720262030229168E-2</v>
      </c>
      <c r="O641">
        <f t="shared" si="131"/>
        <v>5.8207660913467407E-10</v>
      </c>
      <c r="P641">
        <f t="shared" si="132"/>
        <v>-3.4924596548080444E-10</v>
      </c>
      <c r="Q641">
        <f t="shared" si="133"/>
        <v>-3.4924596548080444E-10</v>
      </c>
    </row>
    <row r="642" spans="2:17" x14ac:dyDescent="0.25">
      <c r="B642" s="18">
        <f t="shared" si="125"/>
        <v>1.584452641983925E-4</v>
      </c>
      <c r="C642" s="18">
        <f t="shared" si="126"/>
        <v>1.5844526419839253E-4</v>
      </c>
      <c r="D642" s="18">
        <f t="shared" si="127"/>
        <v>1.584452641983925E-4</v>
      </c>
      <c r="E642">
        <f t="shared" si="128"/>
        <v>4.6609784476459026E-8</v>
      </c>
      <c r="F642">
        <f t="shared" si="134"/>
        <v>-9.4369170255959034E-9</v>
      </c>
      <c r="G642">
        <f t="shared" si="135"/>
        <v>4.6609784476459026E-8</v>
      </c>
      <c r="L642" s="7">
        <f t="shared" si="129"/>
        <v>4.9720262030229161E-2</v>
      </c>
      <c r="M642" s="7">
        <f t="shared" si="130"/>
        <v>4.9720262030229168E-2</v>
      </c>
      <c r="N642" s="20">
        <f t="shared" si="124"/>
        <v>4.9720262030229168E-2</v>
      </c>
      <c r="O642">
        <f t="shared" si="131"/>
        <v>5.8207660913467407E-10</v>
      </c>
      <c r="P642">
        <f t="shared" si="132"/>
        <v>-3.4924596548080444E-10</v>
      </c>
      <c r="Q642">
        <f t="shared" si="133"/>
        <v>-3.4924596548080444E-10</v>
      </c>
    </row>
    <row r="643" spans="2:17" x14ac:dyDescent="0.25">
      <c r="B643" s="18">
        <f t="shared" si="125"/>
        <v>1.584452641983925E-4</v>
      </c>
      <c r="C643" s="18">
        <f t="shared" si="126"/>
        <v>1.5844526419839253E-4</v>
      </c>
      <c r="D643" s="18">
        <f t="shared" si="127"/>
        <v>1.584452641983925E-4</v>
      </c>
      <c r="E643">
        <f t="shared" si="128"/>
        <v>4.6609784476459026E-8</v>
      </c>
      <c r="F643">
        <f t="shared" si="134"/>
        <v>-9.4369170255959034E-9</v>
      </c>
      <c r="G643">
        <f t="shared" si="135"/>
        <v>4.6609784476459026E-8</v>
      </c>
      <c r="L643" s="7">
        <f t="shared" si="129"/>
        <v>4.9720262030229161E-2</v>
      </c>
      <c r="M643" s="7">
        <f t="shared" si="130"/>
        <v>4.9720262030229168E-2</v>
      </c>
      <c r="N643" s="20">
        <f t="shared" si="124"/>
        <v>4.9720262030229168E-2</v>
      </c>
      <c r="O643">
        <f t="shared" si="131"/>
        <v>5.8207660913467407E-10</v>
      </c>
      <c r="P643">
        <f t="shared" si="132"/>
        <v>-3.4924596548080444E-10</v>
      </c>
      <c r="Q643">
        <f t="shared" si="133"/>
        <v>-3.4924596548080444E-10</v>
      </c>
    </row>
    <row r="644" spans="2:17" x14ac:dyDescent="0.25">
      <c r="B644" s="18">
        <f t="shared" si="125"/>
        <v>1.584452641983925E-4</v>
      </c>
      <c r="C644" s="18">
        <f t="shared" si="126"/>
        <v>1.5844526419839253E-4</v>
      </c>
      <c r="D644" s="18">
        <f t="shared" si="127"/>
        <v>1.584452641983925E-4</v>
      </c>
      <c r="E644">
        <f t="shared" si="128"/>
        <v>4.6609784476459026E-8</v>
      </c>
      <c r="F644">
        <f t="shared" si="134"/>
        <v>-9.4369170255959034E-9</v>
      </c>
      <c r="G644">
        <f t="shared" si="135"/>
        <v>4.6609784476459026E-8</v>
      </c>
      <c r="L644" s="7">
        <f t="shared" si="129"/>
        <v>4.9720262030229161E-2</v>
      </c>
      <c r="M644" s="7">
        <f t="shared" si="130"/>
        <v>4.9720262030229168E-2</v>
      </c>
      <c r="N644" s="20">
        <f t="shared" si="124"/>
        <v>4.9720262030229168E-2</v>
      </c>
      <c r="O644">
        <f t="shared" si="131"/>
        <v>5.8207660913467407E-10</v>
      </c>
      <c r="P644">
        <f t="shared" si="132"/>
        <v>-3.4924596548080444E-10</v>
      </c>
      <c r="Q644">
        <f t="shared" si="133"/>
        <v>-3.4924596548080444E-10</v>
      </c>
    </row>
    <row r="645" spans="2:17" x14ac:dyDescent="0.25">
      <c r="B645" s="18">
        <f t="shared" si="125"/>
        <v>1.584452641983925E-4</v>
      </c>
      <c r="C645" s="18">
        <f t="shared" si="126"/>
        <v>1.5844526419839253E-4</v>
      </c>
      <c r="D645" s="18">
        <f t="shared" si="127"/>
        <v>1.584452641983925E-4</v>
      </c>
      <c r="E645">
        <f t="shared" si="128"/>
        <v>4.6609784476459026E-8</v>
      </c>
      <c r="F645">
        <f t="shared" si="134"/>
        <v>-9.4369170255959034E-9</v>
      </c>
      <c r="G645">
        <f t="shared" si="135"/>
        <v>4.6609784476459026E-8</v>
      </c>
      <c r="L645" s="7">
        <f t="shared" si="129"/>
        <v>4.9720262030229161E-2</v>
      </c>
      <c r="M645" s="7">
        <f t="shared" si="130"/>
        <v>4.9720262030229168E-2</v>
      </c>
      <c r="N645" s="20">
        <f t="shared" si="124"/>
        <v>4.9720262030229168E-2</v>
      </c>
      <c r="O645">
        <f t="shared" si="131"/>
        <v>5.8207660913467407E-10</v>
      </c>
      <c r="P645">
        <f t="shared" si="132"/>
        <v>-3.4924596548080444E-10</v>
      </c>
      <c r="Q645">
        <f t="shared" si="133"/>
        <v>-3.4924596548080444E-10</v>
      </c>
    </row>
    <row r="646" spans="2:17" x14ac:dyDescent="0.25">
      <c r="B646" s="18">
        <f t="shared" si="125"/>
        <v>1.584452641983925E-4</v>
      </c>
      <c r="C646" s="18">
        <f t="shared" si="126"/>
        <v>1.5844526419839253E-4</v>
      </c>
      <c r="D646" s="18">
        <f t="shared" si="127"/>
        <v>1.584452641983925E-4</v>
      </c>
      <c r="E646">
        <f t="shared" si="128"/>
        <v>4.6609784476459026E-8</v>
      </c>
      <c r="F646">
        <f t="shared" si="134"/>
        <v>-9.4369170255959034E-9</v>
      </c>
      <c r="G646">
        <f t="shared" si="135"/>
        <v>4.6609784476459026E-8</v>
      </c>
      <c r="L646" s="7">
        <f t="shared" si="129"/>
        <v>4.9720262030229161E-2</v>
      </c>
      <c r="M646" s="7">
        <f t="shared" si="130"/>
        <v>4.9720262030229168E-2</v>
      </c>
      <c r="N646" s="20">
        <f t="shared" si="124"/>
        <v>4.9720262030229168E-2</v>
      </c>
      <c r="O646">
        <f t="shared" si="131"/>
        <v>5.8207660913467407E-10</v>
      </c>
      <c r="P646">
        <f t="shared" si="132"/>
        <v>-3.4924596548080444E-10</v>
      </c>
      <c r="Q646">
        <f t="shared" si="133"/>
        <v>-3.4924596548080444E-10</v>
      </c>
    </row>
    <row r="647" spans="2:17" x14ac:dyDescent="0.25">
      <c r="B647" s="18">
        <f t="shared" si="125"/>
        <v>1.584452641983925E-4</v>
      </c>
      <c r="C647" s="18">
        <f t="shared" si="126"/>
        <v>1.5844526419839253E-4</v>
      </c>
      <c r="D647" s="18">
        <f t="shared" si="127"/>
        <v>1.584452641983925E-4</v>
      </c>
      <c r="E647">
        <f t="shared" si="128"/>
        <v>4.6609784476459026E-8</v>
      </c>
      <c r="F647">
        <f t="shared" si="134"/>
        <v>-9.4369170255959034E-9</v>
      </c>
      <c r="G647">
        <f t="shared" si="135"/>
        <v>4.6609784476459026E-8</v>
      </c>
      <c r="L647" s="7">
        <f t="shared" si="129"/>
        <v>4.9720262030229161E-2</v>
      </c>
      <c r="M647" s="7">
        <f t="shared" si="130"/>
        <v>4.9720262030229168E-2</v>
      </c>
      <c r="N647" s="20">
        <f t="shared" si="124"/>
        <v>4.9720262030229168E-2</v>
      </c>
      <c r="O647">
        <f t="shared" si="131"/>
        <v>5.8207660913467407E-10</v>
      </c>
      <c r="P647">
        <f t="shared" si="132"/>
        <v>-3.4924596548080444E-10</v>
      </c>
      <c r="Q647">
        <f t="shared" si="133"/>
        <v>-3.4924596548080444E-10</v>
      </c>
    </row>
    <row r="648" spans="2:17" x14ac:dyDescent="0.25">
      <c r="B648" s="18">
        <f t="shared" si="125"/>
        <v>1.584452641983925E-4</v>
      </c>
      <c r="C648" s="18">
        <f t="shared" si="126"/>
        <v>1.5844526419839253E-4</v>
      </c>
      <c r="D648" s="18">
        <f t="shared" si="127"/>
        <v>1.584452641983925E-4</v>
      </c>
      <c r="E648">
        <f t="shared" si="128"/>
        <v>4.6609784476459026E-8</v>
      </c>
      <c r="F648">
        <f t="shared" si="134"/>
        <v>-9.4369170255959034E-9</v>
      </c>
      <c r="G648">
        <f t="shared" si="135"/>
        <v>4.6609784476459026E-8</v>
      </c>
      <c r="L648" s="7">
        <f t="shared" si="129"/>
        <v>4.9720262030229161E-2</v>
      </c>
      <c r="M648" s="7">
        <f t="shared" si="130"/>
        <v>4.9720262030229168E-2</v>
      </c>
      <c r="N648" s="20">
        <f t="shared" si="124"/>
        <v>4.9720262030229168E-2</v>
      </c>
      <c r="O648">
        <f t="shared" si="131"/>
        <v>5.8207660913467407E-10</v>
      </c>
      <c r="P648">
        <f t="shared" si="132"/>
        <v>-3.4924596548080444E-10</v>
      </c>
      <c r="Q648">
        <f t="shared" si="133"/>
        <v>-3.4924596548080444E-10</v>
      </c>
    </row>
    <row r="649" spans="2:17" x14ac:dyDescent="0.25">
      <c r="B649" s="18">
        <f t="shared" si="125"/>
        <v>1.584452641983925E-4</v>
      </c>
      <c r="C649" s="18">
        <f t="shared" si="126"/>
        <v>1.5844526419839253E-4</v>
      </c>
      <c r="D649" s="18">
        <f t="shared" si="127"/>
        <v>1.584452641983925E-4</v>
      </c>
      <c r="E649">
        <f t="shared" si="128"/>
        <v>4.6609784476459026E-8</v>
      </c>
      <c r="F649">
        <f t="shared" si="134"/>
        <v>-9.4369170255959034E-9</v>
      </c>
      <c r="G649">
        <f t="shared" si="135"/>
        <v>4.6609784476459026E-8</v>
      </c>
      <c r="L649" s="7">
        <f t="shared" si="129"/>
        <v>4.9720262030229161E-2</v>
      </c>
      <c r="M649" s="7">
        <f t="shared" si="130"/>
        <v>4.9720262030229168E-2</v>
      </c>
      <c r="N649" s="20">
        <f t="shared" si="124"/>
        <v>4.9720262030229168E-2</v>
      </c>
      <c r="O649">
        <f t="shared" si="131"/>
        <v>5.8207660913467407E-10</v>
      </c>
      <c r="P649">
        <f t="shared" si="132"/>
        <v>-3.4924596548080444E-10</v>
      </c>
      <c r="Q649">
        <f t="shared" si="133"/>
        <v>-3.4924596548080444E-10</v>
      </c>
    </row>
    <row r="650" spans="2:17" x14ac:dyDescent="0.25">
      <c r="B650" s="18">
        <f t="shared" si="125"/>
        <v>1.584452641983925E-4</v>
      </c>
      <c r="C650" s="18">
        <f t="shared" si="126"/>
        <v>1.5844526419839253E-4</v>
      </c>
      <c r="D650" s="18">
        <f t="shared" si="127"/>
        <v>1.584452641983925E-4</v>
      </c>
      <c r="E650">
        <f t="shared" si="128"/>
        <v>4.6609784476459026E-8</v>
      </c>
      <c r="F650">
        <f t="shared" si="134"/>
        <v>-9.4369170255959034E-9</v>
      </c>
      <c r="G650">
        <f t="shared" si="135"/>
        <v>4.6609784476459026E-8</v>
      </c>
      <c r="L650" s="7">
        <f t="shared" si="129"/>
        <v>4.9720262030229161E-2</v>
      </c>
      <c r="M650" s="7">
        <f t="shared" si="130"/>
        <v>4.9720262030229168E-2</v>
      </c>
      <c r="N650" s="20">
        <f t="shared" si="124"/>
        <v>4.9720262030229168E-2</v>
      </c>
      <c r="O650">
        <f t="shared" si="131"/>
        <v>5.8207660913467407E-10</v>
      </c>
      <c r="P650">
        <f t="shared" si="132"/>
        <v>-3.4924596548080444E-10</v>
      </c>
      <c r="Q650">
        <f t="shared" si="133"/>
        <v>-3.4924596548080444E-10</v>
      </c>
    </row>
    <row r="651" spans="2:17" x14ac:dyDescent="0.25">
      <c r="B651" s="18">
        <f t="shared" si="125"/>
        <v>1.584452641983925E-4</v>
      </c>
      <c r="C651" s="18">
        <f t="shared" si="126"/>
        <v>1.5844526419839253E-4</v>
      </c>
      <c r="D651" s="18">
        <f t="shared" si="127"/>
        <v>1.584452641983925E-4</v>
      </c>
      <c r="E651">
        <f t="shared" si="128"/>
        <v>4.6609784476459026E-8</v>
      </c>
      <c r="F651">
        <f t="shared" si="134"/>
        <v>-9.4369170255959034E-9</v>
      </c>
      <c r="G651">
        <f t="shared" si="135"/>
        <v>4.6609784476459026E-8</v>
      </c>
      <c r="L651" s="7">
        <f t="shared" si="129"/>
        <v>4.9720262030229161E-2</v>
      </c>
      <c r="M651" s="7">
        <f t="shared" si="130"/>
        <v>4.9720262030229168E-2</v>
      </c>
      <c r="N651" s="20">
        <f t="shared" si="124"/>
        <v>4.9720262030229168E-2</v>
      </c>
      <c r="O651">
        <f t="shared" si="131"/>
        <v>5.8207660913467407E-10</v>
      </c>
      <c r="P651">
        <f t="shared" si="132"/>
        <v>-3.4924596548080444E-10</v>
      </c>
      <c r="Q651">
        <f t="shared" si="133"/>
        <v>-3.4924596548080444E-10</v>
      </c>
    </row>
    <row r="652" spans="2:17" x14ac:dyDescent="0.25">
      <c r="B652" s="18">
        <f t="shared" si="125"/>
        <v>1.584452641983925E-4</v>
      </c>
      <c r="C652" s="18">
        <f t="shared" si="126"/>
        <v>1.5844526419839253E-4</v>
      </c>
      <c r="D652" s="18">
        <f t="shared" si="127"/>
        <v>1.584452641983925E-4</v>
      </c>
      <c r="E652">
        <f t="shared" si="128"/>
        <v>4.6609784476459026E-8</v>
      </c>
      <c r="F652">
        <f t="shared" si="134"/>
        <v>-9.4369170255959034E-9</v>
      </c>
      <c r="G652">
        <f t="shared" si="135"/>
        <v>4.6609784476459026E-8</v>
      </c>
      <c r="L652" s="7">
        <f t="shared" si="129"/>
        <v>4.9720262030229161E-2</v>
      </c>
      <c r="M652" s="7">
        <f t="shared" si="130"/>
        <v>4.9720262030229168E-2</v>
      </c>
      <c r="N652" s="20">
        <f t="shared" si="124"/>
        <v>4.9720262030229168E-2</v>
      </c>
      <c r="O652">
        <f t="shared" si="131"/>
        <v>5.8207660913467407E-10</v>
      </c>
      <c r="P652">
        <f t="shared" si="132"/>
        <v>-3.4924596548080444E-10</v>
      </c>
      <c r="Q652">
        <f t="shared" si="133"/>
        <v>-3.4924596548080444E-10</v>
      </c>
    </row>
    <row r="653" spans="2:17" x14ac:dyDescent="0.25">
      <c r="B653" s="18">
        <f t="shared" si="125"/>
        <v>1.584452641983925E-4</v>
      </c>
      <c r="C653" s="18">
        <f t="shared" si="126"/>
        <v>1.5844526419839253E-4</v>
      </c>
      <c r="D653" s="18">
        <f t="shared" si="127"/>
        <v>1.584452641983925E-4</v>
      </c>
      <c r="E653">
        <f t="shared" si="128"/>
        <v>4.6609784476459026E-8</v>
      </c>
      <c r="F653">
        <f t="shared" si="134"/>
        <v>-9.4369170255959034E-9</v>
      </c>
      <c r="G653">
        <f t="shared" si="135"/>
        <v>4.6609784476459026E-8</v>
      </c>
      <c r="L653" s="7">
        <f t="shared" si="129"/>
        <v>4.9720262030229161E-2</v>
      </c>
      <c r="M653" s="7">
        <f t="shared" si="130"/>
        <v>4.9720262030229168E-2</v>
      </c>
      <c r="N653" s="20">
        <f t="shared" si="124"/>
        <v>4.9720262030229168E-2</v>
      </c>
      <c r="O653">
        <f t="shared" si="131"/>
        <v>5.8207660913467407E-10</v>
      </c>
      <c r="P653">
        <f t="shared" si="132"/>
        <v>-3.4924596548080444E-10</v>
      </c>
      <c r="Q653">
        <f t="shared" si="133"/>
        <v>-3.4924596548080444E-10</v>
      </c>
    </row>
    <row r="654" spans="2:17" x14ac:dyDescent="0.25">
      <c r="B654" s="18">
        <f t="shared" si="125"/>
        <v>1.584452641983925E-4</v>
      </c>
      <c r="C654" s="18">
        <f t="shared" si="126"/>
        <v>1.5844526419839253E-4</v>
      </c>
      <c r="D654" s="18">
        <f t="shared" si="127"/>
        <v>1.584452641983925E-4</v>
      </c>
      <c r="E654">
        <f t="shared" si="128"/>
        <v>4.6609784476459026E-8</v>
      </c>
      <c r="F654">
        <f t="shared" si="134"/>
        <v>-9.4369170255959034E-9</v>
      </c>
      <c r="G654">
        <f t="shared" si="135"/>
        <v>4.6609784476459026E-8</v>
      </c>
      <c r="L654" s="7">
        <f t="shared" si="129"/>
        <v>4.9720262030229161E-2</v>
      </c>
      <c r="M654" s="7">
        <f t="shared" si="130"/>
        <v>4.9720262030229168E-2</v>
      </c>
      <c r="N654" s="20">
        <f t="shared" si="124"/>
        <v>4.9720262030229168E-2</v>
      </c>
      <c r="O654">
        <f t="shared" si="131"/>
        <v>5.8207660913467407E-10</v>
      </c>
      <c r="P654">
        <f t="shared" si="132"/>
        <v>-3.4924596548080444E-10</v>
      </c>
      <c r="Q654">
        <f t="shared" si="133"/>
        <v>-3.4924596548080444E-10</v>
      </c>
    </row>
    <row r="655" spans="2:17" x14ac:dyDescent="0.25">
      <c r="B655" s="18">
        <f t="shared" si="125"/>
        <v>1.584452641983925E-4</v>
      </c>
      <c r="C655" s="18">
        <f t="shared" si="126"/>
        <v>1.5844526419839253E-4</v>
      </c>
      <c r="D655" s="18">
        <f t="shared" si="127"/>
        <v>1.584452641983925E-4</v>
      </c>
      <c r="E655">
        <f t="shared" si="128"/>
        <v>4.6609784476459026E-8</v>
      </c>
      <c r="F655">
        <f t="shared" si="134"/>
        <v>-9.4369170255959034E-9</v>
      </c>
      <c r="G655">
        <f t="shared" si="135"/>
        <v>4.6609784476459026E-8</v>
      </c>
      <c r="L655" s="7">
        <f t="shared" si="129"/>
        <v>4.9720262030229161E-2</v>
      </c>
      <c r="M655" s="7">
        <f t="shared" si="130"/>
        <v>4.9720262030229168E-2</v>
      </c>
      <c r="N655" s="20">
        <f t="shared" si="124"/>
        <v>4.9720262030229168E-2</v>
      </c>
      <c r="O655">
        <f t="shared" si="131"/>
        <v>5.8207660913467407E-10</v>
      </c>
      <c r="P655">
        <f t="shared" si="132"/>
        <v>-3.4924596548080444E-10</v>
      </c>
      <c r="Q655">
        <f t="shared" si="133"/>
        <v>-3.4924596548080444E-10</v>
      </c>
    </row>
    <row r="656" spans="2:17" x14ac:dyDescent="0.25">
      <c r="B656" s="18">
        <f t="shared" si="125"/>
        <v>1.584452641983925E-4</v>
      </c>
      <c r="C656" s="18">
        <f t="shared" si="126"/>
        <v>1.5844526419839253E-4</v>
      </c>
      <c r="D656" s="18">
        <f t="shared" si="127"/>
        <v>1.584452641983925E-4</v>
      </c>
      <c r="E656">
        <f t="shared" si="128"/>
        <v>4.6609784476459026E-8</v>
      </c>
      <c r="F656">
        <f t="shared" si="134"/>
        <v>-9.4369170255959034E-9</v>
      </c>
      <c r="G656">
        <f t="shared" si="135"/>
        <v>4.6609784476459026E-8</v>
      </c>
      <c r="L656" s="7">
        <f t="shared" si="129"/>
        <v>4.9720262030229161E-2</v>
      </c>
      <c r="M656" s="7">
        <f t="shared" si="130"/>
        <v>4.9720262030229168E-2</v>
      </c>
      <c r="N656" s="20">
        <f t="shared" si="124"/>
        <v>4.9720262030229168E-2</v>
      </c>
      <c r="O656">
        <f t="shared" si="131"/>
        <v>5.8207660913467407E-10</v>
      </c>
      <c r="P656">
        <f t="shared" si="132"/>
        <v>-3.4924596548080444E-10</v>
      </c>
      <c r="Q656">
        <f t="shared" si="133"/>
        <v>-3.4924596548080444E-10</v>
      </c>
    </row>
    <row r="657" spans="2:17" x14ac:dyDescent="0.25">
      <c r="B657" s="18">
        <f t="shared" si="125"/>
        <v>1.584452641983925E-4</v>
      </c>
      <c r="C657" s="18">
        <f t="shared" si="126"/>
        <v>1.5844526419839253E-4</v>
      </c>
      <c r="D657" s="18">
        <f t="shared" si="127"/>
        <v>1.584452641983925E-4</v>
      </c>
      <c r="E657">
        <f t="shared" si="128"/>
        <v>4.6609784476459026E-8</v>
      </c>
      <c r="F657">
        <f t="shared" si="134"/>
        <v>-9.4369170255959034E-9</v>
      </c>
      <c r="G657">
        <f t="shared" si="135"/>
        <v>4.6609784476459026E-8</v>
      </c>
      <c r="L657" s="7">
        <f t="shared" si="129"/>
        <v>4.9720262030229161E-2</v>
      </c>
      <c r="M657" s="7">
        <f t="shared" si="130"/>
        <v>4.9720262030229168E-2</v>
      </c>
      <c r="N657" s="20">
        <f t="shared" si="124"/>
        <v>4.9720262030229168E-2</v>
      </c>
      <c r="O657">
        <f t="shared" si="131"/>
        <v>5.8207660913467407E-10</v>
      </c>
      <c r="P657">
        <f t="shared" si="132"/>
        <v>-3.4924596548080444E-10</v>
      </c>
      <c r="Q657">
        <f t="shared" si="133"/>
        <v>-3.4924596548080444E-10</v>
      </c>
    </row>
    <row r="658" spans="2:17" x14ac:dyDescent="0.25">
      <c r="B658" s="18">
        <f t="shared" si="125"/>
        <v>1.584452641983925E-4</v>
      </c>
      <c r="C658" s="18">
        <f t="shared" si="126"/>
        <v>1.5844526419839253E-4</v>
      </c>
      <c r="D658" s="18">
        <f t="shared" si="127"/>
        <v>1.584452641983925E-4</v>
      </c>
      <c r="E658">
        <f t="shared" si="128"/>
        <v>4.6609784476459026E-8</v>
      </c>
      <c r="F658">
        <f t="shared" si="134"/>
        <v>-9.4369170255959034E-9</v>
      </c>
      <c r="G658">
        <f t="shared" si="135"/>
        <v>4.6609784476459026E-8</v>
      </c>
      <c r="L658" s="7">
        <f t="shared" si="129"/>
        <v>4.9720262030229161E-2</v>
      </c>
      <c r="M658" s="7">
        <f t="shared" si="130"/>
        <v>4.9720262030229168E-2</v>
      </c>
      <c r="N658" s="20">
        <f t="shared" si="124"/>
        <v>4.9720262030229168E-2</v>
      </c>
      <c r="O658">
        <f t="shared" si="131"/>
        <v>5.8207660913467407E-10</v>
      </c>
      <c r="P658">
        <f t="shared" si="132"/>
        <v>-3.4924596548080444E-10</v>
      </c>
      <c r="Q658">
        <f t="shared" si="133"/>
        <v>-3.4924596548080444E-10</v>
      </c>
    </row>
    <row r="659" spans="2:17" x14ac:dyDescent="0.25">
      <c r="B659" s="18">
        <f t="shared" si="125"/>
        <v>1.584452641983925E-4</v>
      </c>
      <c r="C659" s="18">
        <f t="shared" si="126"/>
        <v>1.5844526419839253E-4</v>
      </c>
      <c r="D659" s="18">
        <f t="shared" si="127"/>
        <v>1.584452641983925E-4</v>
      </c>
      <c r="E659">
        <f t="shared" si="128"/>
        <v>4.6609784476459026E-8</v>
      </c>
      <c r="F659">
        <f t="shared" si="134"/>
        <v>-9.4369170255959034E-9</v>
      </c>
      <c r="G659">
        <f t="shared" si="135"/>
        <v>4.6609784476459026E-8</v>
      </c>
      <c r="L659" s="7">
        <f t="shared" si="129"/>
        <v>4.9720262030229161E-2</v>
      </c>
      <c r="M659" s="7">
        <f t="shared" si="130"/>
        <v>4.9720262030229168E-2</v>
      </c>
      <c r="N659" s="20">
        <f t="shared" si="124"/>
        <v>4.9720262030229168E-2</v>
      </c>
      <c r="O659">
        <f t="shared" si="131"/>
        <v>5.8207660913467407E-10</v>
      </c>
      <c r="P659">
        <f t="shared" si="132"/>
        <v>-3.4924596548080444E-10</v>
      </c>
      <c r="Q659">
        <f t="shared" si="133"/>
        <v>-3.4924596548080444E-10</v>
      </c>
    </row>
    <row r="660" spans="2:17" x14ac:dyDescent="0.25">
      <c r="B660" s="18">
        <f t="shared" si="125"/>
        <v>1.584452641983925E-4</v>
      </c>
      <c r="C660" s="18">
        <f t="shared" si="126"/>
        <v>1.5844526419839253E-4</v>
      </c>
      <c r="D660" s="18">
        <f t="shared" si="127"/>
        <v>1.584452641983925E-4</v>
      </c>
      <c r="E660">
        <f t="shared" si="128"/>
        <v>4.6609784476459026E-8</v>
      </c>
      <c r="F660">
        <f t="shared" si="134"/>
        <v>-9.4369170255959034E-9</v>
      </c>
      <c r="G660">
        <f t="shared" si="135"/>
        <v>4.6609784476459026E-8</v>
      </c>
      <c r="L660" s="7">
        <f t="shared" si="129"/>
        <v>4.9720262030229161E-2</v>
      </c>
      <c r="M660" s="7">
        <f t="shared" si="130"/>
        <v>4.9720262030229168E-2</v>
      </c>
      <c r="N660" s="20">
        <f t="shared" si="124"/>
        <v>4.9720262030229168E-2</v>
      </c>
      <c r="O660">
        <f t="shared" si="131"/>
        <v>5.8207660913467407E-10</v>
      </c>
      <c r="P660">
        <f t="shared" si="132"/>
        <v>-3.4924596548080444E-10</v>
      </c>
      <c r="Q660">
        <f t="shared" si="133"/>
        <v>-3.4924596548080444E-10</v>
      </c>
    </row>
    <row r="661" spans="2:17" x14ac:dyDescent="0.25">
      <c r="B661" s="18">
        <f t="shared" si="125"/>
        <v>1.584452641983925E-4</v>
      </c>
      <c r="C661" s="18">
        <f t="shared" si="126"/>
        <v>1.5844526419839253E-4</v>
      </c>
      <c r="D661" s="18">
        <f t="shared" si="127"/>
        <v>1.584452641983925E-4</v>
      </c>
      <c r="E661">
        <f t="shared" si="128"/>
        <v>4.6609784476459026E-8</v>
      </c>
      <c r="F661">
        <f t="shared" si="134"/>
        <v>-9.4369170255959034E-9</v>
      </c>
      <c r="G661">
        <f t="shared" si="135"/>
        <v>4.6609784476459026E-8</v>
      </c>
      <c r="L661" s="7">
        <f t="shared" si="129"/>
        <v>4.9720262030229161E-2</v>
      </c>
      <c r="M661" s="7">
        <f t="shared" si="130"/>
        <v>4.9720262030229168E-2</v>
      </c>
      <c r="N661" s="20">
        <f t="shared" si="124"/>
        <v>4.9720262030229168E-2</v>
      </c>
      <c r="O661">
        <f t="shared" si="131"/>
        <v>5.8207660913467407E-10</v>
      </c>
      <c r="P661">
        <f t="shared" si="132"/>
        <v>-3.4924596548080444E-10</v>
      </c>
      <c r="Q661">
        <f t="shared" si="133"/>
        <v>-3.4924596548080444E-10</v>
      </c>
    </row>
    <row r="662" spans="2:17" x14ac:dyDescent="0.25">
      <c r="B662" s="18">
        <f t="shared" si="125"/>
        <v>1.584452641983925E-4</v>
      </c>
      <c r="C662" s="18">
        <f t="shared" si="126"/>
        <v>1.5844526419839253E-4</v>
      </c>
      <c r="D662" s="18">
        <f t="shared" si="127"/>
        <v>1.584452641983925E-4</v>
      </c>
      <c r="E662">
        <f t="shared" si="128"/>
        <v>4.6609784476459026E-8</v>
      </c>
      <c r="F662">
        <f t="shared" si="134"/>
        <v>-9.4369170255959034E-9</v>
      </c>
      <c r="G662">
        <f t="shared" si="135"/>
        <v>4.6609784476459026E-8</v>
      </c>
      <c r="L662" s="7">
        <f t="shared" si="129"/>
        <v>4.9720262030229161E-2</v>
      </c>
      <c r="M662" s="7">
        <f t="shared" si="130"/>
        <v>4.9720262030229168E-2</v>
      </c>
      <c r="N662" s="20">
        <f t="shared" si="124"/>
        <v>4.9720262030229168E-2</v>
      </c>
      <c r="O662">
        <f t="shared" si="131"/>
        <v>5.8207660913467407E-10</v>
      </c>
      <c r="P662">
        <f t="shared" si="132"/>
        <v>-3.4924596548080444E-10</v>
      </c>
      <c r="Q662">
        <f t="shared" si="133"/>
        <v>-3.4924596548080444E-10</v>
      </c>
    </row>
    <row r="663" spans="2:17" x14ac:dyDescent="0.25">
      <c r="B663" s="18">
        <f t="shared" si="125"/>
        <v>1.584452641983925E-4</v>
      </c>
      <c r="C663" s="18">
        <f t="shared" si="126"/>
        <v>1.5844526419839253E-4</v>
      </c>
      <c r="D663" s="18">
        <f t="shared" si="127"/>
        <v>1.584452641983925E-4</v>
      </c>
      <c r="E663">
        <f t="shared" si="128"/>
        <v>4.6609784476459026E-8</v>
      </c>
      <c r="F663">
        <f t="shared" si="134"/>
        <v>-9.4369170255959034E-9</v>
      </c>
      <c r="G663">
        <f t="shared" si="135"/>
        <v>4.6609784476459026E-8</v>
      </c>
      <c r="L663" s="7">
        <f t="shared" si="129"/>
        <v>4.9720262030229161E-2</v>
      </c>
      <c r="M663" s="7">
        <f t="shared" si="130"/>
        <v>4.9720262030229168E-2</v>
      </c>
      <c r="N663" s="20">
        <f t="shared" si="124"/>
        <v>4.9720262030229168E-2</v>
      </c>
      <c r="O663">
        <f t="shared" si="131"/>
        <v>5.8207660913467407E-10</v>
      </c>
      <c r="P663">
        <f t="shared" si="132"/>
        <v>-3.4924596548080444E-10</v>
      </c>
      <c r="Q663">
        <f t="shared" si="133"/>
        <v>-3.4924596548080444E-10</v>
      </c>
    </row>
    <row r="664" spans="2:17" x14ac:dyDescent="0.25">
      <c r="B664" s="18">
        <f t="shared" si="125"/>
        <v>1.584452641983925E-4</v>
      </c>
      <c r="C664" s="18">
        <f t="shared" si="126"/>
        <v>1.5844526419839253E-4</v>
      </c>
      <c r="D664" s="18">
        <f t="shared" si="127"/>
        <v>1.584452641983925E-4</v>
      </c>
      <c r="E664">
        <f t="shared" si="128"/>
        <v>4.6609784476459026E-8</v>
      </c>
      <c r="F664">
        <f t="shared" si="134"/>
        <v>-9.4369170255959034E-9</v>
      </c>
      <c r="G664">
        <f t="shared" si="135"/>
        <v>4.6609784476459026E-8</v>
      </c>
      <c r="L664" s="7">
        <f t="shared" si="129"/>
        <v>4.9720262030229161E-2</v>
      </c>
      <c r="M664" s="7">
        <f t="shared" si="130"/>
        <v>4.9720262030229168E-2</v>
      </c>
      <c r="N664" s="20">
        <f t="shared" si="124"/>
        <v>4.9720262030229168E-2</v>
      </c>
      <c r="O664">
        <f t="shared" si="131"/>
        <v>5.8207660913467407E-10</v>
      </c>
      <c r="P664">
        <f t="shared" si="132"/>
        <v>-3.4924596548080444E-10</v>
      </c>
      <c r="Q664">
        <f t="shared" si="133"/>
        <v>-3.4924596548080444E-10</v>
      </c>
    </row>
    <row r="665" spans="2:17" x14ac:dyDescent="0.25">
      <c r="B665" s="18">
        <f t="shared" si="125"/>
        <v>1.584452641983925E-4</v>
      </c>
      <c r="C665" s="18">
        <f t="shared" si="126"/>
        <v>1.5844526419839253E-4</v>
      </c>
      <c r="D665" s="18">
        <f t="shared" si="127"/>
        <v>1.584452641983925E-4</v>
      </c>
      <c r="E665">
        <f t="shared" si="128"/>
        <v>4.6609784476459026E-8</v>
      </c>
      <c r="F665">
        <f t="shared" si="134"/>
        <v>-9.4369170255959034E-9</v>
      </c>
      <c r="G665">
        <f t="shared" si="135"/>
        <v>4.6609784476459026E-8</v>
      </c>
      <c r="L665" s="7">
        <f t="shared" si="129"/>
        <v>4.9720262030229161E-2</v>
      </c>
      <c r="M665" s="7">
        <f t="shared" si="130"/>
        <v>4.9720262030229168E-2</v>
      </c>
      <c r="N665" s="20">
        <f t="shared" ref="N665:N728" si="136">(L665+M665)/2</f>
        <v>4.9720262030229168E-2</v>
      </c>
      <c r="O665">
        <f t="shared" si="131"/>
        <v>5.8207660913467407E-10</v>
      </c>
      <c r="P665">
        <f t="shared" si="132"/>
        <v>-3.4924596548080444E-10</v>
      </c>
      <c r="Q665">
        <f t="shared" si="133"/>
        <v>-3.4924596548080444E-10</v>
      </c>
    </row>
    <row r="666" spans="2:17" x14ac:dyDescent="0.25">
      <c r="B666" s="18">
        <f t="shared" ref="B666:B729" si="137">IF(E665*G665&lt;0,B665,D665)</f>
        <v>1.584452641983925E-4</v>
      </c>
      <c r="C666" s="18">
        <f t="shared" ref="C666:C729" si="138">IF(F665*G665&lt;0,C665,D665)</f>
        <v>1.5844526419839253E-4</v>
      </c>
      <c r="D666" s="18">
        <f t="shared" ref="D666:D729" si="139">(B666+C666)/2</f>
        <v>1.584452641983925E-4</v>
      </c>
      <c r="E666">
        <f t="shared" ref="E666:E729" si="140">IF($G$8 = "Future Value",$C$5-($D$5*(((1+B666)^($F$5*$G$5)-1)/B666)),$H$5-$D$5*((1-(1+B666)^(-1*$F$5*$G$5))/B666))</f>
        <v>4.6609784476459026E-8</v>
      </c>
      <c r="F666">
        <f t="shared" si="134"/>
        <v>-9.4369170255959034E-9</v>
      </c>
      <c r="G666">
        <f t="shared" si="135"/>
        <v>4.6609784476459026E-8</v>
      </c>
      <c r="L666" s="7">
        <f t="shared" ref="L666:L729" si="141">IF(O665*Q665&lt;0,L665,N665)</f>
        <v>4.9720262030229161E-2</v>
      </c>
      <c r="M666" s="7">
        <f t="shared" ref="M666:M729" si="142">IF(P665*Q665&lt;0,M665,N665)</f>
        <v>4.9720262030229168E-2</v>
      </c>
      <c r="N666" s="20">
        <f t="shared" si="136"/>
        <v>4.9720262030229168E-2</v>
      </c>
      <c r="O666">
        <f t="shared" ref="O666:O729" si="143">IF($Q$8 = "Future Value",$M$5-($N$5*(1+L666)*(((1+L666)^($P$5*$Q$5)-1)/L666)),$R$5-$N$5*(1+L666)*((1-(1+L666)^(-1*$P$5*$Q$5))/L666))</f>
        <v>5.8207660913467407E-10</v>
      </c>
      <c r="P666">
        <f t="shared" ref="P666:P729" si="144">IF($Q$8 = "Future Value",$M$5-($N$5*(1+M666)*(((1+M666)^($P$5*$Q$5)-1)/M666)),$R$5-$N$5*(1+M666)*((1-(1+M666)^(-1*$P$5*$Q$5))/M666))</f>
        <v>-3.4924596548080444E-10</v>
      </c>
      <c r="Q666">
        <f t="shared" ref="Q666:Q729" si="145">IF($Q$8 = "Future Value",$M$5-($N$5*(1+N666)*(((1+N666)^($P$5*$Q$5)-1)/N666)),$R$5-$N$5*(1+N666)*((1-(1+N666)^(-1*$P$5*$Q$5))/N666))</f>
        <v>-3.4924596548080444E-10</v>
      </c>
    </row>
    <row r="667" spans="2:17" x14ac:dyDescent="0.25">
      <c r="B667" s="18">
        <f t="shared" si="137"/>
        <v>1.584452641983925E-4</v>
      </c>
      <c r="C667" s="18">
        <f t="shared" si="138"/>
        <v>1.5844526419839253E-4</v>
      </c>
      <c r="D667" s="18">
        <f t="shared" si="139"/>
        <v>1.584452641983925E-4</v>
      </c>
      <c r="E667">
        <f t="shared" si="140"/>
        <v>4.6609784476459026E-8</v>
      </c>
      <c r="F667">
        <f t="shared" ref="F667:F730" si="146">IF($G$8 = "Future Value",$C$5-($D$5*(((1+C667)^($F$5*$G$5)-1)/C667)),$H$5-$D$5*((1-(1+C667)^(-1*$F$5*$G$5))/C667))</f>
        <v>-9.4369170255959034E-9</v>
      </c>
      <c r="G667">
        <f t="shared" ref="G667:G730" si="147">IF($G$8 = "Future Value",$C$5-($D$5*(((1+D667)^($F$5*$G$5)-1)/D667)),$H$5-$D$5*((1-(1+D667)^(-1*$F$5*$G$5))/D667))</f>
        <v>4.6609784476459026E-8</v>
      </c>
      <c r="L667" s="7">
        <f t="shared" si="141"/>
        <v>4.9720262030229161E-2</v>
      </c>
      <c r="M667" s="7">
        <f t="shared" si="142"/>
        <v>4.9720262030229168E-2</v>
      </c>
      <c r="N667" s="20">
        <f t="shared" si="136"/>
        <v>4.9720262030229168E-2</v>
      </c>
      <c r="O667">
        <f t="shared" si="143"/>
        <v>5.8207660913467407E-10</v>
      </c>
      <c r="P667">
        <f t="shared" si="144"/>
        <v>-3.4924596548080444E-10</v>
      </c>
      <c r="Q667">
        <f t="shared" si="145"/>
        <v>-3.4924596548080444E-10</v>
      </c>
    </row>
    <row r="668" spans="2:17" x14ac:dyDescent="0.25">
      <c r="B668" s="18">
        <f t="shared" si="137"/>
        <v>1.584452641983925E-4</v>
      </c>
      <c r="C668" s="18">
        <f t="shared" si="138"/>
        <v>1.5844526419839253E-4</v>
      </c>
      <c r="D668" s="18">
        <f t="shared" si="139"/>
        <v>1.584452641983925E-4</v>
      </c>
      <c r="E668">
        <f t="shared" si="140"/>
        <v>4.6609784476459026E-8</v>
      </c>
      <c r="F668">
        <f t="shared" si="146"/>
        <v>-9.4369170255959034E-9</v>
      </c>
      <c r="G668">
        <f t="shared" si="147"/>
        <v>4.6609784476459026E-8</v>
      </c>
      <c r="L668" s="7">
        <f t="shared" si="141"/>
        <v>4.9720262030229161E-2</v>
      </c>
      <c r="M668" s="7">
        <f t="shared" si="142"/>
        <v>4.9720262030229168E-2</v>
      </c>
      <c r="N668" s="20">
        <f t="shared" si="136"/>
        <v>4.9720262030229168E-2</v>
      </c>
      <c r="O668">
        <f t="shared" si="143"/>
        <v>5.8207660913467407E-10</v>
      </c>
      <c r="P668">
        <f t="shared" si="144"/>
        <v>-3.4924596548080444E-10</v>
      </c>
      <c r="Q668">
        <f t="shared" si="145"/>
        <v>-3.4924596548080444E-10</v>
      </c>
    </row>
    <row r="669" spans="2:17" x14ac:dyDescent="0.25">
      <c r="B669" s="18">
        <f t="shared" si="137"/>
        <v>1.584452641983925E-4</v>
      </c>
      <c r="C669" s="18">
        <f t="shared" si="138"/>
        <v>1.5844526419839253E-4</v>
      </c>
      <c r="D669" s="18">
        <f t="shared" si="139"/>
        <v>1.584452641983925E-4</v>
      </c>
      <c r="E669">
        <f t="shared" si="140"/>
        <v>4.6609784476459026E-8</v>
      </c>
      <c r="F669">
        <f t="shared" si="146"/>
        <v>-9.4369170255959034E-9</v>
      </c>
      <c r="G669">
        <f t="shared" si="147"/>
        <v>4.6609784476459026E-8</v>
      </c>
      <c r="L669" s="7">
        <f t="shared" si="141"/>
        <v>4.9720262030229161E-2</v>
      </c>
      <c r="M669" s="7">
        <f t="shared" si="142"/>
        <v>4.9720262030229168E-2</v>
      </c>
      <c r="N669" s="20">
        <f t="shared" si="136"/>
        <v>4.9720262030229168E-2</v>
      </c>
      <c r="O669">
        <f t="shared" si="143"/>
        <v>5.8207660913467407E-10</v>
      </c>
      <c r="P669">
        <f t="shared" si="144"/>
        <v>-3.4924596548080444E-10</v>
      </c>
      <c r="Q669">
        <f t="shared" si="145"/>
        <v>-3.4924596548080444E-10</v>
      </c>
    </row>
    <row r="670" spans="2:17" x14ac:dyDescent="0.25">
      <c r="B670" s="18">
        <f t="shared" si="137"/>
        <v>1.584452641983925E-4</v>
      </c>
      <c r="C670" s="18">
        <f t="shared" si="138"/>
        <v>1.5844526419839253E-4</v>
      </c>
      <c r="D670" s="18">
        <f t="shared" si="139"/>
        <v>1.584452641983925E-4</v>
      </c>
      <c r="E670">
        <f t="shared" si="140"/>
        <v>4.6609784476459026E-8</v>
      </c>
      <c r="F670">
        <f t="shared" si="146"/>
        <v>-9.4369170255959034E-9</v>
      </c>
      <c r="G670">
        <f t="shared" si="147"/>
        <v>4.6609784476459026E-8</v>
      </c>
      <c r="L670" s="7">
        <f t="shared" si="141"/>
        <v>4.9720262030229161E-2</v>
      </c>
      <c r="M670" s="7">
        <f t="shared" si="142"/>
        <v>4.9720262030229168E-2</v>
      </c>
      <c r="N670" s="20">
        <f t="shared" si="136"/>
        <v>4.9720262030229168E-2</v>
      </c>
      <c r="O670">
        <f t="shared" si="143"/>
        <v>5.8207660913467407E-10</v>
      </c>
      <c r="P670">
        <f t="shared" si="144"/>
        <v>-3.4924596548080444E-10</v>
      </c>
      <c r="Q670">
        <f t="shared" si="145"/>
        <v>-3.4924596548080444E-10</v>
      </c>
    </row>
    <row r="671" spans="2:17" x14ac:dyDescent="0.25">
      <c r="B671" s="18">
        <f t="shared" si="137"/>
        <v>1.584452641983925E-4</v>
      </c>
      <c r="C671" s="18">
        <f t="shared" si="138"/>
        <v>1.5844526419839253E-4</v>
      </c>
      <c r="D671" s="18">
        <f t="shared" si="139"/>
        <v>1.584452641983925E-4</v>
      </c>
      <c r="E671">
        <f t="shared" si="140"/>
        <v>4.6609784476459026E-8</v>
      </c>
      <c r="F671">
        <f t="shared" si="146"/>
        <v>-9.4369170255959034E-9</v>
      </c>
      <c r="G671">
        <f t="shared" si="147"/>
        <v>4.6609784476459026E-8</v>
      </c>
      <c r="L671" s="7">
        <f t="shared" si="141"/>
        <v>4.9720262030229161E-2</v>
      </c>
      <c r="M671" s="7">
        <f t="shared" si="142"/>
        <v>4.9720262030229168E-2</v>
      </c>
      <c r="N671" s="20">
        <f t="shared" si="136"/>
        <v>4.9720262030229168E-2</v>
      </c>
      <c r="O671">
        <f t="shared" si="143"/>
        <v>5.8207660913467407E-10</v>
      </c>
      <c r="P671">
        <f t="shared" si="144"/>
        <v>-3.4924596548080444E-10</v>
      </c>
      <c r="Q671">
        <f t="shared" si="145"/>
        <v>-3.4924596548080444E-10</v>
      </c>
    </row>
    <row r="672" spans="2:17" x14ac:dyDescent="0.25">
      <c r="B672" s="18">
        <f t="shared" si="137"/>
        <v>1.584452641983925E-4</v>
      </c>
      <c r="C672" s="18">
        <f t="shared" si="138"/>
        <v>1.5844526419839253E-4</v>
      </c>
      <c r="D672" s="18">
        <f t="shared" si="139"/>
        <v>1.584452641983925E-4</v>
      </c>
      <c r="E672">
        <f t="shared" si="140"/>
        <v>4.6609784476459026E-8</v>
      </c>
      <c r="F672">
        <f t="shared" si="146"/>
        <v>-9.4369170255959034E-9</v>
      </c>
      <c r="G672">
        <f t="shared" si="147"/>
        <v>4.6609784476459026E-8</v>
      </c>
      <c r="L672" s="7">
        <f t="shared" si="141"/>
        <v>4.9720262030229161E-2</v>
      </c>
      <c r="M672" s="7">
        <f t="shared" si="142"/>
        <v>4.9720262030229168E-2</v>
      </c>
      <c r="N672" s="20">
        <f t="shared" si="136"/>
        <v>4.9720262030229168E-2</v>
      </c>
      <c r="O672">
        <f t="shared" si="143"/>
        <v>5.8207660913467407E-10</v>
      </c>
      <c r="P672">
        <f t="shared" si="144"/>
        <v>-3.4924596548080444E-10</v>
      </c>
      <c r="Q672">
        <f t="shared" si="145"/>
        <v>-3.4924596548080444E-10</v>
      </c>
    </row>
    <row r="673" spans="2:17" x14ac:dyDescent="0.25">
      <c r="B673" s="18">
        <f t="shared" si="137"/>
        <v>1.584452641983925E-4</v>
      </c>
      <c r="C673" s="18">
        <f t="shared" si="138"/>
        <v>1.5844526419839253E-4</v>
      </c>
      <c r="D673" s="18">
        <f t="shared" si="139"/>
        <v>1.584452641983925E-4</v>
      </c>
      <c r="E673">
        <f t="shared" si="140"/>
        <v>4.6609784476459026E-8</v>
      </c>
      <c r="F673">
        <f t="shared" si="146"/>
        <v>-9.4369170255959034E-9</v>
      </c>
      <c r="G673">
        <f t="shared" si="147"/>
        <v>4.6609784476459026E-8</v>
      </c>
      <c r="L673" s="7">
        <f t="shared" si="141"/>
        <v>4.9720262030229161E-2</v>
      </c>
      <c r="M673" s="7">
        <f t="shared" si="142"/>
        <v>4.9720262030229168E-2</v>
      </c>
      <c r="N673" s="20">
        <f t="shared" si="136"/>
        <v>4.9720262030229168E-2</v>
      </c>
      <c r="O673">
        <f t="shared" si="143"/>
        <v>5.8207660913467407E-10</v>
      </c>
      <c r="P673">
        <f t="shared" si="144"/>
        <v>-3.4924596548080444E-10</v>
      </c>
      <c r="Q673">
        <f t="shared" si="145"/>
        <v>-3.4924596548080444E-10</v>
      </c>
    </row>
    <row r="674" spans="2:17" x14ac:dyDescent="0.25">
      <c r="B674" s="18">
        <f t="shared" si="137"/>
        <v>1.584452641983925E-4</v>
      </c>
      <c r="C674" s="18">
        <f t="shared" si="138"/>
        <v>1.5844526419839253E-4</v>
      </c>
      <c r="D674" s="18">
        <f t="shared" si="139"/>
        <v>1.584452641983925E-4</v>
      </c>
      <c r="E674">
        <f t="shared" si="140"/>
        <v>4.6609784476459026E-8</v>
      </c>
      <c r="F674">
        <f t="shared" si="146"/>
        <v>-9.4369170255959034E-9</v>
      </c>
      <c r="G674">
        <f t="shared" si="147"/>
        <v>4.6609784476459026E-8</v>
      </c>
      <c r="L674" s="7">
        <f t="shared" si="141"/>
        <v>4.9720262030229161E-2</v>
      </c>
      <c r="M674" s="7">
        <f t="shared" si="142"/>
        <v>4.9720262030229168E-2</v>
      </c>
      <c r="N674" s="20">
        <f t="shared" si="136"/>
        <v>4.9720262030229168E-2</v>
      </c>
      <c r="O674">
        <f t="shared" si="143"/>
        <v>5.8207660913467407E-10</v>
      </c>
      <c r="P674">
        <f t="shared" si="144"/>
        <v>-3.4924596548080444E-10</v>
      </c>
      <c r="Q674">
        <f t="shared" si="145"/>
        <v>-3.4924596548080444E-10</v>
      </c>
    </row>
    <row r="675" spans="2:17" x14ac:dyDescent="0.25">
      <c r="B675" s="18">
        <f t="shared" si="137"/>
        <v>1.584452641983925E-4</v>
      </c>
      <c r="C675" s="18">
        <f t="shared" si="138"/>
        <v>1.5844526419839253E-4</v>
      </c>
      <c r="D675" s="18">
        <f t="shared" si="139"/>
        <v>1.584452641983925E-4</v>
      </c>
      <c r="E675">
        <f t="shared" si="140"/>
        <v>4.6609784476459026E-8</v>
      </c>
      <c r="F675">
        <f t="shared" si="146"/>
        <v>-9.4369170255959034E-9</v>
      </c>
      <c r="G675">
        <f t="shared" si="147"/>
        <v>4.6609784476459026E-8</v>
      </c>
      <c r="L675" s="7">
        <f t="shared" si="141"/>
        <v>4.9720262030229161E-2</v>
      </c>
      <c r="M675" s="7">
        <f t="shared" si="142"/>
        <v>4.9720262030229168E-2</v>
      </c>
      <c r="N675" s="20">
        <f t="shared" si="136"/>
        <v>4.9720262030229168E-2</v>
      </c>
      <c r="O675">
        <f t="shared" si="143"/>
        <v>5.8207660913467407E-10</v>
      </c>
      <c r="P675">
        <f t="shared" si="144"/>
        <v>-3.4924596548080444E-10</v>
      </c>
      <c r="Q675">
        <f t="shared" si="145"/>
        <v>-3.4924596548080444E-10</v>
      </c>
    </row>
    <row r="676" spans="2:17" x14ac:dyDescent="0.25">
      <c r="B676" s="18">
        <f t="shared" si="137"/>
        <v>1.584452641983925E-4</v>
      </c>
      <c r="C676" s="18">
        <f t="shared" si="138"/>
        <v>1.5844526419839253E-4</v>
      </c>
      <c r="D676" s="18">
        <f t="shared" si="139"/>
        <v>1.584452641983925E-4</v>
      </c>
      <c r="E676">
        <f t="shared" si="140"/>
        <v>4.6609784476459026E-8</v>
      </c>
      <c r="F676">
        <f t="shared" si="146"/>
        <v>-9.4369170255959034E-9</v>
      </c>
      <c r="G676">
        <f t="shared" si="147"/>
        <v>4.6609784476459026E-8</v>
      </c>
      <c r="L676" s="7">
        <f t="shared" si="141"/>
        <v>4.9720262030229161E-2</v>
      </c>
      <c r="M676" s="7">
        <f t="shared" si="142"/>
        <v>4.9720262030229168E-2</v>
      </c>
      <c r="N676" s="20">
        <f t="shared" si="136"/>
        <v>4.9720262030229168E-2</v>
      </c>
      <c r="O676">
        <f t="shared" si="143"/>
        <v>5.8207660913467407E-10</v>
      </c>
      <c r="P676">
        <f t="shared" si="144"/>
        <v>-3.4924596548080444E-10</v>
      </c>
      <c r="Q676">
        <f t="shared" si="145"/>
        <v>-3.4924596548080444E-10</v>
      </c>
    </row>
    <row r="677" spans="2:17" x14ac:dyDescent="0.25">
      <c r="B677" s="18">
        <f t="shared" si="137"/>
        <v>1.584452641983925E-4</v>
      </c>
      <c r="C677" s="18">
        <f t="shared" si="138"/>
        <v>1.5844526419839253E-4</v>
      </c>
      <c r="D677" s="18">
        <f t="shared" si="139"/>
        <v>1.584452641983925E-4</v>
      </c>
      <c r="E677">
        <f t="shared" si="140"/>
        <v>4.6609784476459026E-8</v>
      </c>
      <c r="F677">
        <f t="shared" si="146"/>
        <v>-9.4369170255959034E-9</v>
      </c>
      <c r="G677">
        <f t="shared" si="147"/>
        <v>4.6609784476459026E-8</v>
      </c>
      <c r="L677" s="7">
        <f t="shared" si="141"/>
        <v>4.9720262030229161E-2</v>
      </c>
      <c r="M677" s="7">
        <f t="shared" si="142"/>
        <v>4.9720262030229168E-2</v>
      </c>
      <c r="N677" s="20">
        <f t="shared" si="136"/>
        <v>4.9720262030229168E-2</v>
      </c>
      <c r="O677">
        <f t="shared" si="143"/>
        <v>5.8207660913467407E-10</v>
      </c>
      <c r="P677">
        <f t="shared" si="144"/>
        <v>-3.4924596548080444E-10</v>
      </c>
      <c r="Q677">
        <f t="shared" si="145"/>
        <v>-3.4924596548080444E-10</v>
      </c>
    </row>
    <row r="678" spans="2:17" x14ac:dyDescent="0.25">
      <c r="B678" s="18">
        <f t="shared" si="137"/>
        <v>1.584452641983925E-4</v>
      </c>
      <c r="C678" s="18">
        <f t="shared" si="138"/>
        <v>1.5844526419839253E-4</v>
      </c>
      <c r="D678" s="18">
        <f t="shared" si="139"/>
        <v>1.584452641983925E-4</v>
      </c>
      <c r="E678">
        <f t="shared" si="140"/>
        <v>4.6609784476459026E-8</v>
      </c>
      <c r="F678">
        <f t="shared" si="146"/>
        <v>-9.4369170255959034E-9</v>
      </c>
      <c r="G678">
        <f t="shared" si="147"/>
        <v>4.6609784476459026E-8</v>
      </c>
      <c r="L678" s="7">
        <f t="shared" si="141"/>
        <v>4.9720262030229161E-2</v>
      </c>
      <c r="M678" s="7">
        <f t="shared" si="142"/>
        <v>4.9720262030229168E-2</v>
      </c>
      <c r="N678" s="20">
        <f t="shared" si="136"/>
        <v>4.9720262030229168E-2</v>
      </c>
      <c r="O678">
        <f t="shared" si="143"/>
        <v>5.8207660913467407E-10</v>
      </c>
      <c r="P678">
        <f t="shared" si="144"/>
        <v>-3.4924596548080444E-10</v>
      </c>
      <c r="Q678">
        <f t="shared" si="145"/>
        <v>-3.4924596548080444E-10</v>
      </c>
    </row>
    <row r="679" spans="2:17" x14ac:dyDescent="0.25">
      <c r="B679" s="18">
        <f t="shared" si="137"/>
        <v>1.584452641983925E-4</v>
      </c>
      <c r="C679" s="18">
        <f t="shared" si="138"/>
        <v>1.5844526419839253E-4</v>
      </c>
      <c r="D679" s="18">
        <f t="shared" si="139"/>
        <v>1.584452641983925E-4</v>
      </c>
      <c r="E679">
        <f t="shared" si="140"/>
        <v>4.6609784476459026E-8</v>
      </c>
      <c r="F679">
        <f t="shared" si="146"/>
        <v>-9.4369170255959034E-9</v>
      </c>
      <c r="G679">
        <f t="shared" si="147"/>
        <v>4.6609784476459026E-8</v>
      </c>
      <c r="L679" s="7">
        <f t="shared" si="141"/>
        <v>4.9720262030229161E-2</v>
      </c>
      <c r="M679" s="7">
        <f t="shared" si="142"/>
        <v>4.9720262030229168E-2</v>
      </c>
      <c r="N679" s="20">
        <f t="shared" si="136"/>
        <v>4.9720262030229168E-2</v>
      </c>
      <c r="O679">
        <f t="shared" si="143"/>
        <v>5.8207660913467407E-10</v>
      </c>
      <c r="P679">
        <f t="shared" si="144"/>
        <v>-3.4924596548080444E-10</v>
      </c>
      <c r="Q679">
        <f t="shared" si="145"/>
        <v>-3.4924596548080444E-10</v>
      </c>
    </row>
    <row r="680" spans="2:17" x14ac:dyDescent="0.25">
      <c r="B680" s="18">
        <f t="shared" si="137"/>
        <v>1.584452641983925E-4</v>
      </c>
      <c r="C680" s="18">
        <f t="shared" si="138"/>
        <v>1.5844526419839253E-4</v>
      </c>
      <c r="D680" s="18">
        <f t="shared" si="139"/>
        <v>1.584452641983925E-4</v>
      </c>
      <c r="E680">
        <f t="shared" si="140"/>
        <v>4.6609784476459026E-8</v>
      </c>
      <c r="F680">
        <f t="shared" si="146"/>
        <v>-9.4369170255959034E-9</v>
      </c>
      <c r="G680">
        <f t="shared" si="147"/>
        <v>4.6609784476459026E-8</v>
      </c>
      <c r="L680" s="7">
        <f t="shared" si="141"/>
        <v>4.9720262030229161E-2</v>
      </c>
      <c r="M680" s="7">
        <f t="shared" si="142"/>
        <v>4.9720262030229168E-2</v>
      </c>
      <c r="N680" s="20">
        <f t="shared" si="136"/>
        <v>4.9720262030229168E-2</v>
      </c>
      <c r="O680">
        <f t="shared" si="143"/>
        <v>5.8207660913467407E-10</v>
      </c>
      <c r="P680">
        <f t="shared" si="144"/>
        <v>-3.4924596548080444E-10</v>
      </c>
      <c r="Q680">
        <f t="shared" si="145"/>
        <v>-3.4924596548080444E-10</v>
      </c>
    </row>
    <row r="681" spans="2:17" x14ac:dyDescent="0.25">
      <c r="B681" s="18">
        <f t="shared" si="137"/>
        <v>1.584452641983925E-4</v>
      </c>
      <c r="C681" s="18">
        <f t="shared" si="138"/>
        <v>1.5844526419839253E-4</v>
      </c>
      <c r="D681" s="18">
        <f t="shared" si="139"/>
        <v>1.584452641983925E-4</v>
      </c>
      <c r="E681">
        <f t="shared" si="140"/>
        <v>4.6609784476459026E-8</v>
      </c>
      <c r="F681">
        <f t="shared" si="146"/>
        <v>-9.4369170255959034E-9</v>
      </c>
      <c r="G681">
        <f t="shared" si="147"/>
        <v>4.6609784476459026E-8</v>
      </c>
      <c r="L681" s="7">
        <f t="shared" si="141"/>
        <v>4.9720262030229161E-2</v>
      </c>
      <c r="M681" s="7">
        <f t="shared" si="142"/>
        <v>4.9720262030229168E-2</v>
      </c>
      <c r="N681" s="20">
        <f t="shared" si="136"/>
        <v>4.9720262030229168E-2</v>
      </c>
      <c r="O681">
        <f t="shared" si="143"/>
        <v>5.8207660913467407E-10</v>
      </c>
      <c r="P681">
        <f t="shared" si="144"/>
        <v>-3.4924596548080444E-10</v>
      </c>
      <c r="Q681">
        <f t="shared" si="145"/>
        <v>-3.4924596548080444E-10</v>
      </c>
    </row>
    <row r="682" spans="2:17" x14ac:dyDescent="0.25">
      <c r="B682" s="18">
        <f t="shared" si="137"/>
        <v>1.584452641983925E-4</v>
      </c>
      <c r="C682" s="18">
        <f t="shared" si="138"/>
        <v>1.5844526419839253E-4</v>
      </c>
      <c r="D682" s="18">
        <f t="shared" si="139"/>
        <v>1.584452641983925E-4</v>
      </c>
      <c r="E682">
        <f t="shared" si="140"/>
        <v>4.6609784476459026E-8</v>
      </c>
      <c r="F682">
        <f t="shared" si="146"/>
        <v>-9.4369170255959034E-9</v>
      </c>
      <c r="G682">
        <f t="shared" si="147"/>
        <v>4.6609784476459026E-8</v>
      </c>
      <c r="L682" s="7">
        <f t="shared" si="141"/>
        <v>4.9720262030229161E-2</v>
      </c>
      <c r="M682" s="7">
        <f t="shared" si="142"/>
        <v>4.9720262030229168E-2</v>
      </c>
      <c r="N682" s="20">
        <f t="shared" si="136"/>
        <v>4.9720262030229168E-2</v>
      </c>
      <c r="O682">
        <f t="shared" si="143"/>
        <v>5.8207660913467407E-10</v>
      </c>
      <c r="P682">
        <f t="shared" si="144"/>
        <v>-3.4924596548080444E-10</v>
      </c>
      <c r="Q682">
        <f t="shared" si="145"/>
        <v>-3.4924596548080444E-10</v>
      </c>
    </row>
    <row r="683" spans="2:17" x14ac:dyDescent="0.25">
      <c r="B683" s="18">
        <f t="shared" si="137"/>
        <v>1.584452641983925E-4</v>
      </c>
      <c r="C683" s="18">
        <f t="shared" si="138"/>
        <v>1.5844526419839253E-4</v>
      </c>
      <c r="D683" s="18">
        <f t="shared" si="139"/>
        <v>1.584452641983925E-4</v>
      </c>
      <c r="E683">
        <f t="shared" si="140"/>
        <v>4.6609784476459026E-8</v>
      </c>
      <c r="F683">
        <f t="shared" si="146"/>
        <v>-9.4369170255959034E-9</v>
      </c>
      <c r="G683">
        <f t="shared" si="147"/>
        <v>4.6609784476459026E-8</v>
      </c>
      <c r="L683" s="7">
        <f t="shared" si="141"/>
        <v>4.9720262030229161E-2</v>
      </c>
      <c r="M683" s="7">
        <f t="shared" si="142"/>
        <v>4.9720262030229168E-2</v>
      </c>
      <c r="N683" s="20">
        <f t="shared" si="136"/>
        <v>4.9720262030229168E-2</v>
      </c>
      <c r="O683">
        <f t="shared" si="143"/>
        <v>5.8207660913467407E-10</v>
      </c>
      <c r="P683">
        <f t="shared" si="144"/>
        <v>-3.4924596548080444E-10</v>
      </c>
      <c r="Q683">
        <f t="shared" si="145"/>
        <v>-3.4924596548080444E-10</v>
      </c>
    </row>
    <row r="684" spans="2:17" x14ac:dyDescent="0.25">
      <c r="B684" s="18">
        <f t="shared" si="137"/>
        <v>1.584452641983925E-4</v>
      </c>
      <c r="C684" s="18">
        <f t="shared" si="138"/>
        <v>1.5844526419839253E-4</v>
      </c>
      <c r="D684" s="18">
        <f t="shared" si="139"/>
        <v>1.584452641983925E-4</v>
      </c>
      <c r="E684">
        <f t="shared" si="140"/>
        <v>4.6609784476459026E-8</v>
      </c>
      <c r="F684">
        <f t="shared" si="146"/>
        <v>-9.4369170255959034E-9</v>
      </c>
      <c r="G684">
        <f t="shared" si="147"/>
        <v>4.6609784476459026E-8</v>
      </c>
      <c r="L684" s="7">
        <f t="shared" si="141"/>
        <v>4.9720262030229161E-2</v>
      </c>
      <c r="M684" s="7">
        <f t="shared" si="142"/>
        <v>4.9720262030229168E-2</v>
      </c>
      <c r="N684" s="20">
        <f t="shared" si="136"/>
        <v>4.9720262030229168E-2</v>
      </c>
      <c r="O684">
        <f t="shared" si="143"/>
        <v>5.8207660913467407E-10</v>
      </c>
      <c r="P684">
        <f t="shared" si="144"/>
        <v>-3.4924596548080444E-10</v>
      </c>
      <c r="Q684">
        <f t="shared" si="145"/>
        <v>-3.4924596548080444E-10</v>
      </c>
    </row>
    <row r="685" spans="2:17" x14ac:dyDescent="0.25">
      <c r="B685" s="18">
        <f t="shared" si="137"/>
        <v>1.584452641983925E-4</v>
      </c>
      <c r="C685" s="18">
        <f t="shared" si="138"/>
        <v>1.5844526419839253E-4</v>
      </c>
      <c r="D685" s="18">
        <f t="shared" si="139"/>
        <v>1.584452641983925E-4</v>
      </c>
      <c r="E685">
        <f t="shared" si="140"/>
        <v>4.6609784476459026E-8</v>
      </c>
      <c r="F685">
        <f t="shared" si="146"/>
        <v>-9.4369170255959034E-9</v>
      </c>
      <c r="G685">
        <f t="shared" si="147"/>
        <v>4.6609784476459026E-8</v>
      </c>
      <c r="L685" s="7">
        <f t="shared" si="141"/>
        <v>4.9720262030229161E-2</v>
      </c>
      <c r="M685" s="7">
        <f t="shared" si="142"/>
        <v>4.9720262030229168E-2</v>
      </c>
      <c r="N685" s="20">
        <f t="shared" si="136"/>
        <v>4.9720262030229168E-2</v>
      </c>
      <c r="O685">
        <f t="shared" si="143"/>
        <v>5.8207660913467407E-10</v>
      </c>
      <c r="P685">
        <f t="shared" si="144"/>
        <v>-3.4924596548080444E-10</v>
      </c>
      <c r="Q685">
        <f t="shared" si="145"/>
        <v>-3.4924596548080444E-10</v>
      </c>
    </row>
    <row r="686" spans="2:17" x14ac:dyDescent="0.25">
      <c r="B686" s="18">
        <f t="shared" si="137"/>
        <v>1.584452641983925E-4</v>
      </c>
      <c r="C686" s="18">
        <f t="shared" si="138"/>
        <v>1.5844526419839253E-4</v>
      </c>
      <c r="D686" s="18">
        <f t="shared" si="139"/>
        <v>1.584452641983925E-4</v>
      </c>
      <c r="E686">
        <f t="shared" si="140"/>
        <v>4.6609784476459026E-8</v>
      </c>
      <c r="F686">
        <f t="shared" si="146"/>
        <v>-9.4369170255959034E-9</v>
      </c>
      <c r="G686">
        <f t="shared" si="147"/>
        <v>4.6609784476459026E-8</v>
      </c>
      <c r="L686" s="7">
        <f t="shared" si="141"/>
        <v>4.9720262030229161E-2</v>
      </c>
      <c r="M686" s="7">
        <f t="shared" si="142"/>
        <v>4.9720262030229168E-2</v>
      </c>
      <c r="N686" s="20">
        <f t="shared" si="136"/>
        <v>4.9720262030229168E-2</v>
      </c>
      <c r="O686">
        <f t="shared" si="143"/>
        <v>5.8207660913467407E-10</v>
      </c>
      <c r="P686">
        <f t="shared" si="144"/>
        <v>-3.4924596548080444E-10</v>
      </c>
      <c r="Q686">
        <f t="shared" si="145"/>
        <v>-3.4924596548080444E-10</v>
      </c>
    </row>
    <row r="687" spans="2:17" x14ac:dyDescent="0.25">
      <c r="B687" s="18">
        <f t="shared" si="137"/>
        <v>1.584452641983925E-4</v>
      </c>
      <c r="C687" s="18">
        <f t="shared" si="138"/>
        <v>1.5844526419839253E-4</v>
      </c>
      <c r="D687" s="18">
        <f t="shared" si="139"/>
        <v>1.584452641983925E-4</v>
      </c>
      <c r="E687">
        <f t="shared" si="140"/>
        <v>4.6609784476459026E-8</v>
      </c>
      <c r="F687">
        <f t="shared" si="146"/>
        <v>-9.4369170255959034E-9</v>
      </c>
      <c r="G687">
        <f t="shared" si="147"/>
        <v>4.6609784476459026E-8</v>
      </c>
      <c r="L687" s="7">
        <f t="shared" si="141"/>
        <v>4.9720262030229161E-2</v>
      </c>
      <c r="M687" s="7">
        <f t="shared" si="142"/>
        <v>4.9720262030229168E-2</v>
      </c>
      <c r="N687" s="20">
        <f t="shared" si="136"/>
        <v>4.9720262030229168E-2</v>
      </c>
      <c r="O687">
        <f t="shared" si="143"/>
        <v>5.8207660913467407E-10</v>
      </c>
      <c r="P687">
        <f t="shared" si="144"/>
        <v>-3.4924596548080444E-10</v>
      </c>
      <c r="Q687">
        <f t="shared" si="145"/>
        <v>-3.4924596548080444E-10</v>
      </c>
    </row>
    <row r="688" spans="2:17" x14ac:dyDescent="0.25">
      <c r="B688" s="18">
        <f t="shared" si="137"/>
        <v>1.584452641983925E-4</v>
      </c>
      <c r="C688" s="18">
        <f t="shared" si="138"/>
        <v>1.5844526419839253E-4</v>
      </c>
      <c r="D688" s="18">
        <f t="shared" si="139"/>
        <v>1.584452641983925E-4</v>
      </c>
      <c r="E688">
        <f t="shared" si="140"/>
        <v>4.6609784476459026E-8</v>
      </c>
      <c r="F688">
        <f t="shared" si="146"/>
        <v>-9.4369170255959034E-9</v>
      </c>
      <c r="G688">
        <f t="shared" si="147"/>
        <v>4.6609784476459026E-8</v>
      </c>
      <c r="L688" s="7">
        <f t="shared" si="141"/>
        <v>4.9720262030229161E-2</v>
      </c>
      <c r="M688" s="7">
        <f t="shared" si="142"/>
        <v>4.9720262030229168E-2</v>
      </c>
      <c r="N688" s="20">
        <f t="shared" si="136"/>
        <v>4.9720262030229168E-2</v>
      </c>
      <c r="O688">
        <f t="shared" si="143"/>
        <v>5.8207660913467407E-10</v>
      </c>
      <c r="P688">
        <f t="shared" si="144"/>
        <v>-3.4924596548080444E-10</v>
      </c>
      <c r="Q688">
        <f t="shared" si="145"/>
        <v>-3.4924596548080444E-10</v>
      </c>
    </row>
    <row r="689" spans="2:17" x14ac:dyDescent="0.25">
      <c r="B689" s="18">
        <f t="shared" si="137"/>
        <v>1.584452641983925E-4</v>
      </c>
      <c r="C689" s="18">
        <f t="shared" si="138"/>
        <v>1.5844526419839253E-4</v>
      </c>
      <c r="D689" s="18">
        <f t="shared" si="139"/>
        <v>1.584452641983925E-4</v>
      </c>
      <c r="E689">
        <f t="shared" si="140"/>
        <v>4.6609784476459026E-8</v>
      </c>
      <c r="F689">
        <f t="shared" si="146"/>
        <v>-9.4369170255959034E-9</v>
      </c>
      <c r="G689">
        <f t="shared" si="147"/>
        <v>4.6609784476459026E-8</v>
      </c>
      <c r="L689" s="7">
        <f t="shared" si="141"/>
        <v>4.9720262030229161E-2</v>
      </c>
      <c r="M689" s="7">
        <f t="shared" si="142"/>
        <v>4.9720262030229168E-2</v>
      </c>
      <c r="N689" s="20">
        <f t="shared" si="136"/>
        <v>4.9720262030229168E-2</v>
      </c>
      <c r="O689">
        <f t="shared" si="143"/>
        <v>5.8207660913467407E-10</v>
      </c>
      <c r="P689">
        <f t="shared" si="144"/>
        <v>-3.4924596548080444E-10</v>
      </c>
      <c r="Q689">
        <f t="shared" si="145"/>
        <v>-3.4924596548080444E-10</v>
      </c>
    </row>
    <row r="690" spans="2:17" x14ac:dyDescent="0.25">
      <c r="B690" s="18">
        <f t="shared" si="137"/>
        <v>1.584452641983925E-4</v>
      </c>
      <c r="C690" s="18">
        <f t="shared" si="138"/>
        <v>1.5844526419839253E-4</v>
      </c>
      <c r="D690" s="18">
        <f t="shared" si="139"/>
        <v>1.584452641983925E-4</v>
      </c>
      <c r="E690">
        <f t="shared" si="140"/>
        <v>4.6609784476459026E-8</v>
      </c>
      <c r="F690">
        <f t="shared" si="146"/>
        <v>-9.4369170255959034E-9</v>
      </c>
      <c r="G690">
        <f t="shared" si="147"/>
        <v>4.6609784476459026E-8</v>
      </c>
      <c r="L690" s="7">
        <f t="shared" si="141"/>
        <v>4.9720262030229161E-2</v>
      </c>
      <c r="M690" s="7">
        <f t="shared" si="142"/>
        <v>4.9720262030229168E-2</v>
      </c>
      <c r="N690" s="20">
        <f t="shared" si="136"/>
        <v>4.9720262030229168E-2</v>
      </c>
      <c r="O690">
        <f t="shared" si="143"/>
        <v>5.8207660913467407E-10</v>
      </c>
      <c r="P690">
        <f t="shared" si="144"/>
        <v>-3.4924596548080444E-10</v>
      </c>
      <c r="Q690">
        <f t="shared" si="145"/>
        <v>-3.4924596548080444E-10</v>
      </c>
    </row>
    <row r="691" spans="2:17" x14ac:dyDescent="0.25">
      <c r="B691" s="18">
        <f t="shared" si="137"/>
        <v>1.584452641983925E-4</v>
      </c>
      <c r="C691" s="18">
        <f t="shared" si="138"/>
        <v>1.5844526419839253E-4</v>
      </c>
      <c r="D691" s="18">
        <f t="shared" si="139"/>
        <v>1.584452641983925E-4</v>
      </c>
      <c r="E691">
        <f t="shared" si="140"/>
        <v>4.6609784476459026E-8</v>
      </c>
      <c r="F691">
        <f t="shared" si="146"/>
        <v>-9.4369170255959034E-9</v>
      </c>
      <c r="G691">
        <f t="shared" si="147"/>
        <v>4.6609784476459026E-8</v>
      </c>
      <c r="L691" s="7">
        <f t="shared" si="141"/>
        <v>4.9720262030229161E-2</v>
      </c>
      <c r="M691" s="7">
        <f t="shared" si="142"/>
        <v>4.9720262030229168E-2</v>
      </c>
      <c r="N691" s="20">
        <f t="shared" si="136"/>
        <v>4.9720262030229168E-2</v>
      </c>
      <c r="O691">
        <f t="shared" si="143"/>
        <v>5.8207660913467407E-10</v>
      </c>
      <c r="P691">
        <f t="shared" si="144"/>
        <v>-3.4924596548080444E-10</v>
      </c>
      <c r="Q691">
        <f t="shared" si="145"/>
        <v>-3.4924596548080444E-10</v>
      </c>
    </row>
    <row r="692" spans="2:17" x14ac:dyDescent="0.25">
      <c r="B692" s="18">
        <f t="shared" si="137"/>
        <v>1.584452641983925E-4</v>
      </c>
      <c r="C692" s="18">
        <f t="shared" si="138"/>
        <v>1.5844526419839253E-4</v>
      </c>
      <c r="D692" s="18">
        <f t="shared" si="139"/>
        <v>1.584452641983925E-4</v>
      </c>
      <c r="E692">
        <f t="shared" si="140"/>
        <v>4.6609784476459026E-8</v>
      </c>
      <c r="F692">
        <f t="shared" si="146"/>
        <v>-9.4369170255959034E-9</v>
      </c>
      <c r="G692">
        <f t="shared" si="147"/>
        <v>4.6609784476459026E-8</v>
      </c>
      <c r="L692" s="7">
        <f t="shared" si="141"/>
        <v>4.9720262030229161E-2</v>
      </c>
      <c r="M692" s="7">
        <f t="shared" si="142"/>
        <v>4.9720262030229168E-2</v>
      </c>
      <c r="N692" s="20">
        <f t="shared" si="136"/>
        <v>4.9720262030229168E-2</v>
      </c>
      <c r="O692">
        <f t="shared" si="143"/>
        <v>5.8207660913467407E-10</v>
      </c>
      <c r="P692">
        <f t="shared" si="144"/>
        <v>-3.4924596548080444E-10</v>
      </c>
      <c r="Q692">
        <f t="shared" si="145"/>
        <v>-3.4924596548080444E-10</v>
      </c>
    </row>
    <row r="693" spans="2:17" x14ac:dyDescent="0.25">
      <c r="B693" s="18">
        <f t="shared" si="137"/>
        <v>1.584452641983925E-4</v>
      </c>
      <c r="C693" s="18">
        <f t="shared" si="138"/>
        <v>1.5844526419839253E-4</v>
      </c>
      <c r="D693" s="18">
        <f t="shared" si="139"/>
        <v>1.584452641983925E-4</v>
      </c>
      <c r="E693">
        <f t="shared" si="140"/>
        <v>4.6609784476459026E-8</v>
      </c>
      <c r="F693">
        <f t="shared" si="146"/>
        <v>-9.4369170255959034E-9</v>
      </c>
      <c r="G693">
        <f t="shared" si="147"/>
        <v>4.6609784476459026E-8</v>
      </c>
      <c r="L693" s="7">
        <f t="shared" si="141"/>
        <v>4.9720262030229161E-2</v>
      </c>
      <c r="M693" s="7">
        <f t="shared" si="142"/>
        <v>4.9720262030229168E-2</v>
      </c>
      <c r="N693" s="20">
        <f t="shared" si="136"/>
        <v>4.9720262030229168E-2</v>
      </c>
      <c r="O693">
        <f t="shared" si="143"/>
        <v>5.8207660913467407E-10</v>
      </c>
      <c r="P693">
        <f t="shared" si="144"/>
        <v>-3.4924596548080444E-10</v>
      </c>
      <c r="Q693">
        <f t="shared" si="145"/>
        <v>-3.4924596548080444E-10</v>
      </c>
    </row>
    <row r="694" spans="2:17" x14ac:dyDescent="0.25">
      <c r="B694" s="18">
        <f t="shared" si="137"/>
        <v>1.584452641983925E-4</v>
      </c>
      <c r="C694" s="18">
        <f t="shared" si="138"/>
        <v>1.5844526419839253E-4</v>
      </c>
      <c r="D694" s="18">
        <f t="shared" si="139"/>
        <v>1.584452641983925E-4</v>
      </c>
      <c r="E694">
        <f t="shared" si="140"/>
        <v>4.6609784476459026E-8</v>
      </c>
      <c r="F694">
        <f t="shared" si="146"/>
        <v>-9.4369170255959034E-9</v>
      </c>
      <c r="G694">
        <f t="shared" si="147"/>
        <v>4.6609784476459026E-8</v>
      </c>
      <c r="L694" s="7">
        <f t="shared" si="141"/>
        <v>4.9720262030229161E-2</v>
      </c>
      <c r="M694" s="7">
        <f t="shared" si="142"/>
        <v>4.9720262030229168E-2</v>
      </c>
      <c r="N694" s="20">
        <f t="shared" si="136"/>
        <v>4.9720262030229168E-2</v>
      </c>
      <c r="O694">
        <f t="shared" si="143"/>
        <v>5.8207660913467407E-10</v>
      </c>
      <c r="P694">
        <f t="shared" si="144"/>
        <v>-3.4924596548080444E-10</v>
      </c>
      <c r="Q694">
        <f t="shared" si="145"/>
        <v>-3.4924596548080444E-10</v>
      </c>
    </row>
    <row r="695" spans="2:17" x14ac:dyDescent="0.25">
      <c r="B695" s="18">
        <f t="shared" si="137"/>
        <v>1.584452641983925E-4</v>
      </c>
      <c r="C695" s="18">
        <f t="shared" si="138"/>
        <v>1.5844526419839253E-4</v>
      </c>
      <c r="D695" s="18">
        <f t="shared" si="139"/>
        <v>1.584452641983925E-4</v>
      </c>
      <c r="E695">
        <f t="shared" si="140"/>
        <v>4.6609784476459026E-8</v>
      </c>
      <c r="F695">
        <f t="shared" si="146"/>
        <v>-9.4369170255959034E-9</v>
      </c>
      <c r="G695">
        <f t="shared" si="147"/>
        <v>4.6609784476459026E-8</v>
      </c>
      <c r="L695" s="7">
        <f t="shared" si="141"/>
        <v>4.9720262030229161E-2</v>
      </c>
      <c r="M695" s="7">
        <f t="shared" si="142"/>
        <v>4.9720262030229168E-2</v>
      </c>
      <c r="N695" s="20">
        <f t="shared" si="136"/>
        <v>4.9720262030229168E-2</v>
      </c>
      <c r="O695">
        <f t="shared" si="143"/>
        <v>5.8207660913467407E-10</v>
      </c>
      <c r="P695">
        <f t="shared" si="144"/>
        <v>-3.4924596548080444E-10</v>
      </c>
      <c r="Q695">
        <f t="shared" si="145"/>
        <v>-3.4924596548080444E-10</v>
      </c>
    </row>
    <row r="696" spans="2:17" x14ac:dyDescent="0.25">
      <c r="B696" s="18">
        <f t="shared" si="137"/>
        <v>1.584452641983925E-4</v>
      </c>
      <c r="C696" s="18">
        <f t="shared" si="138"/>
        <v>1.5844526419839253E-4</v>
      </c>
      <c r="D696" s="18">
        <f t="shared" si="139"/>
        <v>1.584452641983925E-4</v>
      </c>
      <c r="E696">
        <f t="shared" si="140"/>
        <v>4.6609784476459026E-8</v>
      </c>
      <c r="F696">
        <f t="shared" si="146"/>
        <v>-9.4369170255959034E-9</v>
      </c>
      <c r="G696">
        <f t="shared" si="147"/>
        <v>4.6609784476459026E-8</v>
      </c>
      <c r="L696" s="7">
        <f t="shared" si="141"/>
        <v>4.9720262030229161E-2</v>
      </c>
      <c r="M696" s="7">
        <f t="shared" si="142"/>
        <v>4.9720262030229168E-2</v>
      </c>
      <c r="N696" s="20">
        <f t="shared" si="136"/>
        <v>4.9720262030229168E-2</v>
      </c>
      <c r="O696">
        <f t="shared" si="143"/>
        <v>5.8207660913467407E-10</v>
      </c>
      <c r="P696">
        <f t="shared" si="144"/>
        <v>-3.4924596548080444E-10</v>
      </c>
      <c r="Q696">
        <f t="shared" si="145"/>
        <v>-3.4924596548080444E-10</v>
      </c>
    </row>
    <row r="697" spans="2:17" x14ac:dyDescent="0.25">
      <c r="B697" s="18">
        <f t="shared" si="137"/>
        <v>1.584452641983925E-4</v>
      </c>
      <c r="C697" s="18">
        <f t="shared" si="138"/>
        <v>1.5844526419839253E-4</v>
      </c>
      <c r="D697" s="18">
        <f t="shared" si="139"/>
        <v>1.584452641983925E-4</v>
      </c>
      <c r="E697">
        <f t="shared" si="140"/>
        <v>4.6609784476459026E-8</v>
      </c>
      <c r="F697">
        <f t="shared" si="146"/>
        <v>-9.4369170255959034E-9</v>
      </c>
      <c r="G697">
        <f t="shared" si="147"/>
        <v>4.6609784476459026E-8</v>
      </c>
      <c r="L697" s="7">
        <f t="shared" si="141"/>
        <v>4.9720262030229161E-2</v>
      </c>
      <c r="M697" s="7">
        <f t="shared" si="142"/>
        <v>4.9720262030229168E-2</v>
      </c>
      <c r="N697" s="20">
        <f t="shared" si="136"/>
        <v>4.9720262030229168E-2</v>
      </c>
      <c r="O697">
        <f t="shared" si="143"/>
        <v>5.8207660913467407E-10</v>
      </c>
      <c r="P697">
        <f t="shared" si="144"/>
        <v>-3.4924596548080444E-10</v>
      </c>
      <c r="Q697">
        <f t="shared" si="145"/>
        <v>-3.4924596548080444E-10</v>
      </c>
    </row>
    <row r="698" spans="2:17" x14ac:dyDescent="0.25">
      <c r="B698" s="18">
        <f t="shared" si="137"/>
        <v>1.584452641983925E-4</v>
      </c>
      <c r="C698" s="18">
        <f t="shared" si="138"/>
        <v>1.5844526419839253E-4</v>
      </c>
      <c r="D698" s="18">
        <f t="shared" si="139"/>
        <v>1.584452641983925E-4</v>
      </c>
      <c r="E698">
        <f t="shared" si="140"/>
        <v>4.6609784476459026E-8</v>
      </c>
      <c r="F698">
        <f t="shared" si="146"/>
        <v>-9.4369170255959034E-9</v>
      </c>
      <c r="G698">
        <f t="shared" si="147"/>
        <v>4.6609784476459026E-8</v>
      </c>
      <c r="L698" s="7">
        <f t="shared" si="141"/>
        <v>4.9720262030229161E-2</v>
      </c>
      <c r="M698" s="7">
        <f t="shared" si="142"/>
        <v>4.9720262030229168E-2</v>
      </c>
      <c r="N698" s="20">
        <f t="shared" si="136"/>
        <v>4.9720262030229168E-2</v>
      </c>
      <c r="O698">
        <f t="shared" si="143"/>
        <v>5.8207660913467407E-10</v>
      </c>
      <c r="P698">
        <f t="shared" si="144"/>
        <v>-3.4924596548080444E-10</v>
      </c>
      <c r="Q698">
        <f t="shared" si="145"/>
        <v>-3.4924596548080444E-10</v>
      </c>
    </row>
    <row r="699" spans="2:17" x14ac:dyDescent="0.25">
      <c r="B699" s="18">
        <f t="shared" si="137"/>
        <v>1.584452641983925E-4</v>
      </c>
      <c r="C699" s="18">
        <f t="shared" si="138"/>
        <v>1.5844526419839253E-4</v>
      </c>
      <c r="D699" s="18">
        <f t="shared" si="139"/>
        <v>1.584452641983925E-4</v>
      </c>
      <c r="E699">
        <f t="shared" si="140"/>
        <v>4.6609784476459026E-8</v>
      </c>
      <c r="F699">
        <f t="shared" si="146"/>
        <v>-9.4369170255959034E-9</v>
      </c>
      <c r="G699">
        <f t="shared" si="147"/>
        <v>4.6609784476459026E-8</v>
      </c>
      <c r="L699" s="7">
        <f t="shared" si="141"/>
        <v>4.9720262030229161E-2</v>
      </c>
      <c r="M699" s="7">
        <f t="shared" si="142"/>
        <v>4.9720262030229168E-2</v>
      </c>
      <c r="N699" s="20">
        <f t="shared" si="136"/>
        <v>4.9720262030229168E-2</v>
      </c>
      <c r="O699">
        <f t="shared" si="143"/>
        <v>5.8207660913467407E-10</v>
      </c>
      <c r="P699">
        <f t="shared" si="144"/>
        <v>-3.4924596548080444E-10</v>
      </c>
      <c r="Q699">
        <f t="shared" si="145"/>
        <v>-3.4924596548080444E-10</v>
      </c>
    </row>
    <row r="700" spans="2:17" x14ac:dyDescent="0.25">
      <c r="B700" s="18">
        <f t="shared" si="137"/>
        <v>1.584452641983925E-4</v>
      </c>
      <c r="C700" s="18">
        <f t="shared" si="138"/>
        <v>1.5844526419839253E-4</v>
      </c>
      <c r="D700" s="18">
        <f t="shared" si="139"/>
        <v>1.584452641983925E-4</v>
      </c>
      <c r="E700">
        <f t="shared" si="140"/>
        <v>4.6609784476459026E-8</v>
      </c>
      <c r="F700">
        <f t="shared" si="146"/>
        <v>-9.4369170255959034E-9</v>
      </c>
      <c r="G700">
        <f t="shared" si="147"/>
        <v>4.6609784476459026E-8</v>
      </c>
      <c r="L700" s="7">
        <f t="shared" si="141"/>
        <v>4.9720262030229161E-2</v>
      </c>
      <c r="M700" s="7">
        <f t="shared" si="142"/>
        <v>4.9720262030229168E-2</v>
      </c>
      <c r="N700" s="20">
        <f t="shared" si="136"/>
        <v>4.9720262030229168E-2</v>
      </c>
      <c r="O700">
        <f t="shared" si="143"/>
        <v>5.8207660913467407E-10</v>
      </c>
      <c r="P700">
        <f t="shared" si="144"/>
        <v>-3.4924596548080444E-10</v>
      </c>
      <c r="Q700">
        <f t="shared" si="145"/>
        <v>-3.4924596548080444E-10</v>
      </c>
    </row>
    <row r="701" spans="2:17" x14ac:dyDescent="0.25">
      <c r="B701" s="18">
        <f t="shared" si="137"/>
        <v>1.584452641983925E-4</v>
      </c>
      <c r="C701" s="18">
        <f t="shared" si="138"/>
        <v>1.5844526419839253E-4</v>
      </c>
      <c r="D701" s="18">
        <f t="shared" si="139"/>
        <v>1.584452641983925E-4</v>
      </c>
      <c r="E701">
        <f t="shared" si="140"/>
        <v>4.6609784476459026E-8</v>
      </c>
      <c r="F701">
        <f t="shared" si="146"/>
        <v>-9.4369170255959034E-9</v>
      </c>
      <c r="G701">
        <f t="shared" si="147"/>
        <v>4.6609784476459026E-8</v>
      </c>
      <c r="L701" s="7">
        <f t="shared" si="141"/>
        <v>4.9720262030229161E-2</v>
      </c>
      <c r="M701" s="7">
        <f t="shared" si="142"/>
        <v>4.9720262030229168E-2</v>
      </c>
      <c r="N701" s="20">
        <f t="shared" si="136"/>
        <v>4.9720262030229168E-2</v>
      </c>
      <c r="O701">
        <f t="shared" si="143"/>
        <v>5.8207660913467407E-10</v>
      </c>
      <c r="P701">
        <f t="shared" si="144"/>
        <v>-3.4924596548080444E-10</v>
      </c>
      <c r="Q701">
        <f t="shared" si="145"/>
        <v>-3.4924596548080444E-10</v>
      </c>
    </row>
    <row r="702" spans="2:17" x14ac:dyDescent="0.25">
      <c r="B702" s="18">
        <f t="shared" si="137"/>
        <v>1.584452641983925E-4</v>
      </c>
      <c r="C702" s="18">
        <f t="shared" si="138"/>
        <v>1.5844526419839253E-4</v>
      </c>
      <c r="D702" s="18">
        <f t="shared" si="139"/>
        <v>1.584452641983925E-4</v>
      </c>
      <c r="E702">
        <f t="shared" si="140"/>
        <v>4.6609784476459026E-8</v>
      </c>
      <c r="F702">
        <f t="shared" si="146"/>
        <v>-9.4369170255959034E-9</v>
      </c>
      <c r="G702">
        <f t="shared" si="147"/>
        <v>4.6609784476459026E-8</v>
      </c>
      <c r="L702" s="7">
        <f t="shared" si="141"/>
        <v>4.9720262030229161E-2</v>
      </c>
      <c r="M702" s="7">
        <f t="shared" si="142"/>
        <v>4.9720262030229168E-2</v>
      </c>
      <c r="N702" s="20">
        <f t="shared" si="136"/>
        <v>4.9720262030229168E-2</v>
      </c>
      <c r="O702">
        <f t="shared" si="143"/>
        <v>5.8207660913467407E-10</v>
      </c>
      <c r="P702">
        <f t="shared" si="144"/>
        <v>-3.4924596548080444E-10</v>
      </c>
      <c r="Q702">
        <f t="shared" si="145"/>
        <v>-3.4924596548080444E-10</v>
      </c>
    </row>
    <row r="703" spans="2:17" x14ac:dyDescent="0.25">
      <c r="B703" s="18">
        <f t="shared" si="137"/>
        <v>1.584452641983925E-4</v>
      </c>
      <c r="C703" s="18">
        <f t="shared" si="138"/>
        <v>1.5844526419839253E-4</v>
      </c>
      <c r="D703" s="18">
        <f t="shared" si="139"/>
        <v>1.584452641983925E-4</v>
      </c>
      <c r="E703">
        <f t="shared" si="140"/>
        <v>4.6609784476459026E-8</v>
      </c>
      <c r="F703">
        <f t="shared" si="146"/>
        <v>-9.4369170255959034E-9</v>
      </c>
      <c r="G703">
        <f t="shared" si="147"/>
        <v>4.6609784476459026E-8</v>
      </c>
      <c r="L703" s="7">
        <f t="shared" si="141"/>
        <v>4.9720262030229161E-2</v>
      </c>
      <c r="M703" s="7">
        <f t="shared" si="142"/>
        <v>4.9720262030229168E-2</v>
      </c>
      <c r="N703" s="20">
        <f t="shared" si="136"/>
        <v>4.9720262030229168E-2</v>
      </c>
      <c r="O703">
        <f t="shared" si="143"/>
        <v>5.8207660913467407E-10</v>
      </c>
      <c r="P703">
        <f t="shared" si="144"/>
        <v>-3.4924596548080444E-10</v>
      </c>
      <c r="Q703">
        <f t="shared" si="145"/>
        <v>-3.4924596548080444E-10</v>
      </c>
    </row>
    <row r="704" spans="2:17" x14ac:dyDescent="0.25">
      <c r="B704" s="18">
        <f t="shared" si="137"/>
        <v>1.584452641983925E-4</v>
      </c>
      <c r="C704" s="18">
        <f t="shared" si="138"/>
        <v>1.5844526419839253E-4</v>
      </c>
      <c r="D704" s="18">
        <f t="shared" si="139"/>
        <v>1.584452641983925E-4</v>
      </c>
      <c r="E704">
        <f t="shared" si="140"/>
        <v>4.6609784476459026E-8</v>
      </c>
      <c r="F704">
        <f t="shared" si="146"/>
        <v>-9.4369170255959034E-9</v>
      </c>
      <c r="G704">
        <f t="shared" si="147"/>
        <v>4.6609784476459026E-8</v>
      </c>
      <c r="L704" s="7">
        <f t="shared" si="141"/>
        <v>4.9720262030229161E-2</v>
      </c>
      <c r="M704" s="7">
        <f t="shared" si="142"/>
        <v>4.9720262030229168E-2</v>
      </c>
      <c r="N704" s="20">
        <f t="shared" si="136"/>
        <v>4.9720262030229168E-2</v>
      </c>
      <c r="O704">
        <f t="shared" si="143"/>
        <v>5.8207660913467407E-10</v>
      </c>
      <c r="P704">
        <f t="shared" si="144"/>
        <v>-3.4924596548080444E-10</v>
      </c>
      <c r="Q704">
        <f t="shared" si="145"/>
        <v>-3.4924596548080444E-10</v>
      </c>
    </row>
    <row r="705" spans="2:17" x14ac:dyDescent="0.25">
      <c r="B705" s="18">
        <f t="shared" si="137"/>
        <v>1.584452641983925E-4</v>
      </c>
      <c r="C705" s="18">
        <f t="shared" si="138"/>
        <v>1.5844526419839253E-4</v>
      </c>
      <c r="D705" s="18">
        <f t="shared" si="139"/>
        <v>1.584452641983925E-4</v>
      </c>
      <c r="E705">
        <f t="shared" si="140"/>
        <v>4.6609784476459026E-8</v>
      </c>
      <c r="F705">
        <f t="shared" si="146"/>
        <v>-9.4369170255959034E-9</v>
      </c>
      <c r="G705">
        <f t="shared" si="147"/>
        <v>4.6609784476459026E-8</v>
      </c>
      <c r="L705" s="7">
        <f t="shared" si="141"/>
        <v>4.9720262030229161E-2</v>
      </c>
      <c r="M705" s="7">
        <f t="shared" si="142"/>
        <v>4.9720262030229168E-2</v>
      </c>
      <c r="N705" s="20">
        <f t="shared" si="136"/>
        <v>4.9720262030229168E-2</v>
      </c>
      <c r="O705">
        <f t="shared" si="143"/>
        <v>5.8207660913467407E-10</v>
      </c>
      <c r="P705">
        <f t="shared" si="144"/>
        <v>-3.4924596548080444E-10</v>
      </c>
      <c r="Q705">
        <f t="shared" si="145"/>
        <v>-3.4924596548080444E-10</v>
      </c>
    </row>
    <row r="706" spans="2:17" x14ac:dyDescent="0.25">
      <c r="B706" s="18">
        <f t="shared" si="137"/>
        <v>1.584452641983925E-4</v>
      </c>
      <c r="C706" s="18">
        <f t="shared" si="138"/>
        <v>1.5844526419839253E-4</v>
      </c>
      <c r="D706" s="18">
        <f t="shared" si="139"/>
        <v>1.584452641983925E-4</v>
      </c>
      <c r="E706">
        <f t="shared" si="140"/>
        <v>4.6609784476459026E-8</v>
      </c>
      <c r="F706">
        <f t="shared" si="146"/>
        <v>-9.4369170255959034E-9</v>
      </c>
      <c r="G706">
        <f t="shared" si="147"/>
        <v>4.6609784476459026E-8</v>
      </c>
      <c r="L706" s="7">
        <f t="shared" si="141"/>
        <v>4.9720262030229161E-2</v>
      </c>
      <c r="M706" s="7">
        <f t="shared" si="142"/>
        <v>4.9720262030229168E-2</v>
      </c>
      <c r="N706" s="20">
        <f t="shared" si="136"/>
        <v>4.9720262030229168E-2</v>
      </c>
      <c r="O706">
        <f t="shared" si="143"/>
        <v>5.8207660913467407E-10</v>
      </c>
      <c r="P706">
        <f t="shared" si="144"/>
        <v>-3.4924596548080444E-10</v>
      </c>
      <c r="Q706">
        <f t="shared" si="145"/>
        <v>-3.4924596548080444E-10</v>
      </c>
    </row>
    <row r="707" spans="2:17" x14ac:dyDescent="0.25">
      <c r="B707" s="18">
        <f t="shared" si="137"/>
        <v>1.584452641983925E-4</v>
      </c>
      <c r="C707" s="18">
        <f t="shared" si="138"/>
        <v>1.5844526419839253E-4</v>
      </c>
      <c r="D707" s="18">
        <f t="shared" si="139"/>
        <v>1.584452641983925E-4</v>
      </c>
      <c r="E707">
        <f t="shared" si="140"/>
        <v>4.6609784476459026E-8</v>
      </c>
      <c r="F707">
        <f t="shared" si="146"/>
        <v>-9.4369170255959034E-9</v>
      </c>
      <c r="G707">
        <f t="shared" si="147"/>
        <v>4.6609784476459026E-8</v>
      </c>
      <c r="L707" s="7">
        <f t="shared" si="141"/>
        <v>4.9720262030229161E-2</v>
      </c>
      <c r="M707" s="7">
        <f t="shared" si="142"/>
        <v>4.9720262030229168E-2</v>
      </c>
      <c r="N707" s="20">
        <f t="shared" si="136"/>
        <v>4.9720262030229168E-2</v>
      </c>
      <c r="O707">
        <f t="shared" si="143"/>
        <v>5.8207660913467407E-10</v>
      </c>
      <c r="P707">
        <f t="shared" si="144"/>
        <v>-3.4924596548080444E-10</v>
      </c>
      <c r="Q707">
        <f t="shared" si="145"/>
        <v>-3.4924596548080444E-10</v>
      </c>
    </row>
    <row r="708" spans="2:17" x14ac:dyDescent="0.25">
      <c r="B708" s="18">
        <f t="shared" si="137"/>
        <v>1.584452641983925E-4</v>
      </c>
      <c r="C708" s="18">
        <f t="shared" si="138"/>
        <v>1.5844526419839253E-4</v>
      </c>
      <c r="D708" s="18">
        <f t="shared" si="139"/>
        <v>1.584452641983925E-4</v>
      </c>
      <c r="E708">
        <f t="shared" si="140"/>
        <v>4.6609784476459026E-8</v>
      </c>
      <c r="F708">
        <f t="shared" si="146"/>
        <v>-9.4369170255959034E-9</v>
      </c>
      <c r="G708">
        <f t="shared" si="147"/>
        <v>4.6609784476459026E-8</v>
      </c>
      <c r="L708" s="7">
        <f t="shared" si="141"/>
        <v>4.9720262030229161E-2</v>
      </c>
      <c r="M708" s="7">
        <f t="shared" si="142"/>
        <v>4.9720262030229168E-2</v>
      </c>
      <c r="N708" s="20">
        <f t="shared" si="136"/>
        <v>4.9720262030229168E-2</v>
      </c>
      <c r="O708">
        <f t="shared" si="143"/>
        <v>5.8207660913467407E-10</v>
      </c>
      <c r="P708">
        <f t="shared" si="144"/>
        <v>-3.4924596548080444E-10</v>
      </c>
      <c r="Q708">
        <f t="shared" si="145"/>
        <v>-3.4924596548080444E-10</v>
      </c>
    </row>
    <row r="709" spans="2:17" x14ac:dyDescent="0.25">
      <c r="B709" s="18">
        <f t="shared" si="137"/>
        <v>1.584452641983925E-4</v>
      </c>
      <c r="C709" s="18">
        <f t="shared" si="138"/>
        <v>1.5844526419839253E-4</v>
      </c>
      <c r="D709" s="18">
        <f t="shared" si="139"/>
        <v>1.584452641983925E-4</v>
      </c>
      <c r="E709">
        <f t="shared" si="140"/>
        <v>4.6609784476459026E-8</v>
      </c>
      <c r="F709">
        <f t="shared" si="146"/>
        <v>-9.4369170255959034E-9</v>
      </c>
      <c r="G709">
        <f t="shared" si="147"/>
        <v>4.6609784476459026E-8</v>
      </c>
      <c r="L709" s="7">
        <f t="shared" si="141"/>
        <v>4.9720262030229161E-2</v>
      </c>
      <c r="M709" s="7">
        <f t="shared" si="142"/>
        <v>4.9720262030229168E-2</v>
      </c>
      <c r="N709" s="20">
        <f t="shared" si="136"/>
        <v>4.9720262030229168E-2</v>
      </c>
      <c r="O709">
        <f t="shared" si="143"/>
        <v>5.8207660913467407E-10</v>
      </c>
      <c r="P709">
        <f t="shared" si="144"/>
        <v>-3.4924596548080444E-10</v>
      </c>
      <c r="Q709">
        <f t="shared" si="145"/>
        <v>-3.4924596548080444E-10</v>
      </c>
    </row>
    <row r="710" spans="2:17" x14ac:dyDescent="0.25">
      <c r="B710" s="18">
        <f t="shared" si="137"/>
        <v>1.584452641983925E-4</v>
      </c>
      <c r="C710" s="18">
        <f t="shared" si="138"/>
        <v>1.5844526419839253E-4</v>
      </c>
      <c r="D710" s="18">
        <f t="shared" si="139"/>
        <v>1.584452641983925E-4</v>
      </c>
      <c r="E710">
        <f t="shared" si="140"/>
        <v>4.6609784476459026E-8</v>
      </c>
      <c r="F710">
        <f t="shared" si="146"/>
        <v>-9.4369170255959034E-9</v>
      </c>
      <c r="G710">
        <f t="shared" si="147"/>
        <v>4.6609784476459026E-8</v>
      </c>
      <c r="L710" s="7">
        <f t="shared" si="141"/>
        <v>4.9720262030229161E-2</v>
      </c>
      <c r="M710" s="7">
        <f t="shared" si="142"/>
        <v>4.9720262030229168E-2</v>
      </c>
      <c r="N710" s="20">
        <f t="shared" si="136"/>
        <v>4.9720262030229168E-2</v>
      </c>
      <c r="O710">
        <f t="shared" si="143"/>
        <v>5.8207660913467407E-10</v>
      </c>
      <c r="P710">
        <f t="shared" si="144"/>
        <v>-3.4924596548080444E-10</v>
      </c>
      <c r="Q710">
        <f t="shared" si="145"/>
        <v>-3.4924596548080444E-10</v>
      </c>
    </row>
    <row r="711" spans="2:17" x14ac:dyDescent="0.25">
      <c r="B711" s="18">
        <f t="shared" si="137"/>
        <v>1.584452641983925E-4</v>
      </c>
      <c r="C711" s="18">
        <f t="shared" si="138"/>
        <v>1.5844526419839253E-4</v>
      </c>
      <c r="D711" s="18">
        <f t="shared" si="139"/>
        <v>1.584452641983925E-4</v>
      </c>
      <c r="E711">
        <f t="shared" si="140"/>
        <v>4.6609784476459026E-8</v>
      </c>
      <c r="F711">
        <f t="shared" si="146"/>
        <v>-9.4369170255959034E-9</v>
      </c>
      <c r="G711">
        <f t="shared" si="147"/>
        <v>4.6609784476459026E-8</v>
      </c>
      <c r="L711" s="7">
        <f t="shared" si="141"/>
        <v>4.9720262030229161E-2</v>
      </c>
      <c r="M711" s="7">
        <f t="shared" si="142"/>
        <v>4.9720262030229168E-2</v>
      </c>
      <c r="N711" s="20">
        <f t="shared" si="136"/>
        <v>4.9720262030229168E-2</v>
      </c>
      <c r="O711">
        <f t="shared" si="143"/>
        <v>5.8207660913467407E-10</v>
      </c>
      <c r="P711">
        <f t="shared" si="144"/>
        <v>-3.4924596548080444E-10</v>
      </c>
      <c r="Q711">
        <f t="shared" si="145"/>
        <v>-3.4924596548080444E-10</v>
      </c>
    </row>
    <row r="712" spans="2:17" x14ac:dyDescent="0.25">
      <c r="B712" s="18">
        <f t="shared" si="137"/>
        <v>1.584452641983925E-4</v>
      </c>
      <c r="C712" s="18">
        <f t="shared" si="138"/>
        <v>1.5844526419839253E-4</v>
      </c>
      <c r="D712" s="18">
        <f t="shared" si="139"/>
        <v>1.584452641983925E-4</v>
      </c>
      <c r="E712">
        <f t="shared" si="140"/>
        <v>4.6609784476459026E-8</v>
      </c>
      <c r="F712">
        <f t="shared" si="146"/>
        <v>-9.4369170255959034E-9</v>
      </c>
      <c r="G712">
        <f t="shared" si="147"/>
        <v>4.6609784476459026E-8</v>
      </c>
      <c r="L712" s="7">
        <f t="shared" si="141"/>
        <v>4.9720262030229161E-2</v>
      </c>
      <c r="M712" s="7">
        <f t="shared" si="142"/>
        <v>4.9720262030229168E-2</v>
      </c>
      <c r="N712" s="20">
        <f t="shared" si="136"/>
        <v>4.9720262030229168E-2</v>
      </c>
      <c r="O712">
        <f t="shared" si="143"/>
        <v>5.8207660913467407E-10</v>
      </c>
      <c r="P712">
        <f t="shared" si="144"/>
        <v>-3.4924596548080444E-10</v>
      </c>
      <c r="Q712">
        <f t="shared" si="145"/>
        <v>-3.4924596548080444E-10</v>
      </c>
    </row>
    <row r="713" spans="2:17" x14ac:dyDescent="0.25">
      <c r="B713" s="18">
        <f t="shared" si="137"/>
        <v>1.584452641983925E-4</v>
      </c>
      <c r="C713" s="18">
        <f t="shared" si="138"/>
        <v>1.5844526419839253E-4</v>
      </c>
      <c r="D713" s="18">
        <f t="shared" si="139"/>
        <v>1.584452641983925E-4</v>
      </c>
      <c r="E713">
        <f t="shared" si="140"/>
        <v>4.6609784476459026E-8</v>
      </c>
      <c r="F713">
        <f t="shared" si="146"/>
        <v>-9.4369170255959034E-9</v>
      </c>
      <c r="G713">
        <f t="shared" si="147"/>
        <v>4.6609784476459026E-8</v>
      </c>
      <c r="L713" s="7">
        <f t="shared" si="141"/>
        <v>4.9720262030229161E-2</v>
      </c>
      <c r="M713" s="7">
        <f t="shared" si="142"/>
        <v>4.9720262030229168E-2</v>
      </c>
      <c r="N713" s="20">
        <f t="shared" si="136"/>
        <v>4.9720262030229168E-2</v>
      </c>
      <c r="O713">
        <f t="shared" si="143"/>
        <v>5.8207660913467407E-10</v>
      </c>
      <c r="P713">
        <f t="shared" si="144"/>
        <v>-3.4924596548080444E-10</v>
      </c>
      <c r="Q713">
        <f t="shared" si="145"/>
        <v>-3.4924596548080444E-10</v>
      </c>
    </row>
    <row r="714" spans="2:17" x14ac:dyDescent="0.25">
      <c r="B714" s="18">
        <f t="shared" si="137"/>
        <v>1.584452641983925E-4</v>
      </c>
      <c r="C714" s="18">
        <f t="shared" si="138"/>
        <v>1.5844526419839253E-4</v>
      </c>
      <c r="D714" s="18">
        <f t="shared" si="139"/>
        <v>1.584452641983925E-4</v>
      </c>
      <c r="E714">
        <f t="shared" si="140"/>
        <v>4.6609784476459026E-8</v>
      </c>
      <c r="F714">
        <f t="shared" si="146"/>
        <v>-9.4369170255959034E-9</v>
      </c>
      <c r="G714">
        <f t="shared" si="147"/>
        <v>4.6609784476459026E-8</v>
      </c>
      <c r="L714" s="7">
        <f t="shared" si="141"/>
        <v>4.9720262030229161E-2</v>
      </c>
      <c r="M714" s="7">
        <f t="shared" si="142"/>
        <v>4.9720262030229168E-2</v>
      </c>
      <c r="N714" s="20">
        <f t="shared" si="136"/>
        <v>4.9720262030229168E-2</v>
      </c>
      <c r="O714">
        <f t="shared" si="143"/>
        <v>5.8207660913467407E-10</v>
      </c>
      <c r="P714">
        <f t="shared" si="144"/>
        <v>-3.4924596548080444E-10</v>
      </c>
      <c r="Q714">
        <f t="shared" si="145"/>
        <v>-3.4924596548080444E-10</v>
      </c>
    </row>
    <row r="715" spans="2:17" x14ac:dyDescent="0.25">
      <c r="B715" s="18">
        <f t="shared" si="137"/>
        <v>1.584452641983925E-4</v>
      </c>
      <c r="C715" s="18">
        <f t="shared" si="138"/>
        <v>1.5844526419839253E-4</v>
      </c>
      <c r="D715" s="18">
        <f t="shared" si="139"/>
        <v>1.584452641983925E-4</v>
      </c>
      <c r="E715">
        <f t="shared" si="140"/>
        <v>4.6609784476459026E-8</v>
      </c>
      <c r="F715">
        <f t="shared" si="146"/>
        <v>-9.4369170255959034E-9</v>
      </c>
      <c r="G715">
        <f t="shared" si="147"/>
        <v>4.6609784476459026E-8</v>
      </c>
      <c r="L715" s="7">
        <f t="shared" si="141"/>
        <v>4.9720262030229161E-2</v>
      </c>
      <c r="M715" s="7">
        <f t="shared" si="142"/>
        <v>4.9720262030229168E-2</v>
      </c>
      <c r="N715" s="20">
        <f t="shared" si="136"/>
        <v>4.9720262030229168E-2</v>
      </c>
      <c r="O715">
        <f t="shared" si="143"/>
        <v>5.8207660913467407E-10</v>
      </c>
      <c r="P715">
        <f t="shared" si="144"/>
        <v>-3.4924596548080444E-10</v>
      </c>
      <c r="Q715">
        <f t="shared" si="145"/>
        <v>-3.4924596548080444E-10</v>
      </c>
    </row>
    <row r="716" spans="2:17" x14ac:dyDescent="0.25">
      <c r="B716" s="18">
        <f t="shared" si="137"/>
        <v>1.584452641983925E-4</v>
      </c>
      <c r="C716" s="18">
        <f t="shared" si="138"/>
        <v>1.5844526419839253E-4</v>
      </c>
      <c r="D716" s="18">
        <f t="shared" si="139"/>
        <v>1.584452641983925E-4</v>
      </c>
      <c r="E716">
        <f t="shared" si="140"/>
        <v>4.6609784476459026E-8</v>
      </c>
      <c r="F716">
        <f t="shared" si="146"/>
        <v>-9.4369170255959034E-9</v>
      </c>
      <c r="G716">
        <f t="shared" si="147"/>
        <v>4.6609784476459026E-8</v>
      </c>
      <c r="L716" s="7">
        <f t="shared" si="141"/>
        <v>4.9720262030229161E-2</v>
      </c>
      <c r="M716" s="7">
        <f t="shared" si="142"/>
        <v>4.9720262030229168E-2</v>
      </c>
      <c r="N716" s="20">
        <f t="shared" si="136"/>
        <v>4.9720262030229168E-2</v>
      </c>
      <c r="O716">
        <f t="shared" si="143"/>
        <v>5.8207660913467407E-10</v>
      </c>
      <c r="P716">
        <f t="shared" si="144"/>
        <v>-3.4924596548080444E-10</v>
      </c>
      <c r="Q716">
        <f t="shared" si="145"/>
        <v>-3.4924596548080444E-10</v>
      </c>
    </row>
    <row r="717" spans="2:17" x14ac:dyDescent="0.25">
      <c r="B717" s="18">
        <f t="shared" si="137"/>
        <v>1.584452641983925E-4</v>
      </c>
      <c r="C717" s="18">
        <f t="shared" si="138"/>
        <v>1.5844526419839253E-4</v>
      </c>
      <c r="D717" s="18">
        <f t="shared" si="139"/>
        <v>1.584452641983925E-4</v>
      </c>
      <c r="E717">
        <f t="shared" si="140"/>
        <v>4.6609784476459026E-8</v>
      </c>
      <c r="F717">
        <f t="shared" si="146"/>
        <v>-9.4369170255959034E-9</v>
      </c>
      <c r="G717">
        <f t="shared" si="147"/>
        <v>4.6609784476459026E-8</v>
      </c>
      <c r="L717" s="7">
        <f t="shared" si="141"/>
        <v>4.9720262030229161E-2</v>
      </c>
      <c r="M717" s="7">
        <f t="shared" si="142"/>
        <v>4.9720262030229168E-2</v>
      </c>
      <c r="N717" s="20">
        <f t="shared" si="136"/>
        <v>4.9720262030229168E-2</v>
      </c>
      <c r="O717">
        <f t="shared" si="143"/>
        <v>5.8207660913467407E-10</v>
      </c>
      <c r="P717">
        <f t="shared" si="144"/>
        <v>-3.4924596548080444E-10</v>
      </c>
      <c r="Q717">
        <f t="shared" si="145"/>
        <v>-3.4924596548080444E-10</v>
      </c>
    </row>
    <row r="718" spans="2:17" x14ac:dyDescent="0.25">
      <c r="B718" s="18">
        <f t="shared" si="137"/>
        <v>1.584452641983925E-4</v>
      </c>
      <c r="C718" s="18">
        <f t="shared" si="138"/>
        <v>1.5844526419839253E-4</v>
      </c>
      <c r="D718" s="18">
        <f t="shared" si="139"/>
        <v>1.584452641983925E-4</v>
      </c>
      <c r="E718">
        <f t="shared" si="140"/>
        <v>4.6609784476459026E-8</v>
      </c>
      <c r="F718">
        <f t="shared" si="146"/>
        <v>-9.4369170255959034E-9</v>
      </c>
      <c r="G718">
        <f t="shared" si="147"/>
        <v>4.6609784476459026E-8</v>
      </c>
      <c r="L718" s="7">
        <f t="shared" si="141"/>
        <v>4.9720262030229161E-2</v>
      </c>
      <c r="M718" s="7">
        <f t="shared" si="142"/>
        <v>4.9720262030229168E-2</v>
      </c>
      <c r="N718" s="20">
        <f t="shared" si="136"/>
        <v>4.9720262030229168E-2</v>
      </c>
      <c r="O718">
        <f t="shared" si="143"/>
        <v>5.8207660913467407E-10</v>
      </c>
      <c r="P718">
        <f t="shared" si="144"/>
        <v>-3.4924596548080444E-10</v>
      </c>
      <c r="Q718">
        <f t="shared" si="145"/>
        <v>-3.4924596548080444E-10</v>
      </c>
    </row>
    <row r="719" spans="2:17" x14ac:dyDescent="0.25">
      <c r="B719" s="18">
        <f t="shared" si="137"/>
        <v>1.584452641983925E-4</v>
      </c>
      <c r="C719" s="18">
        <f t="shared" si="138"/>
        <v>1.5844526419839253E-4</v>
      </c>
      <c r="D719" s="18">
        <f t="shared" si="139"/>
        <v>1.584452641983925E-4</v>
      </c>
      <c r="E719">
        <f t="shared" si="140"/>
        <v>4.6609784476459026E-8</v>
      </c>
      <c r="F719">
        <f t="shared" si="146"/>
        <v>-9.4369170255959034E-9</v>
      </c>
      <c r="G719">
        <f t="shared" si="147"/>
        <v>4.6609784476459026E-8</v>
      </c>
      <c r="L719" s="7">
        <f t="shared" si="141"/>
        <v>4.9720262030229161E-2</v>
      </c>
      <c r="M719" s="7">
        <f t="shared" si="142"/>
        <v>4.9720262030229168E-2</v>
      </c>
      <c r="N719" s="20">
        <f t="shared" si="136"/>
        <v>4.9720262030229168E-2</v>
      </c>
      <c r="O719">
        <f t="shared" si="143"/>
        <v>5.8207660913467407E-10</v>
      </c>
      <c r="P719">
        <f t="shared" si="144"/>
        <v>-3.4924596548080444E-10</v>
      </c>
      <c r="Q719">
        <f t="shared" si="145"/>
        <v>-3.4924596548080444E-10</v>
      </c>
    </row>
    <row r="720" spans="2:17" x14ac:dyDescent="0.25">
      <c r="B720" s="18">
        <f t="shared" si="137"/>
        <v>1.584452641983925E-4</v>
      </c>
      <c r="C720" s="18">
        <f t="shared" si="138"/>
        <v>1.5844526419839253E-4</v>
      </c>
      <c r="D720" s="18">
        <f t="shared" si="139"/>
        <v>1.584452641983925E-4</v>
      </c>
      <c r="E720">
        <f t="shared" si="140"/>
        <v>4.6609784476459026E-8</v>
      </c>
      <c r="F720">
        <f t="shared" si="146"/>
        <v>-9.4369170255959034E-9</v>
      </c>
      <c r="G720">
        <f t="shared" si="147"/>
        <v>4.6609784476459026E-8</v>
      </c>
      <c r="L720" s="7">
        <f t="shared" si="141"/>
        <v>4.9720262030229161E-2</v>
      </c>
      <c r="M720" s="7">
        <f t="shared" si="142"/>
        <v>4.9720262030229168E-2</v>
      </c>
      <c r="N720" s="20">
        <f t="shared" si="136"/>
        <v>4.9720262030229168E-2</v>
      </c>
      <c r="O720">
        <f t="shared" si="143"/>
        <v>5.8207660913467407E-10</v>
      </c>
      <c r="P720">
        <f t="shared" si="144"/>
        <v>-3.4924596548080444E-10</v>
      </c>
      <c r="Q720">
        <f t="shared" si="145"/>
        <v>-3.4924596548080444E-10</v>
      </c>
    </row>
    <row r="721" spans="2:17" x14ac:dyDescent="0.25">
      <c r="B721" s="18">
        <f t="shared" si="137"/>
        <v>1.584452641983925E-4</v>
      </c>
      <c r="C721" s="18">
        <f t="shared" si="138"/>
        <v>1.5844526419839253E-4</v>
      </c>
      <c r="D721" s="18">
        <f t="shared" si="139"/>
        <v>1.584452641983925E-4</v>
      </c>
      <c r="E721">
        <f t="shared" si="140"/>
        <v>4.6609784476459026E-8</v>
      </c>
      <c r="F721">
        <f t="shared" si="146"/>
        <v>-9.4369170255959034E-9</v>
      </c>
      <c r="G721">
        <f t="shared" si="147"/>
        <v>4.6609784476459026E-8</v>
      </c>
      <c r="L721" s="7">
        <f t="shared" si="141"/>
        <v>4.9720262030229161E-2</v>
      </c>
      <c r="M721" s="7">
        <f t="shared" si="142"/>
        <v>4.9720262030229168E-2</v>
      </c>
      <c r="N721" s="20">
        <f t="shared" si="136"/>
        <v>4.9720262030229168E-2</v>
      </c>
      <c r="O721">
        <f t="shared" si="143"/>
        <v>5.8207660913467407E-10</v>
      </c>
      <c r="P721">
        <f t="shared" si="144"/>
        <v>-3.4924596548080444E-10</v>
      </c>
      <c r="Q721">
        <f t="shared" si="145"/>
        <v>-3.4924596548080444E-10</v>
      </c>
    </row>
    <row r="722" spans="2:17" x14ac:dyDescent="0.25">
      <c r="B722" s="18">
        <f t="shared" si="137"/>
        <v>1.584452641983925E-4</v>
      </c>
      <c r="C722" s="18">
        <f t="shared" si="138"/>
        <v>1.5844526419839253E-4</v>
      </c>
      <c r="D722" s="18">
        <f t="shared" si="139"/>
        <v>1.584452641983925E-4</v>
      </c>
      <c r="E722">
        <f t="shared" si="140"/>
        <v>4.6609784476459026E-8</v>
      </c>
      <c r="F722">
        <f t="shared" si="146"/>
        <v>-9.4369170255959034E-9</v>
      </c>
      <c r="G722">
        <f t="shared" si="147"/>
        <v>4.6609784476459026E-8</v>
      </c>
      <c r="L722" s="7">
        <f t="shared" si="141"/>
        <v>4.9720262030229161E-2</v>
      </c>
      <c r="M722" s="7">
        <f t="shared" si="142"/>
        <v>4.9720262030229168E-2</v>
      </c>
      <c r="N722" s="20">
        <f t="shared" si="136"/>
        <v>4.9720262030229168E-2</v>
      </c>
      <c r="O722">
        <f t="shared" si="143"/>
        <v>5.8207660913467407E-10</v>
      </c>
      <c r="P722">
        <f t="shared" si="144"/>
        <v>-3.4924596548080444E-10</v>
      </c>
      <c r="Q722">
        <f t="shared" si="145"/>
        <v>-3.4924596548080444E-10</v>
      </c>
    </row>
    <row r="723" spans="2:17" x14ac:dyDescent="0.25">
      <c r="B723" s="18">
        <f t="shared" si="137"/>
        <v>1.584452641983925E-4</v>
      </c>
      <c r="C723" s="18">
        <f t="shared" si="138"/>
        <v>1.5844526419839253E-4</v>
      </c>
      <c r="D723" s="18">
        <f t="shared" si="139"/>
        <v>1.584452641983925E-4</v>
      </c>
      <c r="E723">
        <f t="shared" si="140"/>
        <v>4.6609784476459026E-8</v>
      </c>
      <c r="F723">
        <f t="shared" si="146"/>
        <v>-9.4369170255959034E-9</v>
      </c>
      <c r="G723">
        <f t="shared" si="147"/>
        <v>4.6609784476459026E-8</v>
      </c>
      <c r="L723" s="7">
        <f t="shared" si="141"/>
        <v>4.9720262030229161E-2</v>
      </c>
      <c r="M723" s="7">
        <f t="shared" si="142"/>
        <v>4.9720262030229168E-2</v>
      </c>
      <c r="N723" s="20">
        <f t="shared" si="136"/>
        <v>4.9720262030229168E-2</v>
      </c>
      <c r="O723">
        <f t="shared" si="143"/>
        <v>5.8207660913467407E-10</v>
      </c>
      <c r="P723">
        <f t="shared" si="144"/>
        <v>-3.4924596548080444E-10</v>
      </c>
      <c r="Q723">
        <f t="shared" si="145"/>
        <v>-3.4924596548080444E-10</v>
      </c>
    </row>
    <row r="724" spans="2:17" x14ac:dyDescent="0.25">
      <c r="B724" s="18">
        <f t="shared" si="137"/>
        <v>1.584452641983925E-4</v>
      </c>
      <c r="C724" s="18">
        <f t="shared" si="138"/>
        <v>1.5844526419839253E-4</v>
      </c>
      <c r="D724" s="18">
        <f t="shared" si="139"/>
        <v>1.584452641983925E-4</v>
      </c>
      <c r="E724">
        <f t="shared" si="140"/>
        <v>4.6609784476459026E-8</v>
      </c>
      <c r="F724">
        <f t="shared" si="146"/>
        <v>-9.4369170255959034E-9</v>
      </c>
      <c r="G724">
        <f t="shared" si="147"/>
        <v>4.6609784476459026E-8</v>
      </c>
      <c r="L724" s="7">
        <f t="shared" si="141"/>
        <v>4.9720262030229161E-2</v>
      </c>
      <c r="M724" s="7">
        <f t="shared" si="142"/>
        <v>4.9720262030229168E-2</v>
      </c>
      <c r="N724" s="20">
        <f t="shared" si="136"/>
        <v>4.9720262030229168E-2</v>
      </c>
      <c r="O724">
        <f t="shared" si="143"/>
        <v>5.8207660913467407E-10</v>
      </c>
      <c r="P724">
        <f t="shared" si="144"/>
        <v>-3.4924596548080444E-10</v>
      </c>
      <c r="Q724">
        <f t="shared" si="145"/>
        <v>-3.4924596548080444E-10</v>
      </c>
    </row>
    <row r="725" spans="2:17" x14ac:dyDescent="0.25">
      <c r="B725" s="18">
        <f t="shared" si="137"/>
        <v>1.584452641983925E-4</v>
      </c>
      <c r="C725" s="18">
        <f t="shared" si="138"/>
        <v>1.5844526419839253E-4</v>
      </c>
      <c r="D725" s="18">
        <f t="shared" si="139"/>
        <v>1.584452641983925E-4</v>
      </c>
      <c r="E725">
        <f t="shared" si="140"/>
        <v>4.6609784476459026E-8</v>
      </c>
      <c r="F725">
        <f t="shared" si="146"/>
        <v>-9.4369170255959034E-9</v>
      </c>
      <c r="G725">
        <f t="shared" si="147"/>
        <v>4.6609784476459026E-8</v>
      </c>
      <c r="L725" s="7">
        <f t="shared" si="141"/>
        <v>4.9720262030229161E-2</v>
      </c>
      <c r="M725" s="7">
        <f t="shared" si="142"/>
        <v>4.9720262030229168E-2</v>
      </c>
      <c r="N725" s="20">
        <f t="shared" si="136"/>
        <v>4.9720262030229168E-2</v>
      </c>
      <c r="O725">
        <f t="shared" si="143"/>
        <v>5.8207660913467407E-10</v>
      </c>
      <c r="P725">
        <f t="shared" si="144"/>
        <v>-3.4924596548080444E-10</v>
      </c>
      <c r="Q725">
        <f t="shared" si="145"/>
        <v>-3.4924596548080444E-10</v>
      </c>
    </row>
    <row r="726" spans="2:17" x14ac:dyDescent="0.25">
      <c r="B726" s="18">
        <f t="shared" si="137"/>
        <v>1.584452641983925E-4</v>
      </c>
      <c r="C726" s="18">
        <f t="shared" si="138"/>
        <v>1.5844526419839253E-4</v>
      </c>
      <c r="D726" s="18">
        <f t="shared" si="139"/>
        <v>1.584452641983925E-4</v>
      </c>
      <c r="E726">
        <f t="shared" si="140"/>
        <v>4.6609784476459026E-8</v>
      </c>
      <c r="F726">
        <f t="shared" si="146"/>
        <v>-9.4369170255959034E-9</v>
      </c>
      <c r="G726">
        <f t="shared" si="147"/>
        <v>4.6609784476459026E-8</v>
      </c>
      <c r="L726" s="7">
        <f t="shared" si="141"/>
        <v>4.9720262030229161E-2</v>
      </c>
      <c r="M726" s="7">
        <f t="shared" si="142"/>
        <v>4.9720262030229168E-2</v>
      </c>
      <c r="N726" s="20">
        <f t="shared" si="136"/>
        <v>4.9720262030229168E-2</v>
      </c>
      <c r="O726">
        <f t="shared" si="143"/>
        <v>5.8207660913467407E-10</v>
      </c>
      <c r="P726">
        <f t="shared" si="144"/>
        <v>-3.4924596548080444E-10</v>
      </c>
      <c r="Q726">
        <f t="shared" si="145"/>
        <v>-3.4924596548080444E-10</v>
      </c>
    </row>
    <row r="727" spans="2:17" x14ac:dyDescent="0.25">
      <c r="B727" s="18">
        <f t="shared" si="137"/>
        <v>1.584452641983925E-4</v>
      </c>
      <c r="C727" s="18">
        <f t="shared" si="138"/>
        <v>1.5844526419839253E-4</v>
      </c>
      <c r="D727" s="18">
        <f t="shared" si="139"/>
        <v>1.584452641983925E-4</v>
      </c>
      <c r="E727">
        <f t="shared" si="140"/>
        <v>4.6609784476459026E-8</v>
      </c>
      <c r="F727">
        <f t="shared" si="146"/>
        <v>-9.4369170255959034E-9</v>
      </c>
      <c r="G727">
        <f t="shared" si="147"/>
        <v>4.6609784476459026E-8</v>
      </c>
      <c r="L727" s="7">
        <f t="shared" si="141"/>
        <v>4.9720262030229161E-2</v>
      </c>
      <c r="M727" s="7">
        <f t="shared" si="142"/>
        <v>4.9720262030229168E-2</v>
      </c>
      <c r="N727" s="20">
        <f t="shared" si="136"/>
        <v>4.9720262030229168E-2</v>
      </c>
      <c r="O727">
        <f t="shared" si="143"/>
        <v>5.8207660913467407E-10</v>
      </c>
      <c r="P727">
        <f t="shared" si="144"/>
        <v>-3.4924596548080444E-10</v>
      </c>
      <c r="Q727">
        <f t="shared" si="145"/>
        <v>-3.4924596548080444E-10</v>
      </c>
    </row>
    <row r="728" spans="2:17" x14ac:dyDescent="0.25">
      <c r="B728" s="18">
        <f t="shared" si="137"/>
        <v>1.584452641983925E-4</v>
      </c>
      <c r="C728" s="18">
        <f t="shared" si="138"/>
        <v>1.5844526419839253E-4</v>
      </c>
      <c r="D728" s="18">
        <f t="shared" si="139"/>
        <v>1.584452641983925E-4</v>
      </c>
      <c r="E728">
        <f t="shared" si="140"/>
        <v>4.6609784476459026E-8</v>
      </c>
      <c r="F728">
        <f t="shared" si="146"/>
        <v>-9.4369170255959034E-9</v>
      </c>
      <c r="G728">
        <f t="shared" si="147"/>
        <v>4.6609784476459026E-8</v>
      </c>
      <c r="L728" s="7">
        <f t="shared" si="141"/>
        <v>4.9720262030229161E-2</v>
      </c>
      <c r="M728" s="7">
        <f t="shared" si="142"/>
        <v>4.9720262030229168E-2</v>
      </c>
      <c r="N728" s="20">
        <f t="shared" si="136"/>
        <v>4.9720262030229168E-2</v>
      </c>
      <c r="O728">
        <f t="shared" si="143"/>
        <v>5.8207660913467407E-10</v>
      </c>
      <c r="P728">
        <f t="shared" si="144"/>
        <v>-3.4924596548080444E-10</v>
      </c>
      <c r="Q728">
        <f t="shared" si="145"/>
        <v>-3.4924596548080444E-10</v>
      </c>
    </row>
    <row r="729" spans="2:17" x14ac:dyDescent="0.25">
      <c r="B729" s="18">
        <f t="shared" si="137"/>
        <v>1.584452641983925E-4</v>
      </c>
      <c r="C729" s="18">
        <f t="shared" si="138"/>
        <v>1.5844526419839253E-4</v>
      </c>
      <c r="D729" s="18">
        <f t="shared" si="139"/>
        <v>1.584452641983925E-4</v>
      </c>
      <c r="E729">
        <f t="shared" si="140"/>
        <v>4.6609784476459026E-8</v>
      </c>
      <c r="F729">
        <f t="shared" si="146"/>
        <v>-9.4369170255959034E-9</v>
      </c>
      <c r="G729">
        <f t="shared" si="147"/>
        <v>4.6609784476459026E-8</v>
      </c>
      <c r="L729" s="7">
        <f t="shared" si="141"/>
        <v>4.9720262030229161E-2</v>
      </c>
      <c r="M729" s="7">
        <f t="shared" si="142"/>
        <v>4.9720262030229168E-2</v>
      </c>
      <c r="N729" s="20">
        <f t="shared" ref="N729:N792" si="148">(L729+M729)/2</f>
        <v>4.9720262030229168E-2</v>
      </c>
      <c r="O729">
        <f t="shared" si="143"/>
        <v>5.8207660913467407E-10</v>
      </c>
      <c r="P729">
        <f t="shared" si="144"/>
        <v>-3.4924596548080444E-10</v>
      </c>
      <c r="Q729">
        <f t="shared" si="145"/>
        <v>-3.4924596548080444E-10</v>
      </c>
    </row>
    <row r="730" spans="2:17" x14ac:dyDescent="0.25">
      <c r="B730" s="18">
        <f t="shared" ref="B730:B793" si="149">IF(E729*G729&lt;0,B729,D729)</f>
        <v>1.584452641983925E-4</v>
      </c>
      <c r="C730" s="18">
        <f t="shared" ref="C730:C793" si="150">IF(F729*G729&lt;0,C729,D729)</f>
        <v>1.5844526419839253E-4</v>
      </c>
      <c r="D730" s="18">
        <f t="shared" ref="D730:D793" si="151">(B730+C730)/2</f>
        <v>1.584452641983925E-4</v>
      </c>
      <c r="E730">
        <f t="shared" ref="E730:E793" si="152">IF($G$8 = "Future Value",$C$5-($D$5*(((1+B730)^($F$5*$G$5)-1)/B730)),$H$5-$D$5*((1-(1+B730)^(-1*$F$5*$G$5))/B730))</f>
        <v>4.6609784476459026E-8</v>
      </c>
      <c r="F730">
        <f t="shared" si="146"/>
        <v>-9.4369170255959034E-9</v>
      </c>
      <c r="G730">
        <f t="shared" si="147"/>
        <v>4.6609784476459026E-8</v>
      </c>
      <c r="L730" s="7">
        <f t="shared" ref="L730:L793" si="153">IF(O729*Q729&lt;0,L729,N729)</f>
        <v>4.9720262030229161E-2</v>
      </c>
      <c r="M730" s="7">
        <f t="shared" ref="M730:M793" si="154">IF(P729*Q729&lt;0,M729,N729)</f>
        <v>4.9720262030229168E-2</v>
      </c>
      <c r="N730" s="20">
        <f t="shared" si="148"/>
        <v>4.9720262030229168E-2</v>
      </c>
      <c r="O730">
        <f t="shared" ref="O730:O793" si="155">IF($Q$8 = "Future Value",$M$5-($N$5*(1+L730)*(((1+L730)^($P$5*$Q$5)-1)/L730)),$R$5-$N$5*(1+L730)*((1-(1+L730)^(-1*$P$5*$Q$5))/L730))</f>
        <v>5.8207660913467407E-10</v>
      </c>
      <c r="P730">
        <f t="shared" ref="P730:P793" si="156">IF($Q$8 = "Future Value",$M$5-($N$5*(1+M730)*(((1+M730)^($P$5*$Q$5)-1)/M730)),$R$5-$N$5*(1+M730)*((1-(1+M730)^(-1*$P$5*$Q$5))/M730))</f>
        <v>-3.4924596548080444E-10</v>
      </c>
      <c r="Q730">
        <f t="shared" ref="Q730:Q793" si="157">IF($Q$8 = "Future Value",$M$5-($N$5*(1+N730)*(((1+N730)^($P$5*$Q$5)-1)/N730)),$R$5-$N$5*(1+N730)*((1-(1+N730)^(-1*$P$5*$Q$5))/N730))</f>
        <v>-3.4924596548080444E-10</v>
      </c>
    </row>
    <row r="731" spans="2:17" x14ac:dyDescent="0.25">
      <c r="B731" s="18">
        <f t="shared" si="149"/>
        <v>1.584452641983925E-4</v>
      </c>
      <c r="C731" s="18">
        <f t="shared" si="150"/>
        <v>1.5844526419839253E-4</v>
      </c>
      <c r="D731" s="18">
        <f t="shared" si="151"/>
        <v>1.584452641983925E-4</v>
      </c>
      <c r="E731">
        <f t="shared" si="152"/>
        <v>4.6609784476459026E-8</v>
      </c>
      <c r="F731">
        <f t="shared" ref="F731:F794" si="158">IF($G$8 = "Future Value",$C$5-($D$5*(((1+C731)^($F$5*$G$5)-1)/C731)),$H$5-$D$5*((1-(1+C731)^(-1*$F$5*$G$5))/C731))</f>
        <v>-9.4369170255959034E-9</v>
      </c>
      <c r="G731">
        <f t="shared" ref="G731:G794" si="159">IF($G$8 = "Future Value",$C$5-($D$5*(((1+D731)^($F$5*$G$5)-1)/D731)),$H$5-$D$5*((1-(1+D731)^(-1*$F$5*$G$5))/D731))</f>
        <v>4.6609784476459026E-8</v>
      </c>
      <c r="L731" s="7">
        <f t="shared" si="153"/>
        <v>4.9720262030229161E-2</v>
      </c>
      <c r="M731" s="7">
        <f t="shared" si="154"/>
        <v>4.9720262030229168E-2</v>
      </c>
      <c r="N731" s="20">
        <f t="shared" si="148"/>
        <v>4.9720262030229168E-2</v>
      </c>
      <c r="O731">
        <f t="shared" si="155"/>
        <v>5.8207660913467407E-10</v>
      </c>
      <c r="P731">
        <f t="shared" si="156"/>
        <v>-3.4924596548080444E-10</v>
      </c>
      <c r="Q731">
        <f t="shared" si="157"/>
        <v>-3.4924596548080444E-10</v>
      </c>
    </row>
    <row r="732" spans="2:17" x14ac:dyDescent="0.25">
      <c r="B732" s="18">
        <f t="shared" si="149"/>
        <v>1.584452641983925E-4</v>
      </c>
      <c r="C732" s="18">
        <f t="shared" si="150"/>
        <v>1.5844526419839253E-4</v>
      </c>
      <c r="D732" s="18">
        <f t="shared" si="151"/>
        <v>1.584452641983925E-4</v>
      </c>
      <c r="E732">
        <f t="shared" si="152"/>
        <v>4.6609784476459026E-8</v>
      </c>
      <c r="F732">
        <f t="shared" si="158"/>
        <v>-9.4369170255959034E-9</v>
      </c>
      <c r="G732">
        <f t="shared" si="159"/>
        <v>4.6609784476459026E-8</v>
      </c>
      <c r="L732" s="7">
        <f t="shared" si="153"/>
        <v>4.9720262030229161E-2</v>
      </c>
      <c r="M732" s="7">
        <f t="shared" si="154"/>
        <v>4.9720262030229168E-2</v>
      </c>
      <c r="N732" s="20">
        <f t="shared" si="148"/>
        <v>4.9720262030229168E-2</v>
      </c>
      <c r="O732">
        <f t="shared" si="155"/>
        <v>5.8207660913467407E-10</v>
      </c>
      <c r="P732">
        <f t="shared" si="156"/>
        <v>-3.4924596548080444E-10</v>
      </c>
      <c r="Q732">
        <f t="shared" si="157"/>
        <v>-3.4924596548080444E-10</v>
      </c>
    </row>
    <row r="733" spans="2:17" x14ac:dyDescent="0.25">
      <c r="B733" s="18">
        <f t="shared" si="149"/>
        <v>1.584452641983925E-4</v>
      </c>
      <c r="C733" s="18">
        <f t="shared" si="150"/>
        <v>1.5844526419839253E-4</v>
      </c>
      <c r="D733" s="18">
        <f t="shared" si="151"/>
        <v>1.584452641983925E-4</v>
      </c>
      <c r="E733">
        <f t="shared" si="152"/>
        <v>4.6609784476459026E-8</v>
      </c>
      <c r="F733">
        <f t="shared" si="158"/>
        <v>-9.4369170255959034E-9</v>
      </c>
      <c r="G733">
        <f t="shared" si="159"/>
        <v>4.6609784476459026E-8</v>
      </c>
      <c r="L733" s="7">
        <f t="shared" si="153"/>
        <v>4.9720262030229161E-2</v>
      </c>
      <c r="M733" s="7">
        <f t="shared" si="154"/>
        <v>4.9720262030229168E-2</v>
      </c>
      <c r="N733" s="20">
        <f t="shared" si="148"/>
        <v>4.9720262030229168E-2</v>
      </c>
      <c r="O733">
        <f t="shared" si="155"/>
        <v>5.8207660913467407E-10</v>
      </c>
      <c r="P733">
        <f t="shared" si="156"/>
        <v>-3.4924596548080444E-10</v>
      </c>
      <c r="Q733">
        <f t="shared" si="157"/>
        <v>-3.4924596548080444E-10</v>
      </c>
    </row>
    <row r="734" spans="2:17" x14ac:dyDescent="0.25">
      <c r="B734" s="18">
        <f t="shared" si="149"/>
        <v>1.584452641983925E-4</v>
      </c>
      <c r="C734" s="18">
        <f t="shared" si="150"/>
        <v>1.5844526419839253E-4</v>
      </c>
      <c r="D734" s="18">
        <f t="shared" si="151"/>
        <v>1.584452641983925E-4</v>
      </c>
      <c r="E734">
        <f t="shared" si="152"/>
        <v>4.6609784476459026E-8</v>
      </c>
      <c r="F734">
        <f t="shared" si="158"/>
        <v>-9.4369170255959034E-9</v>
      </c>
      <c r="G734">
        <f t="shared" si="159"/>
        <v>4.6609784476459026E-8</v>
      </c>
      <c r="L734" s="7">
        <f t="shared" si="153"/>
        <v>4.9720262030229161E-2</v>
      </c>
      <c r="M734" s="7">
        <f t="shared" si="154"/>
        <v>4.9720262030229168E-2</v>
      </c>
      <c r="N734" s="20">
        <f t="shared" si="148"/>
        <v>4.9720262030229168E-2</v>
      </c>
      <c r="O734">
        <f t="shared" si="155"/>
        <v>5.8207660913467407E-10</v>
      </c>
      <c r="P734">
        <f t="shared" si="156"/>
        <v>-3.4924596548080444E-10</v>
      </c>
      <c r="Q734">
        <f t="shared" si="157"/>
        <v>-3.4924596548080444E-10</v>
      </c>
    </row>
    <row r="735" spans="2:17" x14ac:dyDescent="0.25">
      <c r="B735" s="18">
        <f t="shared" si="149"/>
        <v>1.584452641983925E-4</v>
      </c>
      <c r="C735" s="18">
        <f t="shared" si="150"/>
        <v>1.5844526419839253E-4</v>
      </c>
      <c r="D735" s="18">
        <f t="shared" si="151"/>
        <v>1.584452641983925E-4</v>
      </c>
      <c r="E735">
        <f t="shared" si="152"/>
        <v>4.6609784476459026E-8</v>
      </c>
      <c r="F735">
        <f t="shared" si="158"/>
        <v>-9.4369170255959034E-9</v>
      </c>
      <c r="G735">
        <f t="shared" si="159"/>
        <v>4.6609784476459026E-8</v>
      </c>
      <c r="L735" s="7">
        <f t="shared" si="153"/>
        <v>4.9720262030229161E-2</v>
      </c>
      <c r="M735" s="7">
        <f t="shared" si="154"/>
        <v>4.9720262030229168E-2</v>
      </c>
      <c r="N735" s="20">
        <f t="shared" si="148"/>
        <v>4.9720262030229168E-2</v>
      </c>
      <c r="O735">
        <f t="shared" si="155"/>
        <v>5.8207660913467407E-10</v>
      </c>
      <c r="P735">
        <f t="shared" si="156"/>
        <v>-3.4924596548080444E-10</v>
      </c>
      <c r="Q735">
        <f t="shared" si="157"/>
        <v>-3.4924596548080444E-10</v>
      </c>
    </row>
    <row r="736" spans="2:17" x14ac:dyDescent="0.25">
      <c r="B736" s="18">
        <f t="shared" si="149"/>
        <v>1.584452641983925E-4</v>
      </c>
      <c r="C736" s="18">
        <f t="shared" si="150"/>
        <v>1.5844526419839253E-4</v>
      </c>
      <c r="D736" s="18">
        <f t="shared" si="151"/>
        <v>1.584452641983925E-4</v>
      </c>
      <c r="E736">
        <f t="shared" si="152"/>
        <v>4.6609784476459026E-8</v>
      </c>
      <c r="F736">
        <f t="shared" si="158"/>
        <v>-9.4369170255959034E-9</v>
      </c>
      <c r="G736">
        <f t="shared" si="159"/>
        <v>4.6609784476459026E-8</v>
      </c>
      <c r="L736" s="7">
        <f t="shared" si="153"/>
        <v>4.9720262030229161E-2</v>
      </c>
      <c r="M736" s="7">
        <f t="shared" si="154"/>
        <v>4.9720262030229168E-2</v>
      </c>
      <c r="N736" s="20">
        <f t="shared" si="148"/>
        <v>4.9720262030229168E-2</v>
      </c>
      <c r="O736">
        <f t="shared" si="155"/>
        <v>5.8207660913467407E-10</v>
      </c>
      <c r="P736">
        <f t="shared" si="156"/>
        <v>-3.4924596548080444E-10</v>
      </c>
      <c r="Q736">
        <f t="shared" si="157"/>
        <v>-3.4924596548080444E-10</v>
      </c>
    </row>
    <row r="737" spans="2:17" x14ac:dyDescent="0.25">
      <c r="B737" s="18">
        <f t="shared" si="149"/>
        <v>1.584452641983925E-4</v>
      </c>
      <c r="C737" s="18">
        <f t="shared" si="150"/>
        <v>1.5844526419839253E-4</v>
      </c>
      <c r="D737" s="18">
        <f t="shared" si="151"/>
        <v>1.584452641983925E-4</v>
      </c>
      <c r="E737">
        <f t="shared" si="152"/>
        <v>4.6609784476459026E-8</v>
      </c>
      <c r="F737">
        <f t="shared" si="158"/>
        <v>-9.4369170255959034E-9</v>
      </c>
      <c r="G737">
        <f t="shared" si="159"/>
        <v>4.6609784476459026E-8</v>
      </c>
      <c r="L737" s="7">
        <f t="shared" si="153"/>
        <v>4.9720262030229161E-2</v>
      </c>
      <c r="M737" s="7">
        <f t="shared" si="154"/>
        <v>4.9720262030229168E-2</v>
      </c>
      <c r="N737" s="20">
        <f t="shared" si="148"/>
        <v>4.9720262030229168E-2</v>
      </c>
      <c r="O737">
        <f t="shared" si="155"/>
        <v>5.8207660913467407E-10</v>
      </c>
      <c r="P737">
        <f t="shared" si="156"/>
        <v>-3.4924596548080444E-10</v>
      </c>
      <c r="Q737">
        <f t="shared" si="157"/>
        <v>-3.4924596548080444E-10</v>
      </c>
    </row>
    <row r="738" spans="2:17" x14ac:dyDescent="0.25">
      <c r="B738" s="18">
        <f t="shared" si="149"/>
        <v>1.584452641983925E-4</v>
      </c>
      <c r="C738" s="18">
        <f t="shared" si="150"/>
        <v>1.5844526419839253E-4</v>
      </c>
      <c r="D738" s="18">
        <f t="shared" si="151"/>
        <v>1.584452641983925E-4</v>
      </c>
      <c r="E738">
        <f t="shared" si="152"/>
        <v>4.6609784476459026E-8</v>
      </c>
      <c r="F738">
        <f t="shared" si="158"/>
        <v>-9.4369170255959034E-9</v>
      </c>
      <c r="G738">
        <f t="shared" si="159"/>
        <v>4.6609784476459026E-8</v>
      </c>
      <c r="L738" s="7">
        <f t="shared" si="153"/>
        <v>4.9720262030229161E-2</v>
      </c>
      <c r="M738" s="7">
        <f t="shared" si="154"/>
        <v>4.9720262030229168E-2</v>
      </c>
      <c r="N738" s="20">
        <f t="shared" si="148"/>
        <v>4.9720262030229168E-2</v>
      </c>
      <c r="O738">
        <f t="shared" si="155"/>
        <v>5.8207660913467407E-10</v>
      </c>
      <c r="P738">
        <f t="shared" si="156"/>
        <v>-3.4924596548080444E-10</v>
      </c>
      <c r="Q738">
        <f t="shared" si="157"/>
        <v>-3.4924596548080444E-10</v>
      </c>
    </row>
    <row r="739" spans="2:17" x14ac:dyDescent="0.25">
      <c r="B739" s="18">
        <f t="shared" si="149"/>
        <v>1.584452641983925E-4</v>
      </c>
      <c r="C739" s="18">
        <f t="shared" si="150"/>
        <v>1.5844526419839253E-4</v>
      </c>
      <c r="D739" s="18">
        <f t="shared" si="151"/>
        <v>1.584452641983925E-4</v>
      </c>
      <c r="E739">
        <f t="shared" si="152"/>
        <v>4.6609784476459026E-8</v>
      </c>
      <c r="F739">
        <f t="shared" si="158"/>
        <v>-9.4369170255959034E-9</v>
      </c>
      <c r="G739">
        <f t="shared" si="159"/>
        <v>4.6609784476459026E-8</v>
      </c>
      <c r="L739" s="7">
        <f t="shared" si="153"/>
        <v>4.9720262030229161E-2</v>
      </c>
      <c r="M739" s="7">
        <f t="shared" si="154"/>
        <v>4.9720262030229168E-2</v>
      </c>
      <c r="N739" s="20">
        <f t="shared" si="148"/>
        <v>4.9720262030229168E-2</v>
      </c>
      <c r="O739">
        <f t="shared" si="155"/>
        <v>5.8207660913467407E-10</v>
      </c>
      <c r="P739">
        <f t="shared" si="156"/>
        <v>-3.4924596548080444E-10</v>
      </c>
      <c r="Q739">
        <f t="shared" si="157"/>
        <v>-3.4924596548080444E-10</v>
      </c>
    </row>
    <row r="740" spans="2:17" x14ac:dyDescent="0.25">
      <c r="B740" s="18">
        <f t="shared" si="149"/>
        <v>1.584452641983925E-4</v>
      </c>
      <c r="C740" s="18">
        <f t="shared" si="150"/>
        <v>1.5844526419839253E-4</v>
      </c>
      <c r="D740" s="18">
        <f t="shared" si="151"/>
        <v>1.584452641983925E-4</v>
      </c>
      <c r="E740">
        <f t="shared" si="152"/>
        <v>4.6609784476459026E-8</v>
      </c>
      <c r="F740">
        <f t="shared" si="158"/>
        <v>-9.4369170255959034E-9</v>
      </c>
      <c r="G740">
        <f t="shared" si="159"/>
        <v>4.6609784476459026E-8</v>
      </c>
      <c r="L740" s="7">
        <f t="shared" si="153"/>
        <v>4.9720262030229161E-2</v>
      </c>
      <c r="M740" s="7">
        <f t="shared" si="154"/>
        <v>4.9720262030229168E-2</v>
      </c>
      <c r="N740" s="20">
        <f t="shared" si="148"/>
        <v>4.9720262030229168E-2</v>
      </c>
      <c r="O740">
        <f t="shared" si="155"/>
        <v>5.8207660913467407E-10</v>
      </c>
      <c r="P740">
        <f t="shared" si="156"/>
        <v>-3.4924596548080444E-10</v>
      </c>
      <c r="Q740">
        <f t="shared" si="157"/>
        <v>-3.4924596548080444E-10</v>
      </c>
    </row>
    <row r="741" spans="2:17" x14ac:dyDescent="0.25">
      <c r="B741" s="18">
        <f t="shared" si="149"/>
        <v>1.584452641983925E-4</v>
      </c>
      <c r="C741" s="18">
        <f t="shared" si="150"/>
        <v>1.5844526419839253E-4</v>
      </c>
      <c r="D741" s="18">
        <f t="shared" si="151"/>
        <v>1.584452641983925E-4</v>
      </c>
      <c r="E741">
        <f t="shared" si="152"/>
        <v>4.6609784476459026E-8</v>
      </c>
      <c r="F741">
        <f t="shared" si="158"/>
        <v>-9.4369170255959034E-9</v>
      </c>
      <c r="G741">
        <f t="shared" si="159"/>
        <v>4.6609784476459026E-8</v>
      </c>
      <c r="L741" s="7">
        <f t="shared" si="153"/>
        <v>4.9720262030229161E-2</v>
      </c>
      <c r="M741" s="7">
        <f t="shared" si="154"/>
        <v>4.9720262030229168E-2</v>
      </c>
      <c r="N741" s="20">
        <f t="shared" si="148"/>
        <v>4.9720262030229168E-2</v>
      </c>
      <c r="O741">
        <f t="shared" si="155"/>
        <v>5.8207660913467407E-10</v>
      </c>
      <c r="P741">
        <f t="shared" si="156"/>
        <v>-3.4924596548080444E-10</v>
      </c>
      <c r="Q741">
        <f t="shared" si="157"/>
        <v>-3.4924596548080444E-10</v>
      </c>
    </row>
    <row r="742" spans="2:17" x14ac:dyDescent="0.25">
      <c r="B742" s="18">
        <f t="shared" si="149"/>
        <v>1.584452641983925E-4</v>
      </c>
      <c r="C742" s="18">
        <f t="shared" si="150"/>
        <v>1.5844526419839253E-4</v>
      </c>
      <c r="D742" s="18">
        <f t="shared" si="151"/>
        <v>1.584452641983925E-4</v>
      </c>
      <c r="E742">
        <f t="shared" si="152"/>
        <v>4.6609784476459026E-8</v>
      </c>
      <c r="F742">
        <f t="shared" si="158"/>
        <v>-9.4369170255959034E-9</v>
      </c>
      <c r="G742">
        <f t="shared" si="159"/>
        <v>4.6609784476459026E-8</v>
      </c>
      <c r="L742" s="7">
        <f t="shared" si="153"/>
        <v>4.9720262030229161E-2</v>
      </c>
      <c r="M742" s="7">
        <f t="shared" si="154"/>
        <v>4.9720262030229168E-2</v>
      </c>
      <c r="N742" s="20">
        <f t="shared" si="148"/>
        <v>4.9720262030229168E-2</v>
      </c>
      <c r="O742">
        <f t="shared" si="155"/>
        <v>5.8207660913467407E-10</v>
      </c>
      <c r="P742">
        <f t="shared" si="156"/>
        <v>-3.4924596548080444E-10</v>
      </c>
      <c r="Q742">
        <f t="shared" si="157"/>
        <v>-3.4924596548080444E-10</v>
      </c>
    </row>
    <row r="743" spans="2:17" x14ac:dyDescent="0.25">
      <c r="B743" s="18">
        <f t="shared" si="149"/>
        <v>1.584452641983925E-4</v>
      </c>
      <c r="C743" s="18">
        <f t="shared" si="150"/>
        <v>1.5844526419839253E-4</v>
      </c>
      <c r="D743" s="18">
        <f t="shared" si="151"/>
        <v>1.584452641983925E-4</v>
      </c>
      <c r="E743">
        <f t="shared" si="152"/>
        <v>4.6609784476459026E-8</v>
      </c>
      <c r="F743">
        <f t="shared" si="158"/>
        <v>-9.4369170255959034E-9</v>
      </c>
      <c r="G743">
        <f t="shared" si="159"/>
        <v>4.6609784476459026E-8</v>
      </c>
      <c r="L743" s="7">
        <f t="shared" si="153"/>
        <v>4.9720262030229161E-2</v>
      </c>
      <c r="M743" s="7">
        <f t="shared" si="154"/>
        <v>4.9720262030229168E-2</v>
      </c>
      <c r="N743" s="20">
        <f t="shared" si="148"/>
        <v>4.9720262030229168E-2</v>
      </c>
      <c r="O743">
        <f t="shared" si="155"/>
        <v>5.8207660913467407E-10</v>
      </c>
      <c r="P743">
        <f t="shared" si="156"/>
        <v>-3.4924596548080444E-10</v>
      </c>
      <c r="Q743">
        <f t="shared" si="157"/>
        <v>-3.4924596548080444E-10</v>
      </c>
    </row>
    <row r="744" spans="2:17" x14ac:dyDescent="0.25">
      <c r="B744" s="18">
        <f t="shared" si="149"/>
        <v>1.584452641983925E-4</v>
      </c>
      <c r="C744" s="18">
        <f t="shared" si="150"/>
        <v>1.5844526419839253E-4</v>
      </c>
      <c r="D744" s="18">
        <f t="shared" si="151"/>
        <v>1.584452641983925E-4</v>
      </c>
      <c r="E744">
        <f t="shared" si="152"/>
        <v>4.6609784476459026E-8</v>
      </c>
      <c r="F744">
        <f t="shared" si="158"/>
        <v>-9.4369170255959034E-9</v>
      </c>
      <c r="G744">
        <f t="shared" si="159"/>
        <v>4.6609784476459026E-8</v>
      </c>
      <c r="L744" s="7">
        <f t="shared" si="153"/>
        <v>4.9720262030229161E-2</v>
      </c>
      <c r="M744" s="7">
        <f t="shared" si="154"/>
        <v>4.9720262030229168E-2</v>
      </c>
      <c r="N744" s="20">
        <f t="shared" si="148"/>
        <v>4.9720262030229168E-2</v>
      </c>
      <c r="O744">
        <f t="shared" si="155"/>
        <v>5.8207660913467407E-10</v>
      </c>
      <c r="P744">
        <f t="shared" si="156"/>
        <v>-3.4924596548080444E-10</v>
      </c>
      <c r="Q744">
        <f t="shared" si="157"/>
        <v>-3.4924596548080444E-10</v>
      </c>
    </row>
    <row r="745" spans="2:17" x14ac:dyDescent="0.25">
      <c r="B745" s="18">
        <f t="shared" si="149"/>
        <v>1.584452641983925E-4</v>
      </c>
      <c r="C745" s="18">
        <f t="shared" si="150"/>
        <v>1.5844526419839253E-4</v>
      </c>
      <c r="D745" s="18">
        <f t="shared" si="151"/>
        <v>1.584452641983925E-4</v>
      </c>
      <c r="E745">
        <f t="shared" si="152"/>
        <v>4.6609784476459026E-8</v>
      </c>
      <c r="F745">
        <f t="shared" si="158"/>
        <v>-9.4369170255959034E-9</v>
      </c>
      <c r="G745">
        <f t="shared" si="159"/>
        <v>4.6609784476459026E-8</v>
      </c>
      <c r="L745" s="7">
        <f t="shared" si="153"/>
        <v>4.9720262030229161E-2</v>
      </c>
      <c r="M745" s="7">
        <f t="shared" si="154"/>
        <v>4.9720262030229168E-2</v>
      </c>
      <c r="N745" s="20">
        <f t="shared" si="148"/>
        <v>4.9720262030229168E-2</v>
      </c>
      <c r="O745">
        <f t="shared" si="155"/>
        <v>5.8207660913467407E-10</v>
      </c>
      <c r="P745">
        <f t="shared" si="156"/>
        <v>-3.4924596548080444E-10</v>
      </c>
      <c r="Q745">
        <f t="shared" si="157"/>
        <v>-3.4924596548080444E-10</v>
      </c>
    </row>
    <row r="746" spans="2:17" x14ac:dyDescent="0.25">
      <c r="B746" s="18">
        <f t="shared" si="149"/>
        <v>1.584452641983925E-4</v>
      </c>
      <c r="C746" s="18">
        <f t="shared" si="150"/>
        <v>1.5844526419839253E-4</v>
      </c>
      <c r="D746" s="18">
        <f t="shared" si="151"/>
        <v>1.584452641983925E-4</v>
      </c>
      <c r="E746">
        <f t="shared" si="152"/>
        <v>4.6609784476459026E-8</v>
      </c>
      <c r="F746">
        <f t="shared" si="158"/>
        <v>-9.4369170255959034E-9</v>
      </c>
      <c r="G746">
        <f t="shared" si="159"/>
        <v>4.6609784476459026E-8</v>
      </c>
      <c r="L746" s="7">
        <f t="shared" si="153"/>
        <v>4.9720262030229161E-2</v>
      </c>
      <c r="M746" s="7">
        <f t="shared" si="154"/>
        <v>4.9720262030229168E-2</v>
      </c>
      <c r="N746" s="20">
        <f t="shared" si="148"/>
        <v>4.9720262030229168E-2</v>
      </c>
      <c r="O746">
        <f t="shared" si="155"/>
        <v>5.8207660913467407E-10</v>
      </c>
      <c r="P746">
        <f t="shared" si="156"/>
        <v>-3.4924596548080444E-10</v>
      </c>
      <c r="Q746">
        <f t="shared" si="157"/>
        <v>-3.4924596548080444E-10</v>
      </c>
    </row>
    <row r="747" spans="2:17" x14ac:dyDescent="0.25">
      <c r="B747" s="18">
        <f t="shared" si="149"/>
        <v>1.584452641983925E-4</v>
      </c>
      <c r="C747" s="18">
        <f t="shared" si="150"/>
        <v>1.5844526419839253E-4</v>
      </c>
      <c r="D747" s="18">
        <f t="shared" si="151"/>
        <v>1.584452641983925E-4</v>
      </c>
      <c r="E747">
        <f t="shared" si="152"/>
        <v>4.6609784476459026E-8</v>
      </c>
      <c r="F747">
        <f t="shared" si="158"/>
        <v>-9.4369170255959034E-9</v>
      </c>
      <c r="G747">
        <f t="shared" si="159"/>
        <v>4.6609784476459026E-8</v>
      </c>
      <c r="L747" s="7">
        <f t="shared" si="153"/>
        <v>4.9720262030229161E-2</v>
      </c>
      <c r="M747" s="7">
        <f t="shared" si="154"/>
        <v>4.9720262030229168E-2</v>
      </c>
      <c r="N747" s="20">
        <f t="shared" si="148"/>
        <v>4.9720262030229168E-2</v>
      </c>
      <c r="O747">
        <f t="shared" si="155"/>
        <v>5.8207660913467407E-10</v>
      </c>
      <c r="P747">
        <f t="shared" si="156"/>
        <v>-3.4924596548080444E-10</v>
      </c>
      <c r="Q747">
        <f t="shared" si="157"/>
        <v>-3.4924596548080444E-10</v>
      </c>
    </row>
    <row r="748" spans="2:17" x14ac:dyDescent="0.25">
      <c r="B748" s="18">
        <f t="shared" si="149"/>
        <v>1.584452641983925E-4</v>
      </c>
      <c r="C748" s="18">
        <f t="shared" si="150"/>
        <v>1.5844526419839253E-4</v>
      </c>
      <c r="D748" s="18">
        <f t="shared" si="151"/>
        <v>1.584452641983925E-4</v>
      </c>
      <c r="E748">
        <f t="shared" si="152"/>
        <v>4.6609784476459026E-8</v>
      </c>
      <c r="F748">
        <f t="shared" si="158"/>
        <v>-9.4369170255959034E-9</v>
      </c>
      <c r="G748">
        <f t="shared" si="159"/>
        <v>4.6609784476459026E-8</v>
      </c>
      <c r="L748" s="7">
        <f t="shared" si="153"/>
        <v>4.9720262030229161E-2</v>
      </c>
      <c r="M748" s="7">
        <f t="shared" si="154"/>
        <v>4.9720262030229168E-2</v>
      </c>
      <c r="N748" s="20">
        <f t="shared" si="148"/>
        <v>4.9720262030229168E-2</v>
      </c>
      <c r="O748">
        <f t="shared" si="155"/>
        <v>5.8207660913467407E-10</v>
      </c>
      <c r="P748">
        <f t="shared" si="156"/>
        <v>-3.4924596548080444E-10</v>
      </c>
      <c r="Q748">
        <f t="shared" si="157"/>
        <v>-3.4924596548080444E-10</v>
      </c>
    </row>
    <row r="749" spans="2:17" x14ac:dyDescent="0.25">
      <c r="B749" s="18">
        <f t="shared" si="149"/>
        <v>1.584452641983925E-4</v>
      </c>
      <c r="C749" s="18">
        <f t="shared" si="150"/>
        <v>1.5844526419839253E-4</v>
      </c>
      <c r="D749" s="18">
        <f t="shared" si="151"/>
        <v>1.584452641983925E-4</v>
      </c>
      <c r="E749">
        <f t="shared" si="152"/>
        <v>4.6609784476459026E-8</v>
      </c>
      <c r="F749">
        <f t="shared" si="158"/>
        <v>-9.4369170255959034E-9</v>
      </c>
      <c r="G749">
        <f t="shared" si="159"/>
        <v>4.6609784476459026E-8</v>
      </c>
      <c r="L749" s="7">
        <f t="shared" si="153"/>
        <v>4.9720262030229161E-2</v>
      </c>
      <c r="M749" s="7">
        <f t="shared" si="154"/>
        <v>4.9720262030229168E-2</v>
      </c>
      <c r="N749" s="20">
        <f t="shared" si="148"/>
        <v>4.9720262030229168E-2</v>
      </c>
      <c r="O749">
        <f t="shared" si="155"/>
        <v>5.8207660913467407E-10</v>
      </c>
      <c r="P749">
        <f t="shared" si="156"/>
        <v>-3.4924596548080444E-10</v>
      </c>
      <c r="Q749">
        <f t="shared" si="157"/>
        <v>-3.4924596548080444E-10</v>
      </c>
    </row>
    <row r="750" spans="2:17" x14ac:dyDescent="0.25">
      <c r="B750" s="18">
        <f t="shared" si="149"/>
        <v>1.584452641983925E-4</v>
      </c>
      <c r="C750" s="18">
        <f t="shared" si="150"/>
        <v>1.5844526419839253E-4</v>
      </c>
      <c r="D750" s="18">
        <f t="shared" si="151"/>
        <v>1.584452641983925E-4</v>
      </c>
      <c r="E750">
        <f t="shared" si="152"/>
        <v>4.6609784476459026E-8</v>
      </c>
      <c r="F750">
        <f t="shared" si="158"/>
        <v>-9.4369170255959034E-9</v>
      </c>
      <c r="G750">
        <f t="shared" si="159"/>
        <v>4.6609784476459026E-8</v>
      </c>
      <c r="L750" s="7">
        <f t="shared" si="153"/>
        <v>4.9720262030229161E-2</v>
      </c>
      <c r="M750" s="7">
        <f t="shared" si="154"/>
        <v>4.9720262030229168E-2</v>
      </c>
      <c r="N750" s="20">
        <f t="shared" si="148"/>
        <v>4.9720262030229168E-2</v>
      </c>
      <c r="O750">
        <f t="shared" si="155"/>
        <v>5.8207660913467407E-10</v>
      </c>
      <c r="P750">
        <f t="shared" si="156"/>
        <v>-3.4924596548080444E-10</v>
      </c>
      <c r="Q750">
        <f t="shared" si="157"/>
        <v>-3.4924596548080444E-10</v>
      </c>
    </row>
    <row r="751" spans="2:17" x14ac:dyDescent="0.25">
      <c r="B751" s="18">
        <f t="shared" si="149"/>
        <v>1.584452641983925E-4</v>
      </c>
      <c r="C751" s="18">
        <f t="shared" si="150"/>
        <v>1.5844526419839253E-4</v>
      </c>
      <c r="D751" s="18">
        <f t="shared" si="151"/>
        <v>1.584452641983925E-4</v>
      </c>
      <c r="E751">
        <f t="shared" si="152"/>
        <v>4.6609784476459026E-8</v>
      </c>
      <c r="F751">
        <f t="shared" si="158"/>
        <v>-9.4369170255959034E-9</v>
      </c>
      <c r="G751">
        <f t="shared" si="159"/>
        <v>4.6609784476459026E-8</v>
      </c>
      <c r="L751" s="7">
        <f t="shared" si="153"/>
        <v>4.9720262030229161E-2</v>
      </c>
      <c r="M751" s="7">
        <f t="shared" si="154"/>
        <v>4.9720262030229168E-2</v>
      </c>
      <c r="N751" s="20">
        <f t="shared" si="148"/>
        <v>4.9720262030229168E-2</v>
      </c>
      <c r="O751">
        <f t="shared" si="155"/>
        <v>5.8207660913467407E-10</v>
      </c>
      <c r="P751">
        <f t="shared" si="156"/>
        <v>-3.4924596548080444E-10</v>
      </c>
      <c r="Q751">
        <f t="shared" si="157"/>
        <v>-3.4924596548080444E-10</v>
      </c>
    </row>
    <row r="752" spans="2:17" x14ac:dyDescent="0.25">
      <c r="B752" s="18">
        <f t="shared" si="149"/>
        <v>1.584452641983925E-4</v>
      </c>
      <c r="C752" s="18">
        <f t="shared" si="150"/>
        <v>1.5844526419839253E-4</v>
      </c>
      <c r="D752" s="18">
        <f t="shared" si="151"/>
        <v>1.584452641983925E-4</v>
      </c>
      <c r="E752">
        <f t="shared" si="152"/>
        <v>4.6609784476459026E-8</v>
      </c>
      <c r="F752">
        <f t="shared" si="158"/>
        <v>-9.4369170255959034E-9</v>
      </c>
      <c r="G752">
        <f t="shared" si="159"/>
        <v>4.6609784476459026E-8</v>
      </c>
      <c r="L752" s="7">
        <f t="shared" si="153"/>
        <v>4.9720262030229161E-2</v>
      </c>
      <c r="M752" s="7">
        <f t="shared" si="154"/>
        <v>4.9720262030229168E-2</v>
      </c>
      <c r="N752" s="20">
        <f t="shared" si="148"/>
        <v>4.9720262030229168E-2</v>
      </c>
      <c r="O752">
        <f t="shared" si="155"/>
        <v>5.8207660913467407E-10</v>
      </c>
      <c r="P752">
        <f t="shared" si="156"/>
        <v>-3.4924596548080444E-10</v>
      </c>
      <c r="Q752">
        <f t="shared" si="157"/>
        <v>-3.4924596548080444E-10</v>
      </c>
    </row>
    <row r="753" spans="2:17" x14ac:dyDescent="0.25">
      <c r="B753" s="18">
        <f t="shared" si="149"/>
        <v>1.584452641983925E-4</v>
      </c>
      <c r="C753" s="18">
        <f t="shared" si="150"/>
        <v>1.5844526419839253E-4</v>
      </c>
      <c r="D753" s="18">
        <f t="shared" si="151"/>
        <v>1.584452641983925E-4</v>
      </c>
      <c r="E753">
        <f t="shared" si="152"/>
        <v>4.6609784476459026E-8</v>
      </c>
      <c r="F753">
        <f t="shared" si="158"/>
        <v>-9.4369170255959034E-9</v>
      </c>
      <c r="G753">
        <f t="shared" si="159"/>
        <v>4.6609784476459026E-8</v>
      </c>
      <c r="L753" s="7">
        <f t="shared" si="153"/>
        <v>4.9720262030229161E-2</v>
      </c>
      <c r="M753" s="7">
        <f t="shared" si="154"/>
        <v>4.9720262030229168E-2</v>
      </c>
      <c r="N753" s="20">
        <f t="shared" si="148"/>
        <v>4.9720262030229168E-2</v>
      </c>
      <c r="O753">
        <f t="shared" si="155"/>
        <v>5.8207660913467407E-10</v>
      </c>
      <c r="P753">
        <f t="shared" si="156"/>
        <v>-3.4924596548080444E-10</v>
      </c>
      <c r="Q753">
        <f t="shared" si="157"/>
        <v>-3.4924596548080444E-10</v>
      </c>
    </row>
    <row r="754" spans="2:17" x14ac:dyDescent="0.25">
      <c r="B754" s="18">
        <f t="shared" si="149"/>
        <v>1.584452641983925E-4</v>
      </c>
      <c r="C754" s="18">
        <f t="shared" si="150"/>
        <v>1.5844526419839253E-4</v>
      </c>
      <c r="D754" s="18">
        <f t="shared" si="151"/>
        <v>1.584452641983925E-4</v>
      </c>
      <c r="E754">
        <f t="shared" si="152"/>
        <v>4.6609784476459026E-8</v>
      </c>
      <c r="F754">
        <f t="shared" si="158"/>
        <v>-9.4369170255959034E-9</v>
      </c>
      <c r="G754">
        <f t="shared" si="159"/>
        <v>4.6609784476459026E-8</v>
      </c>
      <c r="L754" s="7">
        <f t="shared" si="153"/>
        <v>4.9720262030229161E-2</v>
      </c>
      <c r="M754" s="7">
        <f t="shared" si="154"/>
        <v>4.9720262030229168E-2</v>
      </c>
      <c r="N754" s="20">
        <f t="shared" si="148"/>
        <v>4.9720262030229168E-2</v>
      </c>
      <c r="O754">
        <f t="shared" si="155"/>
        <v>5.8207660913467407E-10</v>
      </c>
      <c r="P754">
        <f t="shared" si="156"/>
        <v>-3.4924596548080444E-10</v>
      </c>
      <c r="Q754">
        <f t="shared" si="157"/>
        <v>-3.4924596548080444E-10</v>
      </c>
    </row>
    <row r="755" spans="2:17" x14ac:dyDescent="0.25">
      <c r="B755" s="18">
        <f t="shared" si="149"/>
        <v>1.584452641983925E-4</v>
      </c>
      <c r="C755" s="18">
        <f t="shared" si="150"/>
        <v>1.5844526419839253E-4</v>
      </c>
      <c r="D755" s="18">
        <f t="shared" si="151"/>
        <v>1.584452641983925E-4</v>
      </c>
      <c r="E755">
        <f t="shared" si="152"/>
        <v>4.6609784476459026E-8</v>
      </c>
      <c r="F755">
        <f t="shared" si="158"/>
        <v>-9.4369170255959034E-9</v>
      </c>
      <c r="G755">
        <f t="shared" si="159"/>
        <v>4.6609784476459026E-8</v>
      </c>
      <c r="L755" s="7">
        <f t="shared" si="153"/>
        <v>4.9720262030229161E-2</v>
      </c>
      <c r="M755" s="7">
        <f t="shared" si="154"/>
        <v>4.9720262030229168E-2</v>
      </c>
      <c r="N755" s="20">
        <f t="shared" si="148"/>
        <v>4.9720262030229168E-2</v>
      </c>
      <c r="O755">
        <f t="shared" si="155"/>
        <v>5.8207660913467407E-10</v>
      </c>
      <c r="P755">
        <f t="shared" si="156"/>
        <v>-3.4924596548080444E-10</v>
      </c>
      <c r="Q755">
        <f t="shared" si="157"/>
        <v>-3.4924596548080444E-10</v>
      </c>
    </row>
    <row r="756" spans="2:17" x14ac:dyDescent="0.25">
      <c r="B756" s="18">
        <f t="shared" si="149"/>
        <v>1.584452641983925E-4</v>
      </c>
      <c r="C756" s="18">
        <f t="shared" si="150"/>
        <v>1.5844526419839253E-4</v>
      </c>
      <c r="D756" s="18">
        <f t="shared" si="151"/>
        <v>1.584452641983925E-4</v>
      </c>
      <c r="E756">
        <f t="shared" si="152"/>
        <v>4.6609784476459026E-8</v>
      </c>
      <c r="F756">
        <f t="shared" si="158"/>
        <v>-9.4369170255959034E-9</v>
      </c>
      <c r="G756">
        <f t="shared" si="159"/>
        <v>4.6609784476459026E-8</v>
      </c>
      <c r="L756" s="7">
        <f t="shared" si="153"/>
        <v>4.9720262030229161E-2</v>
      </c>
      <c r="M756" s="7">
        <f t="shared" si="154"/>
        <v>4.9720262030229168E-2</v>
      </c>
      <c r="N756" s="20">
        <f t="shared" si="148"/>
        <v>4.9720262030229168E-2</v>
      </c>
      <c r="O756">
        <f t="shared" si="155"/>
        <v>5.8207660913467407E-10</v>
      </c>
      <c r="P756">
        <f t="shared" si="156"/>
        <v>-3.4924596548080444E-10</v>
      </c>
      <c r="Q756">
        <f t="shared" si="157"/>
        <v>-3.4924596548080444E-10</v>
      </c>
    </row>
    <row r="757" spans="2:17" x14ac:dyDescent="0.25">
      <c r="B757" s="18">
        <f t="shared" si="149"/>
        <v>1.584452641983925E-4</v>
      </c>
      <c r="C757" s="18">
        <f t="shared" si="150"/>
        <v>1.5844526419839253E-4</v>
      </c>
      <c r="D757" s="18">
        <f t="shared" si="151"/>
        <v>1.584452641983925E-4</v>
      </c>
      <c r="E757">
        <f t="shared" si="152"/>
        <v>4.6609784476459026E-8</v>
      </c>
      <c r="F757">
        <f t="shared" si="158"/>
        <v>-9.4369170255959034E-9</v>
      </c>
      <c r="G757">
        <f t="shared" si="159"/>
        <v>4.6609784476459026E-8</v>
      </c>
      <c r="L757" s="7">
        <f t="shared" si="153"/>
        <v>4.9720262030229161E-2</v>
      </c>
      <c r="M757" s="7">
        <f t="shared" si="154"/>
        <v>4.9720262030229168E-2</v>
      </c>
      <c r="N757" s="20">
        <f t="shared" si="148"/>
        <v>4.9720262030229168E-2</v>
      </c>
      <c r="O757">
        <f t="shared" si="155"/>
        <v>5.8207660913467407E-10</v>
      </c>
      <c r="P757">
        <f t="shared" si="156"/>
        <v>-3.4924596548080444E-10</v>
      </c>
      <c r="Q757">
        <f t="shared" si="157"/>
        <v>-3.4924596548080444E-10</v>
      </c>
    </row>
    <row r="758" spans="2:17" x14ac:dyDescent="0.25">
      <c r="B758" s="18">
        <f t="shared" si="149"/>
        <v>1.584452641983925E-4</v>
      </c>
      <c r="C758" s="18">
        <f t="shared" si="150"/>
        <v>1.5844526419839253E-4</v>
      </c>
      <c r="D758" s="18">
        <f t="shared" si="151"/>
        <v>1.584452641983925E-4</v>
      </c>
      <c r="E758">
        <f t="shared" si="152"/>
        <v>4.6609784476459026E-8</v>
      </c>
      <c r="F758">
        <f t="shared" si="158"/>
        <v>-9.4369170255959034E-9</v>
      </c>
      <c r="G758">
        <f t="shared" si="159"/>
        <v>4.6609784476459026E-8</v>
      </c>
      <c r="L758" s="7">
        <f t="shared" si="153"/>
        <v>4.9720262030229161E-2</v>
      </c>
      <c r="M758" s="7">
        <f t="shared" si="154"/>
        <v>4.9720262030229168E-2</v>
      </c>
      <c r="N758" s="20">
        <f t="shared" si="148"/>
        <v>4.9720262030229168E-2</v>
      </c>
      <c r="O758">
        <f t="shared" si="155"/>
        <v>5.8207660913467407E-10</v>
      </c>
      <c r="P758">
        <f t="shared" si="156"/>
        <v>-3.4924596548080444E-10</v>
      </c>
      <c r="Q758">
        <f t="shared" si="157"/>
        <v>-3.4924596548080444E-10</v>
      </c>
    </row>
    <row r="759" spans="2:17" x14ac:dyDescent="0.25">
      <c r="B759" s="18">
        <f t="shared" si="149"/>
        <v>1.584452641983925E-4</v>
      </c>
      <c r="C759" s="18">
        <f t="shared" si="150"/>
        <v>1.5844526419839253E-4</v>
      </c>
      <c r="D759" s="18">
        <f t="shared" si="151"/>
        <v>1.584452641983925E-4</v>
      </c>
      <c r="E759">
        <f t="shared" si="152"/>
        <v>4.6609784476459026E-8</v>
      </c>
      <c r="F759">
        <f t="shared" si="158"/>
        <v>-9.4369170255959034E-9</v>
      </c>
      <c r="G759">
        <f t="shared" si="159"/>
        <v>4.6609784476459026E-8</v>
      </c>
      <c r="L759" s="7">
        <f t="shared" si="153"/>
        <v>4.9720262030229161E-2</v>
      </c>
      <c r="M759" s="7">
        <f t="shared" si="154"/>
        <v>4.9720262030229168E-2</v>
      </c>
      <c r="N759" s="20">
        <f t="shared" si="148"/>
        <v>4.9720262030229168E-2</v>
      </c>
      <c r="O759">
        <f t="shared" si="155"/>
        <v>5.8207660913467407E-10</v>
      </c>
      <c r="P759">
        <f t="shared" si="156"/>
        <v>-3.4924596548080444E-10</v>
      </c>
      <c r="Q759">
        <f t="shared" si="157"/>
        <v>-3.4924596548080444E-10</v>
      </c>
    </row>
    <row r="760" spans="2:17" x14ac:dyDescent="0.25">
      <c r="B760" s="18">
        <f t="shared" si="149"/>
        <v>1.584452641983925E-4</v>
      </c>
      <c r="C760" s="18">
        <f t="shared" si="150"/>
        <v>1.5844526419839253E-4</v>
      </c>
      <c r="D760" s="18">
        <f t="shared" si="151"/>
        <v>1.584452641983925E-4</v>
      </c>
      <c r="E760">
        <f t="shared" si="152"/>
        <v>4.6609784476459026E-8</v>
      </c>
      <c r="F760">
        <f t="shared" si="158"/>
        <v>-9.4369170255959034E-9</v>
      </c>
      <c r="G760">
        <f t="shared" si="159"/>
        <v>4.6609784476459026E-8</v>
      </c>
      <c r="L760" s="7">
        <f t="shared" si="153"/>
        <v>4.9720262030229161E-2</v>
      </c>
      <c r="M760" s="7">
        <f t="shared" si="154"/>
        <v>4.9720262030229168E-2</v>
      </c>
      <c r="N760" s="20">
        <f t="shared" si="148"/>
        <v>4.9720262030229168E-2</v>
      </c>
      <c r="O760">
        <f t="shared" si="155"/>
        <v>5.8207660913467407E-10</v>
      </c>
      <c r="P760">
        <f t="shared" si="156"/>
        <v>-3.4924596548080444E-10</v>
      </c>
      <c r="Q760">
        <f t="shared" si="157"/>
        <v>-3.4924596548080444E-10</v>
      </c>
    </row>
    <row r="761" spans="2:17" x14ac:dyDescent="0.25">
      <c r="B761" s="18">
        <f t="shared" si="149"/>
        <v>1.584452641983925E-4</v>
      </c>
      <c r="C761" s="18">
        <f t="shared" si="150"/>
        <v>1.5844526419839253E-4</v>
      </c>
      <c r="D761" s="18">
        <f t="shared" si="151"/>
        <v>1.584452641983925E-4</v>
      </c>
      <c r="E761">
        <f t="shared" si="152"/>
        <v>4.6609784476459026E-8</v>
      </c>
      <c r="F761">
        <f t="shared" si="158"/>
        <v>-9.4369170255959034E-9</v>
      </c>
      <c r="G761">
        <f t="shared" si="159"/>
        <v>4.6609784476459026E-8</v>
      </c>
      <c r="L761" s="7">
        <f t="shared" si="153"/>
        <v>4.9720262030229161E-2</v>
      </c>
      <c r="M761" s="7">
        <f t="shared" si="154"/>
        <v>4.9720262030229168E-2</v>
      </c>
      <c r="N761" s="20">
        <f t="shared" si="148"/>
        <v>4.9720262030229168E-2</v>
      </c>
      <c r="O761">
        <f t="shared" si="155"/>
        <v>5.8207660913467407E-10</v>
      </c>
      <c r="P761">
        <f t="shared" si="156"/>
        <v>-3.4924596548080444E-10</v>
      </c>
      <c r="Q761">
        <f t="shared" si="157"/>
        <v>-3.4924596548080444E-10</v>
      </c>
    </row>
    <row r="762" spans="2:17" x14ac:dyDescent="0.25">
      <c r="B762" s="18">
        <f t="shared" si="149"/>
        <v>1.584452641983925E-4</v>
      </c>
      <c r="C762" s="18">
        <f t="shared" si="150"/>
        <v>1.5844526419839253E-4</v>
      </c>
      <c r="D762" s="18">
        <f t="shared" si="151"/>
        <v>1.584452641983925E-4</v>
      </c>
      <c r="E762">
        <f t="shared" si="152"/>
        <v>4.6609784476459026E-8</v>
      </c>
      <c r="F762">
        <f t="shared" si="158"/>
        <v>-9.4369170255959034E-9</v>
      </c>
      <c r="G762">
        <f t="shared" si="159"/>
        <v>4.6609784476459026E-8</v>
      </c>
      <c r="L762" s="7">
        <f t="shared" si="153"/>
        <v>4.9720262030229161E-2</v>
      </c>
      <c r="M762" s="7">
        <f t="shared" si="154"/>
        <v>4.9720262030229168E-2</v>
      </c>
      <c r="N762" s="20">
        <f t="shared" si="148"/>
        <v>4.9720262030229168E-2</v>
      </c>
      <c r="O762">
        <f t="shared" si="155"/>
        <v>5.8207660913467407E-10</v>
      </c>
      <c r="P762">
        <f t="shared" si="156"/>
        <v>-3.4924596548080444E-10</v>
      </c>
      <c r="Q762">
        <f t="shared" si="157"/>
        <v>-3.4924596548080444E-10</v>
      </c>
    </row>
    <row r="763" spans="2:17" x14ac:dyDescent="0.25">
      <c r="B763" s="18">
        <f t="shared" si="149"/>
        <v>1.584452641983925E-4</v>
      </c>
      <c r="C763" s="18">
        <f t="shared" si="150"/>
        <v>1.5844526419839253E-4</v>
      </c>
      <c r="D763" s="18">
        <f t="shared" si="151"/>
        <v>1.584452641983925E-4</v>
      </c>
      <c r="E763">
        <f t="shared" si="152"/>
        <v>4.6609784476459026E-8</v>
      </c>
      <c r="F763">
        <f t="shared" si="158"/>
        <v>-9.4369170255959034E-9</v>
      </c>
      <c r="G763">
        <f t="shared" si="159"/>
        <v>4.6609784476459026E-8</v>
      </c>
      <c r="L763" s="7">
        <f t="shared" si="153"/>
        <v>4.9720262030229161E-2</v>
      </c>
      <c r="M763" s="7">
        <f t="shared" si="154"/>
        <v>4.9720262030229168E-2</v>
      </c>
      <c r="N763" s="20">
        <f t="shared" si="148"/>
        <v>4.9720262030229168E-2</v>
      </c>
      <c r="O763">
        <f t="shared" si="155"/>
        <v>5.8207660913467407E-10</v>
      </c>
      <c r="P763">
        <f t="shared" si="156"/>
        <v>-3.4924596548080444E-10</v>
      </c>
      <c r="Q763">
        <f t="shared" si="157"/>
        <v>-3.4924596548080444E-10</v>
      </c>
    </row>
    <row r="764" spans="2:17" x14ac:dyDescent="0.25">
      <c r="B764" s="18">
        <f t="shared" si="149"/>
        <v>1.584452641983925E-4</v>
      </c>
      <c r="C764" s="18">
        <f t="shared" si="150"/>
        <v>1.5844526419839253E-4</v>
      </c>
      <c r="D764" s="18">
        <f t="shared" si="151"/>
        <v>1.584452641983925E-4</v>
      </c>
      <c r="E764">
        <f t="shared" si="152"/>
        <v>4.6609784476459026E-8</v>
      </c>
      <c r="F764">
        <f t="shared" si="158"/>
        <v>-9.4369170255959034E-9</v>
      </c>
      <c r="G764">
        <f t="shared" si="159"/>
        <v>4.6609784476459026E-8</v>
      </c>
      <c r="L764" s="7">
        <f t="shared" si="153"/>
        <v>4.9720262030229161E-2</v>
      </c>
      <c r="M764" s="7">
        <f t="shared" si="154"/>
        <v>4.9720262030229168E-2</v>
      </c>
      <c r="N764" s="20">
        <f t="shared" si="148"/>
        <v>4.9720262030229168E-2</v>
      </c>
      <c r="O764">
        <f t="shared" si="155"/>
        <v>5.8207660913467407E-10</v>
      </c>
      <c r="P764">
        <f t="shared" si="156"/>
        <v>-3.4924596548080444E-10</v>
      </c>
      <c r="Q764">
        <f t="shared" si="157"/>
        <v>-3.4924596548080444E-10</v>
      </c>
    </row>
    <row r="765" spans="2:17" x14ac:dyDescent="0.25">
      <c r="B765" s="18">
        <f t="shared" si="149"/>
        <v>1.584452641983925E-4</v>
      </c>
      <c r="C765" s="18">
        <f t="shared" si="150"/>
        <v>1.5844526419839253E-4</v>
      </c>
      <c r="D765" s="18">
        <f t="shared" si="151"/>
        <v>1.584452641983925E-4</v>
      </c>
      <c r="E765">
        <f t="shared" si="152"/>
        <v>4.6609784476459026E-8</v>
      </c>
      <c r="F765">
        <f t="shared" si="158"/>
        <v>-9.4369170255959034E-9</v>
      </c>
      <c r="G765">
        <f t="shared" si="159"/>
        <v>4.6609784476459026E-8</v>
      </c>
      <c r="L765" s="7">
        <f t="shared" si="153"/>
        <v>4.9720262030229161E-2</v>
      </c>
      <c r="M765" s="7">
        <f t="shared" si="154"/>
        <v>4.9720262030229168E-2</v>
      </c>
      <c r="N765" s="20">
        <f t="shared" si="148"/>
        <v>4.9720262030229168E-2</v>
      </c>
      <c r="O765">
        <f t="shared" si="155"/>
        <v>5.8207660913467407E-10</v>
      </c>
      <c r="P765">
        <f t="shared" si="156"/>
        <v>-3.4924596548080444E-10</v>
      </c>
      <c r="Q765">
        <f t="shared" si="157"/>
        <v>-3.4924596548080444E-10</v>
      </c>
    </row>
    <row r="766" spans="2:17" x14ac:dyDescent="0.25">
      <c r="B766" s="18">
        <f t="shared" si="149"/>
        <v>1.584452641983925E-4</v>
      </c>
      <c r="C766" s="18">
        <f t="shared" si="150"/>
        <v>1.5844526419839253E-4</v>
      </c>
      <c r="D766" s="18">
        <f t="shared" si="151"/>
        <v>1.584452641983925E-4</v>
      </c>
      <c r="E766">
        <f t="shared" si="152"/>
        <v>4.6609784476459026E-8</v>
      </c>
      <c r="F766">
        <f t="shared" si="158"/>
        <v>-9.4369170255959034E-9</v>
      </c>
      <c r="G766">
        <f t="shared" si="159"/>
        <v>4.6609784476459026E-8</v>
      </c>
      <c r="L766" s="7">
        <f t="shared" si="153"/>
        <v>4.9720262030229161E-2</v>
      </c>
      <c r="M766" s="7">
        <f t="shared" si="154"/>
        <v>4.9720262030229168E-2</v>
      </c>
      <c r="N766" s="20">
        <f t="shared" si="148"/>
        <v>4.9720262030229168E-2</v>
      </c>
      <c r="O766">
        <f t="shared" si="155"/>
        <v>5.8207660913467407E-10</v>
      </c>
      <c r="P766">
        <f t="shared" si="156"/>
        <v>-3.4924596548080444E-10</v>
      </c>
      <c r="Q766">
        <f t="shared" si="157"/>
        <v>-3.4924596548080444E-10</v>
      </c>
    </row>
    <row r="767" spans="2:17" x14ac:dyDescent="0.25">
      <c r="B767" s="18">
        <f t="shared" si="149"/>
        <v>1.584452641983925E-4</v>
      </c>
      <c r="C767" s="18">
        <f t="shared" si="150"/>
        <v>1.5844526419839253E-4</v>
      </c>
      <c r="D767" s="18">
        <f t="shared" si="151"/>
        <v>1.584452641983925E-4</v>
      </c>
      <c r="E767">
        <f t="shared" si="152"/>
        <v>4.6609784476459026E-8</v>
      </c>
      <c r="F767">
        <f t="shared" si="158"/>
        <v>-9.4369170255959034E-9</v>
      </c>
      <c r="G767">
        <f t="shared" si="159"/>
        <v>4.6609784476459026E-8</v>
      </c>
      <c r="L767" s="7">
        <f t="shared" si="153"/>
        <v>4.9720262030229161E-2</v>
      </c>
      <c r="M767" s="7">
        <f t="shared" si="154"/>
        <v>4.9720262030229168E-2</v>
      </c>
      <c r="N767" s="20">
        <f t="shared" si="148"/>
        <v>4.9720262030229168E-2</v>
      </c>
      <c r="O767">
        <f t="shared" si="155"/>
        <v>5.8207660913467407E-10</v>
      </c>
      <c r="P767">
        <f t="shared" si="156"/>
        <v>-3.4924596548080444E-10</v>
      </c>
      <c r="Q767">
        <f t="shared" si="157"/>
        <v>-3.4924596548080444E-10</v>
      </c>
    </row>
    <row r="768" spans="2:17" x14ac:dyDescent="0.25">
      <c r="B768" s="18">
        <f t="shared" si="149"/>
        <v>1.584452641983925E-4</v>
      </c>
      <c r="C768" s="18">
        <f t="shared" si="150"/>
        <v>1.5844526419839253E-4</v>
      </c>
      <c r="D768" s="18">
        <f t="shared" si="151"/>
        <v>1.584452641983925E-4</v>
      </c>
      <c r="E768">
        <f t="shared" si="152"/>
        <v>4.6609784476459026E-8</v>
      </c>
      <c r="F768">
        <f t="shared" si="158"/>
        <v>-9.4369170255959034E-9</v>
      </c>
      <c r="G768">
        <f t="shared" si="159"/>
        <v>4.6609784476459026E-8</v>
      </c>
      <c r="L768" s="7">
        <f t="shared" si="153"/>
        <v>4.9720262030229161E-2</v>
      </c>
      <c r="M768" s="7">
        <f t="shared" si="154"/>
        <v>4.9720262030229168E-2</v>
      </c>
      <c r="N768" s="20">
        <f t="shared" si="148"/>
        <v>4.9720262030229168E-2</v>
      </c>
      <c r="O768">
        <f t="shared" si="155"/>
        <v>5.8207660913467407E-10</v>
      </c>
      <c r="P768">
        <f t="shared" si="156"/>
        <v>-3.4924596548080444E-10</v>
      </c>
      <c r="Q768">
        <f t="shared" si="157"/>
        <v>-3.4924596548080444E-10</v>
      </c>
    </row>
    <row r="769" spans="2:17" x14ac:dyDescent="0.25">
      <c r="B769" s="18">
        <f t="shared" si="149"/>
        <v>1.584452641983925E-4</v>
      </c>
      <c r="C769" s="18">
        <f t="shared" si="150"/>
        <v>1.5844526419839253E-4</v>
      </c>
      <c r="D769" s="18">
        <f t="shared" si="151"/>
        <v>1.584452641983925E-4</v>
      </c>
      <c r="E769">
        <f t="shared" si="152"/>
        <v>4.6609784476459026E-8</v>
      </c>
      <c r="F769">
        <f t="shared" si="158"/>
        <v>-9.4369170255959034E-9</v>
      </c>
      <c r="G769">
        <f t="shared" si="159"/>
        <v>4.6609784476459026E-8</v>
      </c>
      <c r="L769" s="7">
        <f t="shared" si="153"/>
        <v>4.9720262030229161E-2</v>
      </c>
      <c r="M769" s="7">
        <f t="shared" si="154"/>
        <v>4.9720262030229168E-2</v>
      </c>
      <c r="N769" s="20">
        <f t="shared" si="148"/>
        <v>4.9720262030229168E-2</v>
      </c>
      <c r="O769">
        <f t="shared" si="155"/>
        <v>5.8207660913467407E-10</v>
      </c>
      <c r="P769">
        <f t="shared" si="156"/>
        <v>-3.4924596548080444E-10</v>
      </c>
      <c r="Q769">
        <f t="shared" si="157"/>
        <v>-3.4924596548080444E-10</v>
      </c>
    </row>
    <row r="770" spans="2:17" x14ac:dyDescent="0.25">
      <c r="B770" s="18">
        <f t="shared" si="149"/>
        <v>1.584452641983925E-4</v>
      </c>
      <c r="C770" s="18">
        <f t="shared" si="150"/>
        <v>1.5844526419839253E-4</v>
      </c>
      <c r="D770" s="18">
        <f t="shared" si="151"/>
        <v>1.584452641983925E-4</v>
      </c>
      <c r="E770">
        <f t="shared" si="152"/>
        <v>4.6609784476459026E-8</v>
      </c>
      <c r="F770">
        <f t="shared" si="158"/>
        <v>-9.4369170255959034E-9</v>
      </c>
      <c r="G770">
        <f t="shared" si="159"/>
        <v>4.6609784476459026E-8</v>
      </c>
      <c r="L770" s="7">
        <f t="shared" si="153"/>
        <v>4.9720262030229161E-2</v>
      </c>
      <c r="M770" s="7">
        <f t="shared" si="154"/>
        <v>4.9720262030229168E-2</v>
      </c>
      <c r="N770" s="20">
        <f t="shared" si="148"/>
        <v>4.9720262030229168E-2</v>
      </c>
      <c r="O770">
        <f t="shared" si="155"/>
        <v>5.8207660913467407E-10</v>
      </c>
      <c r="P770">
        <f t="shared" si="156"/>
        <v>-3.4924596548080444E-10</v>
      </c>
      <c r="Q770">
        <f t="shared" si="157"/>
        <v>-3.4924596548080444E-10</v>
      </c>
    </row>
    <row r="771" spans="2:17" x14ac:dyDescent="0.25">
      <c r="B771" s="18">
        <f t="shared" si="149"/>
        <v>1.584452641983925E-4</v>
      </c>
      <c r="C771" s="18">
        <f t="shared" si="150"/>
        <v>1.5844526419839253E-4</v>
      </c>
      <c r="D771" s="18">
        <f t="shared" si="151"/>
        <v>1.584452641983925E-4</v>
      </c>
      <c r="E771">
        <f t="shared" si="152"/>
        <v>4.6609784476459026E-8</v>
      </c>
      <c r="F771">
        <f t="shared" si="158"/>
        <v>-9.4369170255959034E-9</v>
      </c>
      <c r="G771">
        <f t="shared" si="159"/>
        <v>4.6609784476459026E-8</v>
      </c>
      <c r="L771" s="7">
        <f t="shared" si="153"/>
        <v>4.9720262030229161E-2</v>
      </c>
      <c r="M771" s="7">
        <f t="shared" si="154"/>
        <v>4.9720262030229168E-2</v>
      </c>
      <c r="N771" s="20">
        <f t="shared" si="148"/>
        <v>4.9720262030229168E-2</v>
      </c>
      <c r="O771">
        <f t="shared" si="155"/>
        <v>5.8207660913467407E-10</v>
      </c>
      <c r="P771">
        <f t="shared" si="156"/>
        <v>-3.4924596548080444E-10</v>
      </c>
      <c r="Q771">
        <f t="shared" si="157"/>
        <v>-3.4924596548080444E-10</v>
      </c>
    </row>
    <row r="772" spans="2:17" x14ac:dyDescent="0.25">
      <c r="B772" s="18">
        <f t="shared" si="149"/>
        <v>1.584452641983925E-4</v>
      </c>
      <c r="C772" s="18">
        <f t="shared" si="150"/>
        <v>1.5844526419839253E-4</v>
      </c>
      <c r="D772" s="18">
        <f t="shared" si="151"/>
        <v>1.584452641983925E-4</v>
      </c>
      <c r="E772">
        <f t="shared" si="152"/>
        <v>4.6609784476459026E-8</v>
      </c>
      <c r="F772">
        <f t="shared" si="158"/>
        <v>-9.4369170255959034E-9</v>
      </c>
      <c r="G772">
        <f t="shared" si="159"/>
        <v>4.6609784476459026E-8</v>
      </c>
      <c r="L772" s="7">
        <f t="shared" si="153"/>
        <v>4.9720262030229161E-2</v>
      </c>
      <c r="M772" s="7">
        <f t="shared" si="154"/>
        <v>4.9720262030229168E-2</v>
      </c>
      <c r="N772" s="20">
        <f t="shared" si="148"/>
        <v>4.9720262030229168E-2</v>
      </c>
      <c r="O772">
        <f t="shared" si="155"/>
        <v>5.8207660913467407E-10</v>
      </c>
      <c r="P772">
        <f t="shared" si="156"/>
        <v>-3.4924596548080444E-10</v>
      </c>
      <c r="Q772">
        <f t="shared" si="157"/>
        <v>-3.4924596548080444E-10</v>
      </c>
    </row>
    <row r="773" spans="2:17" x14ac:dyDescent="0.25">
      <c r="B773" s="18">
        <f t="shared" si="149"/>
        <v>1.584452641983925E-4</v>
      </c>
      <c r="C773" s="18">
        <f t="shared" si="150"/>
        <v>1.5844526419839253E-4</v>
      </c>
      <c r="D773" s="18">
        <f t="shared" si="151"/>
        <v>1.584452641983925E-4</v>
      </c>
      <c r="E773">
        <f t="shared" si="152"/>
        <v>4.6609784476459026E-8</v>
      </c>
      <c r="F773">
        <f t="shared" si="158"/>
        <v>-9.4369170255959034E-9</v>
      </c>
      <c r="G773">
        <f t="shared" si="159"/>
        <v>4.6609784476459026E-8</v>
      </c>
      <c r="L773" s="7">
        <f t="shared" si="153"/>
        <v>4.9720262030229161E-2</v>
      </c>
      <c r="M773" s="7">
        <f t="shared" si="154"/>
        <v>4.9720262030229168E-2</v>
      </c>
      <c r="N773" s="20">
        <f t="shared" si="148"/>
        <v>4.9720262030229168E-2</v>
      </c>
      <c r="O773">
        <f t="shared" si="155"/>
        <v>5.8207660913467407E-10</v>
      </c>
      <c r="P773">
        <f t="shared" si="156"/>
        <v>-3.4924596548080444E-10</v>
      </c>
      <c r="Q773">
        <f t="shared" si="157"/>
        <v>-3.4924596548080444E-10</v>
      </c>
    </row>
    <row r="774" spans="2:17" x14ac:dyDescent="0.25">
      <c r="B774" s="18">
        <f t="shared" si="149"/>
        <v>1.584452641983925E-4</v>
      </c>
      <c r="C774" s="18">
        <f t="shared" si="150"/>
        <v>1.5844526419839253E-4</v>
      </c>
      <c r="D774" s="18">
        <f t="shared" si="151"/>
        <v>1.584452641983925E-4</v>
      </c>
      <c r="E774">
        <f t="shared" si="152"/>
        <v>4.6609784476459026E-8</v>
      </c>
      <c r="F774">
        <f t="shared" si="158"/>
        <v>-9.4369170255959034E-9</v>
      </c>
      <c r="G774">
        <f t="shared" si="159"/>
        <v>4.6609784476459026E-8</v>
      </c>
      <c r="L774" s="7">
        <f t="shared" si="153"/>
        <v>4.9720262030229161E-2</v>
      </c>
      <c r="M774" s="7">
        <f t="shared" si="154"/>
        <v>4.9720262030229168E-2</v>
      </c>
      <c r="N774" s="20">
        <f t="shared" si="148"/>
        <v>4.9720262030229168E-2</v>
      </c>
      <c r="O774">
        <f t="shared" si="155"/>
        <v>5.8207660913467407E-10</v>
      </c>
      <c r="P774">
        <f t="shared" si="156"/>
        <v>-3.4924596548080444E-10</v>
      </c>
      <c r="Q774">
        <f t="shared" si="157"/>
        <v>-3.4924596548080444E-10</v>
      </c>
    </row>
    <row r="775" spans="2:17" x14ac:dyDescent="0.25">
      <c r="B775" s="18">
        <f t="shared" si="149"/>
        <v>1.584452641983925E-4</v>
      </c>
      <c r="C775" s="18">
        <f t="shared" si="150"/>
        <v>1.5844526419839253E-4</v>
      </c>
      <c r="D775" s="18">
        <f t="shared" si="151"/>
        <v>1.584452641983925E-4</v>
      </c>
      <c r="E775">
        <f t="shared" si="152"/>
        <v>4.6609784476459026E-8</v>
      </c>
      <c r="F775">
        <f t="shared" si="158"/>
        <v>-9.4369170255959034E-9</v>
      </c>
      <c r="G775">
        <f t="shared" si="159"/>
        <v>4.6609784476459026E-8</v>
      </c>
      <c r="L775" s="7">
        <f t="shared" si="153"/>
        <v>4.9720262030229161E-2</v>
      </c>
      <c r="M775" s="7">
        <f t="shared" si="154"/>
        <v>4.9720262030229168E-2</v>
      </c>
      <c r="N775" s="20">
        <f t="shared" si="148"/>
        <v>4.9720262030229168E-2</v>
      </c>
      <c r="O775">
        <f t="shared" si="155"/>
        <v>5.8207660913467407E-10</v>
      </c>
      <c r="P775">
        <f t="shared" si="156"/>
        <v>-3.4924596548080444E-10</v>
      </c>
      <c r="Q775">
        <f t="shared" si="157"/>
        <v>-3.4924596548080444E-10</v>
      </c>
    </row>
    <row r="776" spans="2:17" x14ac:dyDescent="0.25">
      <c r="B776" s="18">
        <f t="shared" si="149"/>
        <v>1.584452641983925E-4</v>
      </c>
      <c r="C776" s="18">
        <f t="shared" si="150"/>
        <v>1.5844526419839253E-4</v>
      </c>
      <c r="D776" s="18">
        <f t="shared" si="151"/>
        <v>1.584452641983925E-4</v>
      </c>
      <c r="E776">
        <f t="shared" si="152"/>
        <v>4.6609784476459026E-8</v>
      </c>
      <c r="F776">
        <f t="shared" si="158"/>
        <v>-9.4369170255959034E-9</v>
      </c>
      <c r="G776">
        <f t="shared" si="159"/>
        <v>4.6609784476459026E-8</v>
      </c>
      <c r="L776" s="7">
        <f t="shared" si="153"/>
        <v>4.9720262030229161E-2</v>
      </c>
      <c r="M776" s="7">
        <f t="shared" si="154"/>
        <v>4.9720262030229168E-2</v>
      </c>
      <c r="N776" s="20">
        <f t="shared" si="148"/>
        <v>4.9720262030229168E-2</v>
      </c>
      <c r="O776">
        <f t="shared" si="155"/>
        <v>5.8207660913467407E-10</v>
      </c>
      <c r="P776">
        <f t="shared" si="156"/>
        <v>-3.4924596548080444E-10</v>
      </c>
      <c r="Q776">
        <f t="shared" si="157"/>
        <v>-3.4924596548080444E-10</v>
      </c>
    </row>
    <row r="777" spans="2:17" x14ac:dyDescent="0.25">
      <c r="B777" s="18">
        <f t="shared" si="149"/>
        <v>1.584452641983925E-4</v>
      </c>
      <c r="C777" s="18">
        <f t="shared" si="150"/>
        <v>1.5844526419839253E-4</v>
      </c>
      <c r="D777" s="18">
        <f t="shared" si="151"/>
        <v>1.584452641983925E-4</v>
      </c>
      <c r="E777">
        <f t="shared" si="152"/>
        <v>4.6609784476459026E-8</v>
      </c>
      <c r="F777">
        <f t="shared" si="158"/>
        <v>-9.4369170255959034E-9</v>
      </c>
      <c r="G777">
        <f t="shared" si="159"/>
        <v>4.6609784476459026E-8</v>
      </c>
      <c r="L777" s="7">
        <f t="shared" si="153"/>
        <v>4.9720262030229161E-2</v>
      </c>
      <c r="M777" s="7">
        <f t="shared" si="154"/>
        <v>4.9720262030229168E-2</v>
      </c>
      <c r="N777" s="20">
        <f t="shared" si="148"/>
        <v>4.9720262030229168E-2</v>
      </c>
      <c r="O777">
        <f t="shared" si="155"/>
        <v>5.8207660913467407E-10</v>
      </c>
      <c r="P777">
        <f t="shared" si="156"/>
        <v>-3.4924596548080444E-10</v>
      </c>
      <c r="Q777">
        <f t="shared" si="157"/>
        <v>-3.4924596548080444E-10</v>
      </c>
    </row>
    <row r="778" spans="2:17" x14ac:dyDescent="0.25">
      <c r="B778" s="18">
        <f t="shared" si="149"/>
        <v>1.584452641983925E-4</v>
      </c>
      <c r="C778" s="18">
        <f t="shared" si="150"/>
        <v>1.5844526419839253E-4</v>
      </c>
      <c r="D778" s="18">
        <f t="shared" si="151"/>
        <v>1.584452641983925E-4</v>
      </c>
      <c r="E778">
        <f t="shared" si="152"/>
        <v>4.6609784476459026E-8</v>
      </c>
      <c r="F778">
        <f t="shared" si="158"/>
        <v>-9.4369170255959034E-9</v>
      </c>
      <c r="G778">
        <f t="shared" si="159"/>
        <v>4.6609784476459026E-8</v>
      </c>
      <c r="L778" s="7">
        <f t="shared" si="153"/>
        <v>4.9720262030229161E-2</v>
      </c>
      <c r="M778" s="7">
        <f t="shared" si="154"/>
        <v>4.9720262030229168E-2</v>
      </c>
      <c r="N778" s="20">
        <f t="shared" si="148"/>
        <v>4.9720262030229168E-2</v>
      </c>
      <c r="O778">
        <f t="shared" si="155"/>
        <v>5.8207660913467407E-10</v>
      </c>
      <c r="P778">
        <f t="shared" si="156"/>
        <v>-3.4924596548080444E-10</v>
      </c>
      <c r="Q778">
        <f t="shared" si="157"/>
        <v>-3.4924596548080444E-10</v>
      </c>
    </row>
    <row r="779" spans="2:17" x14ac:dyDescent="0.25">
      <c r="B779" s="18">
        <f t="shared" si="149"/>
        <v>1.584452641983925E-4</v>
      </c>
      <c r="C779" s="18">
        <f t="shared" si="150"/>
        <v>1.5844526419839253E-4</v>
      </c>
      <c r="D779" s="18">
        <f t="shared" si="151"/>
        <v>1.584452641983925E-4</v>
      </c>
      <c r="E779">
        <f t="shared" si="152"/>
        <v>4.6609784476459026E-8</v>
      </c>
      <c r="F779">
        <f t="shared" si="158"/>
        <v>-9.4369170255959034E-9</v>
      </c>
      <c r="G779">
        <f t="shared" si="159"/>
        <v>4.6609784476459026E-8</v>
      </c>
      <c r="L779" s="7">
        <f t="shared" si="153"/>
        <v>4.9720262030229161E-2</v>
      </c>
      <c r="M779" s="7">
        <f t="shared" si="154"/>
        <v>4.9720262030229168E-2</v>
      </c>
      <c r="N779" s="20">
        <f t="shared" si="148"/>
        <v>4.9720262030229168E-2</v>
      </c>
      <c r="O779">
        <f t="shared" si="155"/>
        <v>5.8207660913467407E-10</v>
      </c>
      <c r="P779">
        <f t="shared" si="156"/>
        <v>-3.4924596548080444E-10</v>
      </c>
      <c r="Q779">
        <f t="shared" si="157"/>
        <v>-3.4924596548080444E-10</v>
      </c>
    </row>
    <row r="780" spans="2:17" x14ac:dyDescent="0.25">
      <c r="B780" s="18">
        <f t="shared" si="149"/>
        <v>1.584452641983925E-4</v>
      </c>
      <c r="C780" s="18">
        <f t="shared" si="150"/>
        <v>1.5844526419839253E-4</v>
      </c>
      <c r="D780" s="18">
        <f t="shared" si="151"/>
        <v>1.584452641983925E-4</v>
      </c>
      <c r="E780">
        <f t="shared" si="152"/>
        <v>4.6609784476459026E-8</v>
      </c>
      <c r="F780">
        <f t="shared" si="158"/>
        <v>-9.4369170255959034E-9</v>
      </c>
      <c r="G780">
        <f t="shared" si="159"/>
        <v>4.6609784476459026E-8</v>
      </c>
      <c r="L780" s="7">
        <f t="shared" si="153"/>
        <v>4.9720262030229161E-2</v>
      </c>
      <c r="M780" s="7">
        <f t="shared" si="154"/>
        <v>4.9720262030229168E-2</v>
      </c>
      <c r="N780" s="20">
        <f t="shared" si="148"/>
        <v>4.9720262030229168E-2</v>
      </c>
      <c r="O780">
        <f t="shared" si="155"/>
        <v>5.8207660913467407E-10</v>
      </c>
      <c r="P780">
        <f t="shared" si="156"/>
        <v>-3.4924596548080444E-10</v>
      </c>
      <c r="Q780">
        <f t="shared" si="157"/>
        <v>-3.4924596548080444E-10</v>
      </c>
    </row>
    <row r="781" spans="2:17" x14ac:dyDescent="0.25">
      <c r="B781" s="18">
        <f t="shared" si="149"/>
        <v>1.584452641983925E-4</v>
      </c>
      <c r="C781" s="18">
        <f t="shared" si="150"/>
        <v>1.5844526419839253E-4</v>
      </c>
      <c r="D781" s="18">
        <f t="shared" si="151"/>
        <v>1.584452641983925E-4</v>
      </c>
      <c r="E781">
        <f t="shared" si="152"/>
        <v>4.6609784476459026E-8</v>
      </c>
      <c r="F781">
        <f t="shared" si="158"/>
        <v>-9.4369170255959034E-9</v>
      </c>
      <c r="G781">
        <f t="shared" si="159"/>
        <v>4.6609784476459026E-8</v>
      </c>
      <c r="L781" s="7">
        <f t="shared" si="153"/>
        <v>4.9720262030229161E-2</v>
      </c>
      <c r="M781" s="7">
        <f t="shared" si="154"/>
        <v>4.9720262030229168E-2</v>
      </c>
      <c r="N781" s="20">
        <f t="shared" si="148"/>
        <v>4.9720262030229168E-2</v>
      </c>
      <c r="O781">
        <f t="shared" si="155"/>
        <v>5.8207660913467407E-10</v>
      </c>
      <c r="P781">
        <f t="shared" si="156"/>
        <v>-3.4924596548080444E-10</v>
      </c>
      <c r="Q781">
        <f t="shared" si="157"/>
        <v>-3.4924596548080444E-10</v>
      </c>
    </row>
    <row r="782" spans="2:17" x14ac:dyDescent="0.25">
      <c r="B782" s="18">
        <f t="shared" si="149"/>
        <v>1.584452641983925E-4</v>
      </c>
      <c r="C782" s="18">
        <f t="shared" si="150"/>
        <v>1.5844526419839253E-4</v>
      </c>
      <c r="D782" s="18">
        <f t="shared" si="151"/>
        <v>1.584452641983925E-4</v>
      </c>
      <c r="E782">
        <f t="shared" si="152"/>
        <v>4.6609784476459026E-8</v>
      </c>
      <c r="F782">
        <f t="shared" si="158"/>
        <v>-9.4369170255959034E-9</v>
      </c>
      <c r="G782">
        <f t="shared" si="159"/>
        <v>4.6609784476459026E-8</v>
      </c>
      <c r="L782" s="7">
        <f t="shared" si="153"/>
        <v>4.9720262030229161E-2</v>
      </c>
      <c r="M782" s="7">
        <f t="shared" si="154"/>
        <v>4.9720262030229168E-2</v>
      </c>
      <c r="N782" s="20">
        <f t="shared" si="148"/>
        <v>4.9720262030229168E-2</v>
      </c>
      <c r="O782">
        <f t="shared" si="155"/>
        <v>5.8207660913467407E-10</v>
      </c>
      <c r="P782">
        <f t="shared" si="156"/>
        <v>-3.4924596548080444E-10</v>
      </c>
      <c r="Q782">
        <f t="shared" si="157"/>
        <v>-3.4924596548080444E-10</v>
      </c>
    </row>
    <row r="783" spans="2:17" x14ac:dyDescent="0.25">
      <c r="B783" s="18">
        <f t="shared" si="149"/>
        <v>1.584452641983925E-4</v>
      </c>
      <c r="C783" s="18">
        <f t="shared" si="150"/>
        <v>1.5844526419839253E-4</v>
      </c>
      <c r="D783" s="18">
        <f t="shared" si="151"/>
        <v>1.584452641983925E-4</v>
      </c>
      <c r="E783">
        <f t="shared" si="152"/>
        <v>4.6609784476459026E-8</v>
      </c>
      <c r="F783">
        <f t="shared" si="158"/>
        <v>-9.4369170255959034E-9</v>
      </c>
      <c r="G783">
        <f t="shared" si="159"/>
        <v>4.6609784476459026E-8</v>
      </c>
      <c r="L783" s="7">
        <f t="shared" si="153"/>
        <v>4.9720262030229161E-2</v>
      </c>
      <c r="M783" s="7">
        <f t="shared" si="154"/>
        <v>4.9720262030229168E-2</v>
      </c>
      <c r="N783" s="20">
        <f t="shared" si="148"/>
        <v>4.9720262030229168E-2</v>
      </c>
      <c r="O783">
        <f t="shared" si="155"/>
        <v>5.8207660913467407E-10</v>
      </c>
      <c r="P783">
        <f t="shared" si="156"/>
        <v>-3.4924596548080444E-10</v>
      </c>
      <c r="Q783">
        <f t="shared" si="157"/>
        <v>-3.4924596548080444E-10</v>
      </c>
    </row>
    <row r="784" spans="2:17" x14ac:dyDescent="0.25">
      <c r="B784" s="18">
        <f t="shared" si="149"/>
        <v>1.584452641983925E-4</v>
      </c>
      <c r="C784" s="18">
        <f t="shared" si="150"/>
        <v>1.5844526419839253E-4</v>
      </c>
      <c r="D784" s="18">
        <f t="shared" si="151"/>
        <v>1.584452641983925E-4</v>
      </c>
      <c r="E784">
        <f t="shared" si="152"/>
        <v>4.6609784476459026E-8</v>
      </c>
      <c r="F784">
        <f t="shared" si="158"/>
        <v>-9.4369170255959034E-9</v>
      </c>
      <c r="G784">
        <f t="shared" si="159"/>
        <v>4.6609784476459026E-8</v>
      </c>
      <c r="L784" s="7">
        <f t="shared" si="153"/>
        <v>4.9720262030229161E-2</v>
      </c>
      <c r="M784" s="7">
        <f t="shared" si="154"/>
        <v>4.9720262030229168E-2</v>
      </c>
      <c r="N784" s="20">
        <f t="shared" si="148"/>
        <v>4.9720262030229168E-2</v>
      </c>
      <c r="O784">
        <f t="shared" si="155"/>
        <v>5.8207660913467407E-10</v>
      </c>
      <c r="P784">
        <f t="shared" si="156"/>
        <v>-3.4924596548080444E-10</v>
      </c>
      <c r="Q784">
        <f t="shared" si="157"/>
        <v>-3.4924596548080444E-10</v>
      </c>
    </row>
    <row r="785" spans="2:17" x14ac:dyDescent="0.25">
      <c r="B785" s="18">
        <f t="shared" si="149"/>
        <v>1.584452641983925E-4</v>
      </c>
      <c r="C785" s="18">
        <f t="shared" si="150"/>
        <v>1.5844526419839253E-4</v>
      </c>
      <c r="D785" s="18">
        <f t="shared" si="151"/>
        <v>1.584452641983925E-4</v>
      </c>
      <c r="E785">
        <f t="shared" si="152"/>
        <v>4.6609784476459026E-8</v>
      </c>
      <c r="F785">
        <f t="shared" si="158"/>
        <v>-9.4369170255959034E-9</v>
      </c>
      <c r="G785">
        <f t="shared" si="159"/>
        <v>4.6609784476459026E-8</v>
      </c>
      <c r="L785" s="7">
        <f t="shared" si="153"/>
        <v>4.9720262030229161E-2</v>
      </c>
      <c r="M785" s="7">
        <f t="shared" si="154"/>
        <v>4.9720262030229168E-2</v>
      </c>
      <c r="N785" s="20">
        <f t="shared" si="148"/>
        <v>4.9720262030229168E-2</v>
      </c>
      <c r="O785">
        <f t="shared" si="155"/>
        <v>5.8207660913467407E-10</v>
      </c>
      <c r="P785">
        <f t="shared" si="156"/>
        <v>-3.4924596548080444E-10</v>
      </c>
      <c r="Q785">
        <f t="shared" si="157"/>
        <v>-3.4924596548080444E-10</v>
      </c>
    </row>
    <row r="786" spans="2:17" x14ac:dyDescent="0.25">
      <c r="B786" s="18">
        <f t="shared" si="149"/>
        <v>1.584452641983925E-4</v>
      </c>
      <c r="C786" s="18">
        <f t="shared" si="150"/>
        <v>1.5844526419839253E-4</v>
      </c>
      <c r="D786" s="18">
        <f t="shared" si="151"/>
        <v>1.584452641983925E-4</v>
      </c>
      <c r="E786">
        <f t="shared" si="152"/>
        <v>4.6609784476459026E-8</v>
      </c>
      <c r="F786">
        <f t="shared" si="158"/>
        <v>-9.4369170255959034E-9</v>
      </c>
      <c r="G786">
        <f t="shared" si="159"/>
        <v>4.6609784476459026E-8</v>
      </c>
      <c r="L786" s="7">
        <f t="shared" si="153"/>
        <v>4.9720262030229161E-2</v>
      </c>
      <c r="M786" s="7">
        <f t="shared" si="154"/>
        <v>4.9720262030229168E-2</v>
      </c>
      <c r="N786" s="20">
        <f t="shared" si="148"/>
        <v>4.9720262030229168E-2</v>
      </c>
      <c r="O786">
        <f t="shared" si="155"/>
        <v>5.8207660913467407E-10</v>
      </c>
      <c r="P786">
        <f t="shared" si="156"/>
        <v>-3.4924596548080444E-10</v>
      </c>
      <c r="Q786">
        <f t="shared" si="157"/>
        <v>-3.4924596548080444E-10</v>
      </c>
    </row>
    <row r="787" spans="2:17" x14ac:dyDescent="0.25">
      <c r="B787" s="18">
        <f t="shared" si="149"/>
        <v>1.584452641983925E-4</v>
      </c>
      <c r="C787" s="18">
        <f t="shared" si="150"/>
        <v>1.5844526419839253E-4</v>
      </c>
      <c r="D787" s="18">
        <f t="shared" si="151"/>
        <v>1.584452641983925E-4</v>
      </c>
      <c r="E787">
        <f t="shared" si="152"/>
        <v>4.6609784476459026E-8</v>
      </c>
      <c r="F787">
        <f t="shared" si="158"/>
        <v>-9.4369170255959034E-9</v>
      </c>
      <c r="G787">
        <f t="shared" si="159"/>
        <v>4.6609784476459026E-8</v>
      </c>
      <c r="L787" s="7">
        <f t="shared" si="153"/>
        <v>4.9720262030229161E-2</v>
      </c>
      <c r="M787" s="7">
        <f t="shared" si="154"/>
        <v>4.9720262030229168E-2</v>
      </c>
      <c r="N787" s="20">
        <f t="shared" si="148"/>
        <v>4.9720262030229168E-2</v>
      </c>
      <c r="O787">
        <f t="shared" si="155"/>
        <v>5.8207660913467407E-10</v>
      </c>
      <c r="P787">
        <f t="shared" si="156"/>
        <v>-3.4924596548080444E-10</v>
      </c>
      <c r="Q787">
        <f t="shared" si="157"/>
        <v>-3.4924596548080444E-10</v>
      </c>
    </row>
    <row r="788" spans="2:17" x14ac:dyDescent="0.25">
      <c r="B788" s="18">
        <f t="shared" si="149"/>
        <v>1.584452641983925E-4</v>
      </c>
      <c r="C788" s="18">
        <f t="shared" si="150"/>
        <v>1.5844526419839253E-4</v>
      </c>
      <c r="D788" s="18">
        <f t="shared" si="151"/>
        <v>1.584452641983925E-4</v>
      </c>
      <c r="E788">
        <f t="shared" si="152"/>
        <v>4.6609784476459026E-8</v>
      </c>
      <c r="F788">
        <f t="shared" si="158"/>
        <v>-9.4369170255959034E-9</v>
      </c>
      <c r="G788">
        <f t="shared" si="159"/>
        <v>4.6609784476459026E-8</v>
      </c>
      <c r="L788" s="7">
        <f t="shared" si="153"/>
        <v>4.9720262030229161E-2</v>
      </c>
      <c r="M788" s="7">
        <f t="shared" si="154"/>
        <v>4.9720262030229168E-2</v>
      </c>
      <c r="N788" s="20">
        <f t="shared" si="148"/>
        <v>4.9720262030229168E-2</v>
      </c>
      <c r="O788">
        <f t="shared" si="155"/>
        <v>5.8207660913467407E-10</v>
      </c>
      <c r="P788">
        <f t="shared" si="156"/>
        <v>-3.4924596548080444E-10</v>
      </c>
      <c r="Q788">
        <f t="shared" si="157"/>
        <v>-3.4924596548080444E-10</v>
      </c>
    </row>
    <row r="789" spans="2:17" x14ac:dyDescent="0.25">
      <c r="B789" s="18">
        <f t="shared" si="149"/>
        <v>1.584452641983925E-4</v>
      </c>
      <c r="C789" s="18">
        <f t="shared" si="150"/>
        <v>1.5844526419839253E-4</v>
      </c>
      <c r="D789" s="18">
        <f t="shared" si="151"/>
        <v>1.584452641983925E-4</v>
      </c>
      <c r="E789">
        <f t="shared" si="152"/>
        <v>4.6609784476459026E-8</v>
      </c>
      <c r="F789">
        <f t="shared" si="158"/>
        <v>-9.4369170255959034E-9</v>
      </c>
      <c r="G789">
        <f t="shared" si="159"/>
        <v>4.6609784476459026E-8</v>
      </c>
      <c r="L789" s="7">
        <f t="shared" si="153"/>
        <v>4.9720262030229161E-2</v>
      </c>
      <c r="M789" s="7">
        <f t="shared" si="154"/>
        <v>4.9720262030229168E-2</v>
      </c>
      <c r="N789" s="20">
        <f t="shared" si="148"/>
        <v>4.9720262030229168E-2</v>
      </c>
      <c r="O789">
        <f t="shared" si="155"/>
        <v>5.8207660913467407E-10</v>
      </c>
      <c r="P789">
        <f t="shared" si="156"/>
        <v>-3.4924596548080444E-10</v>
      </c>
      <c r="Q789">
        <f t="shared" si="157"/>
        <v>-3.4924596548080444E-10</v>
      </c>
    </row>
    <row r="790" spans="2:17" x14ac:dyDescent="0.25">
      <c r="B790" s="18">
        <f t="shared" si="149"/>
        <v>1.584452641983925E-4</v>
      </c>
      <c r="C790" s="18">
        <f t="shared" si="150"/>
        <v>1.5844526419839253E-4</v>
      </c>
      <c r="D790" s="18">
        <f t="shared" si="151"/>
        <v>1.584452641983925E-4</v>
      </c>
      <c r="E790">
        <f t="shared" si="152"/>
        <v>4.6609784476459026E-8</v>
      </c>
      <c r="F790">
        <f t="shared" si="158"/>
        <v>-9.4369170255959034E-9</v>
      </c>
      <c r="G790">
        <f t="shared" si="159"/>
        <v>4.6609784476459026E-8</v>
      </c>
      <c r="L790" s="7">
        <f t="shared" si="153"/>
        <v>4.9720262030229161E-2</v>
      </c>
      <c r="M790" s="7">
        <f t="shared" si="154"/>
        <v>4.9720262030229168E-2</v>
      </c>
      <c r="N790" s="20">
        <f t="shared" si="148"/>
        <v>4.9720262030229168E-2</v>
      </c>
      <c r="O790">
        <f t="shared" si="155"/>
        <v>5.8207660913467407E-10</v>
      </c>
      <c r="P790">
        <f t="shared" si="156"/>
        <v>-3.4924596548080444E-10</v>
      </c>
      <c r="Q790">
        <f t="shared" si="157"/>
        <v>-3.4924596548080444E-10</v>
      </c>
    </row>
    <row r="791" spans="2:17" x14ac:dyDescent="0.25">
      <c r="B791" s="18">
        <f t="shared" si="149"/>
        <v>1.584452641983925E-4</v>
      </c>
      <c r="C791" s="18">
        <f t="shared" si="150"/>
        <v>1.5844526419839253E-4</v>
      </c>
      <c r="D791" s="18">
        <f t="shared" si="151"/>
        <v>1.584452641983925E-4</v>
      </c>
      <c r="E791">
        <f t="shared" si="152"/>
        <v>4.6609784476459026E-8</v>
      </c>
      <c r="F791">
        <f t="shared" si="158"/>
        <v>-9.4369170255959034E-9</v>
      </c>
      <c r="G791">
        <f t="shared" si="159"/>
        <v>4.6609784476459026E-8</v>
      </c>
      <c r="L791" s="7">
        <f t="shared" si="153"/>
        <v>4.9720262030229161E-2</v>
      </c>
      <c r="M791" s="7">
        <f t="shared" si="154"/>
        <v>4.9720262030229168E-2</v>
      </c>
      <c r="N791" s="20">
        <f t="shared" si="148"/>
        <v>4.9720262030229168E-2</v>
      </c>
      <c r="O791">
        <f t="shared" si="155"/>
        <v>5.8207660913467407E-10</v>
      </c>
      <c r="P791">
        <f t="shared" si="156"/>
        <v>-3.4924596548080444E-10</v>
      </c>
      <c r="Q791">
        <f t="shared" si="157"/>
        <v>-3.4924596548080444E-10</v>
      </c>
    </row>
    <row r="792" spans="2:17" x14ac:dyDescent="0.25">
      <c r="B792" s="18">
        <f t="shared" si="149"/>
        <v>1.584452641983925E-4</v>
      </c>
      <c r="C792" s="18">
        <f t="shared" si="150"/>
        <v>1.5844526419839253E-4</v>
      </c>
      <c r="D792" s="18">
        <f t="shared" si="151"/>
        <v>1.584452641983925E-4</v>
      </c>
      <c r="E792">
        <f t="shared" si="152"/>
        <v>4.6609784476459026E-8</v>
      </c>
      <c r="F792">
        <f t="shared" si="158"/>
        <v>-9.4369170255959034E-9</v>
      </c>
      <c r="G792">
        <f t="shared" si="159"/>
        <v>4.6609784476459026E-8</v>
      </c>
      <c r="L792" s="7">
        <f t="shared" si="153"/>
        <v>4.9720262030229161E-2</v>
      </c>
      <c r="M792" s="7">
        <f t="shared" si="154"/>
        <v>4.9720262030229168E-2</v>
      </c>
      <c r="N792" s="20">
        <f t="shared" si="148"/>
        <v>4.9720262030229168E-2</v>
      </c>
      <c r="O792">
        <f t="shared" si="155"/>
        <v>5.8207660913467407E-10</v>
      </c>
      <c r="P792">
        <f t="shared" si="156"/>
        <v>-3.4924596548080444E-10</v>
      </c>
      <c r="Q792">
        <f t="shared" si="157"/>
        <v>-3.4924596548080444E-10</v>
      </c>
    </row>
    <row r="793" spans="2:17" x14ac:dyDescent="0.25">
      <c r="B793" s="18">
        <f t="shared" si="149"/>
        <v>1.584452641983925E-4</v>
      </c>
      <c r="C793" s="18">
        <f t="shared" si="150"/>
        <v>1.5844526419839253E-4</v>
      </c>
      <c r="D793" s="18">
        <f t="shared" si="151"/>
        <v>1.584452641983925E-4</v>
      </c>
      <c r="E793">
        <f t="shared" si="152"/>
        <v>4.6609784476459026E-8</v>
      </c>
      <c r="F793">
        <f t="shared" si="158"/>
        <v>-9.4369170255959034E-9</v>
      </c>
      <c r="G793">
        <f t="shared" si="159"/>
        <v>4.6609784476459026E-8</v>
      </c>
      <c r="L793" s="7">
        <f t="shared" si="153"/>
        <v>4.9720262030229161E-2</v>
      </c>
      <c r="M793" s="7">
        <f t="shared" si="154"/>
        <v>4.9720262030229168E-2</v>
      </c>
      <c r="N793" s="20">
        <f t="shared" ref="N793:N856" si="160">(L793+M793)/2</f>
        <v>4.9720262030229168E-2</v>
      </c>
      <c r="O793">
        <f t="shared" si="155"/>
        <v>5.8207660913467407E-10</v>
      </c>
      <c r="P793">
        <f t="shared" si="156"/>
        <v>-3.4924596548080444E-10</v>
      </c>
      <c r="Q793">
        <f t="shared" si="157"/>
        <v>-3.4924596548080444E-10</v>
      </c>
    </row>
    <row r="794" spans="2:17" x14ac:dyDescent="0.25">
      <c r="B794" s="18">
        <f t="shared" ref="B794:B857" si="161">IF(E793*G793&lt;0,B793,D793)</f>
        <v>1.584452641983925E-4</v>
      </c>
      <c r="C794" s="18">
        <f t="shared" ref="C794:C857" si="162">IF(F793*G793&lt;0,C793,D793)</f>
        <v>1.5844526419839253E-4</v>
      </c>
      <c r="D794" s="18">
        <f t="shared" ref="D794:D857" si="163">(B794+C794)/2</f>
        <v>1.584452641983925E-4</v>
      </c>
      <c r="E794">
        <f t="shared" ref="E794:E857" si="164">IF($G$8 = "Future Value",$C$5-($D$5*(((1+B794)^($F$5*$G$5)-1)/B794)),$H$5-$D$5*((1-(1+B794)^(-1*$F$5*$G$5))/B794))</f>
        <v>4.6609784476459026E-8</v>
      </c>
      <c r="F794">
        <f t="shared" si="158"/>
        <v>-9.4369170255959034E-9</v>
      </c>
      <c r="G794">
        <f t="shared" si="159"/>
        <v>4.6609784476459026E-8</v>
      </c>
      <c r="L794" s="7">
        <f t="shared" ref="L794:L857" si="165">IF(O793*Q793&lt;0,L793,N793)</f>
        <v>4.9720262030229161E-2</v>
      </c>
      <c r="M794" s="7">
        <f t="shared" ref="M794:M857" si="166">IF(P793*Q793&lt;0,M793,N793)</f>
        <v>4.9720262030229168E-2</v>
      </c>
      <c r="N794" s="20">
        <f t="shared" si="160"/>
        <v>4.9720262030229168E-2</v>
      </c>
      <c r="O794">
        <f t="shared" ref="O794:O857" si="167">IF($Q$8 = "Future Value",$M$5-($N$5*(1+L794)*(((1+L794)^($P$5*$Q$5)-1)/L794)),$R$5-$N$5*(1+L794)*((1-(1+L794)^(-1*$P$5*$Q$5))/L794))</f>
        <v>5.8207660913467407E-10</v>
      </c>
      <c r="P794">
        <f t="shared" ref="P794:P857" si="168">IF($Q$8 = "Future Value",$M$5-($N$5*(1+M794)*(((1+M794)^($P$5*$Q$5)-1)/M794)),$R$5-$N$5*(1+M794)*((1-(1+M794)^(-1*$P$5*$Q$5))/M794))</f>
        <v>-3.4924596548080444E-10</v>
      </c>
      <c r="Q794">
        <f t="shared" ref="Q794:Q857" si="169">IF($Q$8 = "Future Value",$M$5-($N$5*(1+N794)*(((1+N794)^($P$5*$Q$5)-1)/N794)),$R$5-$N$5*(1+N794)*((1-(1+N794)^(-1*$P$5*$Q$5))/N794))</f>
        <v>-3.4924596548080444E-10</v>
      </c>
    </row>
    <row r="795" spans="2:17" x14ac:dyDescent="0.25">
      <c r="B795" s="18">
        <f t="shared" si="161"/>
        <v>1.584452641983925E-4</v>
      </c>
      <c r="C795" s="18">
        <f t="shared" si="162"/>
        <v>1.5844526419839253E-4</v>
      </c>
      <c r="D795" s="18">
        <f t="shared" si="163"/>
        <v>1.584452641983925E-4</v>
      </c>
      <c r="E795">
        <f t="shared" si="164"/>
        <v>4.6609784476459026E-8</v>
      </c>
      <c r="F795">
        <f t="shared" ref="F795:F858" si="170">IF($G$8 = "Future Value",$C$5-($D$5*(((1+C795)^($F$5*$G$5)-1)/C795)),$H$5-$D$5*((1-(1+C795)^(-1*$F$5*$G$5))/C795))</f>
        <v>-9.4369170255959034E-9</v>
      </c>
      <c r="G795">
        <f t="shared" ref="G795:G858" si="171">IF($G$8 = "Future Value",$C$5-($D$5*(((1+D795)^($F$5*$G$5)-1)/D795)),$H$5-$D$5*((1-(1+D795)^(-1*$F$5*$G$5))/D795))</f>
        <v>4.6609784476459026E-8</v>
      </c>
      <c r="L795" s="7">
        <f t="shared" si="165"/>
        <v>4.9720262030229161E-2</v>
      </c>
      <c r="M795" s="7">
        <f t="shared" si="166"/>
        <v>4.9720262030229168E-2</v>
      </c>
      <c r="N795" s="20">
        <f t="shared" si="160"/>
        <v>4.9720262030229168E-2</v>
      </c>
      <c r="O795">
        <f t="shared" si="167"/>
        <v>5.8207660913467407E-10</v>
      </c>
      <c r="P795">
        <f t="shared" si="168"/>
        <v>-3.4924596548080444E-10</v>
      </c>
      <c r="Q795">
        <f t="shared" si="169"/>
        <v>-3.4924596548080444E-10</v>
      </c>
    </row>
    <row r="796" spans="2:17" x14ac:dyDescent="0.25">
      <c r="B796" s="18">
        <f t="shared" si="161"/>
        <v>1.584452641983925E-4</v>
      </c>
      <c r="C796" s="18">
        <f t="shared" si="162"/>
        <v>1.5844526419839253E-4</v>
      </c>
      <c r="D796" s="18">
        <f t="shared" si="163"/>
        <v>1.584452641983925E-4</v>
      </c>
      <c r="E796">
        <f t="shared" si="164"/>
        <v>4.6609784476459026E-8</v>
      </c>
      <c r="F796">
        <f t="shared" si="170"/>
        <v>-9.4369170255959034E-9</v>
      </c>
      <c r="G796">
        <f t="shared" si="171"/>
        <v>4.6609784476459026E-8</v>
      </c>
      <c r="L796" s="7">
        <f t="shared" si="165"/>
        <v>4.9720262030229161E-2</v>
      </c>
      <c r="M796" s="7">
        <f t="shared" si="166"/>
        <v>4.9720262030229168E-2</v>
      </c>
      <c r="N796" s="20">
        <f t="shared" si="160"/>
        <v>4.9720262030229168E-2</v>
      </c>
      <c r="O796">
        <f t="shared" si="167"/>
        <v>5.8207660913467407E-10</v>
      </c>
      <c r="P796">
        <f t="shared" si="168"/>
        <v>-3.4924596548080444E-10</v>
      </c>
      <c r="Q796">
        <f t="shared" si="169"/>
        <v>-3.4924596548080444E-10</v>
      </c>
    </row>
    <row r="797" spans="2:17" x14ac:dyDescent="0.25">
      <c r="B797" s="18">
        <f t="shared" si="161"/>
        <v>1.584452641983925E-4</v>
      </c>
      <c r="C797" s="18">
        <f t="shared" si="162"/>
        <v>1.5844526419839253E-4</v>
      </c>
      <c r="D797" s="18">
        <f t="shared" si="163"/>
        <v>1.584452641983925E-4</v>
      </c>
      <c r="E797">
        <f t="shared" si="164"/>
        <v>4.6609784476459026E-8</v>
      </c>
      <c r="F797">
        <f t="shared" si="170"/>
        <v>-9.4369170255959034E-9</v>
      </c>
      <c r="G797">
        <f t="shared" si="171"/>
        <v>4.6609784476459026E-8</v>
      </c>
      <c r="L797" s="7">
        <f t="shared" si="165"/>
        <v>4.9720262030229161E-2</v>
      </c>
      <c r="M797" s="7">
        <f t="shared" si="166"/>
        <v>4.9720262030229168E-2</v>
      </c>
      <c r="N797" s="20">
        <f t="shared" si="160"/>
        <v>4.9720262030229168E-2</v>
      </c>
      <c r="O797">
        <f t="shared" si="167"/>
        <v>5.8207660913467407E-10</v>
      </c>
      <c r="P797">
        <f t="shared" si="168"/>
        <v>-3.4924596548080444E-10</v>
      </c>
      <c r="Q797">
        <f t="shared" si="169"/>
        <v>-3.4924596548080444E-10</v>
      </c>
    </row>
    <row r="798" spans="2:17" x14ac:dyDescent="0.25">
      <c r="B798" s="18">
        <f t="shared" si="161"/>
        <v>1.584452641983925E-4</v>
      </c>
      <c r="C798" s="18">
        <f t="shared" si="162"/>
        <v>1.5844526419839253E-4</v>
      </c>
      <c r="D798" s="18">
        <f t="shared" si="163"/>
        <v>1.584452641983925E-4</v>
      </c>
      <c r="E798">
        <f t="shared" si="164"/>
        <v>4.6609784476459026E-8</v>
      </c>
      <c r="F798">
        <f t="shared" si="170"/>
        <v>-9.4369170255959034E-9</v>
      </c>
      <c r="G798">
        <f t="shared" si="171"/>
        <v>4.6609784476459026E-8</v>
      </c>
      <c r="L798" s="7">
        <f t="shared" si="165"/>
        <v>4.9720262030229161E-2</v>
      </c>
      <c r="M798" s="7">
        <f t="shared" si="166"/>
        <v>4.9720262030229168E-2</v>
      </c>
      <c r="N798" s="20">
        <f t="shared" si="160"/>
        <v>4.9720262030229168E-2</v>
      </c>
      <c r="O798">
        <f t="shared" si="167"/>
        <v>5.8207660913467407E-10</v>
      </c>
      <c r="P798">
        <f t="shared" si="168"/>
        <v>-3.4924596548080444E-10</v>
      </c>
      <c r="Q798">
        <f t="shared" si="169"/>
        <v>-3.4924596548080444E-10</v>
      </c>
    </row>
    <row r="799" spans="2:17" x14ac:dyDescent="0.25">
      <c r="B799" s="18">
        <f t="shared" si="161"/>
        <v>1.584452641983925E-4</v>
      </c>
      <c r="C799" s="18">
        <f t="shared" si="162"/>
        <v>1.5844526419839253E-4</v>
      </c>
      <c r="D799" s="18">
        <f t="shared" si="163"/>
        <v>1.584452641983925E-4</v>
      </c>
      <c r="E799">
        <f t="shared" si="164"/>
        <v>4.6609784476459026E-8</v>
      </c>
      <c r="F799">
        <f t="shared" si="170"/>
        <v>-9.4369170255959034E-9</v>
      </c>
      <c r="G799">
        <f t="shared" si="171"/>
        <v>4.6609784476459026E-8</v>
      </c>
      <c r="L799" s="7">
        <f t="shared" si="165"/>
        <v>4.9720262030229161E-2</v>
      </c>
      <c r="M799" s="7">
        <f t="shared" si="166"/>
        <v>4.9720262030229168E-2</v>
      </c>
      <c r="N799" s="20">
        <f t="shared" si="160"/>
        <v>4.9720262030229168E-2</v>
      </c>
      <c r="O799">
        <f t="shared" si="167"/>
        <v>5.8207660913467407E-10</v>
      </c>
      <c r="P799">
        <f t="shared" si="168"/>
        <v>-3.4924596548080444E-10</v>
      </c>
      <c r="Q799">
        <f t="shared" si="169"/>
        <v>-3.4924596548080444E-10</v>
      </c>
    </row>
    <row r="800" spans="2:17" x14ac:dyDescent="0.25">
      <c r="B800" s="18">
        <f t="shared" si="161"/>
        <v>1.584452641983925E-4</v>
      </c>
      <c r="C800" s="18">
        <f t="shared" si="162"/>
        <v>1.5844526419839253E-4</v>
      </c>
      <c r="D800" s="18">
        <f t="shared" si="163"/>
        <v>1.584452641983925E-4</v>
      </c>
      <c r="E800">
        <f t="shared" si="164"/>
        <v>4.6609784476459026E-8</v>
      </c>
      <c r="F800">
        <f t="shared" si="170"/>
        <v>-9.4369170255959034E-9</v>
      </c>
      <c r="G800">
        <f t="shared" si="171"/>
        <v>4.6609784476459026E-8</v>
      </c>
      <c r="L800" s="7">
        <f t="shared" si="165"/>
        <v>4.9720262030229161E-2</v>
      </c>
      <c r="M800" s="7">
        <f t="shared" si="166"/>
        <v>4.9720262030229168E-2</v>
      </c>
      <c r="N800" s="20">
        <f t="shared" si="160"/>
        <v>4.9720262030229168E-2</v>
      </c>
      <c r="O800">
        <f t="shared" si="167"/>
        <v>5.8207660913467407E-10</v>
      </c>
      <c r="P800">
        <f t="shared" si="168"/>
        <v>-3.4924596548080444E-10</v>
      </c>
      <c r="Q800">
        <f t="shared" si="169"/>
        <v>-3.4924596548080444E-10</v>
      </c>
    </row>
    <row r="801" spans="2:17" x14ac:dyDescent="0.25">
      <c r="B801" s="18">
        <f t="shared" si="161"/>
        <v>1.584452641983925E-4</v>
      </c>
      <c r="C801" s="18">
        <f t="shared" si="162"/>
        <v>1.5844526419839253E-4</v>
      </c>
      <c r="D801" s="18">
        <f t="shared" si="163"/>
        <v>1.584452641983925E-4</v>
      </c>
      <c r="E801">
        <f t="shared" si="164"/>
        <v>4.6609784476459026E-8</v>
      </c>
      <c r="F801">
        <f t="shared" si="170"/>
        <v>-9.4369170255959034E-9</v>
      </c>
      <c r="G801">
        <f t="shared" si="171"/>
        <v>4.6609784476459026E-8</v>
      </c>
      <c r="L801" s="7">
        <f t="shared" si="165"/>
        <v>4.9720262030229161E-2</v>
      </c>
      <c r="M801" s="7">
        <f t="shared" si="166"/>
        <v>4.9720262030229168E-2</v>
      </c>
      <c r="N801" s="20">
        <f t="shared" si="160"/>
        <v>4.9720262030229168E-2</v>
      </c>
      <c r="O801">
        <f t="shared" si="167"/>
        <v>5.8207660913467407E-10</v>
      </c>
      <c r="P801">
        <f t="shared" si="168"/>
        <v>-3.4924596548080444E-10</v>
      </c>
      <c r="Q801">
        <f t="shared" si="169"/>
        <v>-3.4924596548080444E-10</v>
      </c>
    </row>
    <row r="802" spans="2:17" x14ac:dyDescent="0.25">
      <c r="B802" s="18">
        <f t="shared" si="161"/>
        <v>1.584452641983925E-4</v>
      </c>
      <c r="C802" s="18">
        <f t="shared" si="162"/>
        <v>1.5844526419839253E-4</v>
      </c>
      <c r="D802" s="18">
        <f t="shared" si="163"/>
        <v>1.584452641983925E-4</v>
      </c>
      <c r="E802">
        <f t="shared" si="164"/>
        <v>4.6609784476459026E-8</v>
      </c>
      <c r="F802">
        <f t="shared" si="170"/>
        <v>-9.4369170255959034E-9</v>
      </c>
      <c r="G802">
        <f t="shared" si="171"/>
        <v>4.6609784476459026E-8</v>
      </c>
      <c r="L802" s="7">
        <f t="shared" si="165"/>
        <v>4.9720262030229161E-2</v>
      </c>
      <c r="M802" s="7">
        <f t="shared" si="166"/>
        <v>4.9720262030229168E-2</v>
      </c>
      <c r="N802" s="20">
        <f t="shared" si="160"/>
        <v>4.9720262030229168E-2</v>
      </c>
      <c r="O802">
        <f t="shared" si="167"/>
        <v>5.8207660913467407E-10</v>
      </c>
      <c r="P802">
        <f t="shared" si="168"/>
        <v>-3.4924596548080444E-10</v>
      </c>
      <c r="Q802">
        <f t="shared" si="169"/>
        <v>-3.4924596548080444E-10</v>
      </c>
    </row>
    <row r="803" spans="2:17" x14ac:dyDescent="0.25">
      <c r="B803" s="18">
        <f t="shared" si="161"/>
        <v>1.584452641983925E-4</v>
      </c>
      <c r="C803" s="18">
        <f t="shared" si="162"/>
        <v>1.5844526419839253E-4</v>
      </c>
      <c r="D803" s="18">
        <f t="shared" si="163"/>
        <v>1.584452641983925E-4</v>
      </c>
      <c r="E803">
        <f t="shared" si="164"/>
        <v>4.6609784476459026E-8</v>
      </c>
      <c r="F803">
        <f t="shared" si="170"/>
        <v>-9.4369170255959034E-9</v>
      </c>
      <c r="G803">
        <f t="shared" si="171"/>
        <v>4.6609784476459026E-8</v>
      </c>
      <c r="L803" s="7">
        <f t="shared" si="165"/>
        <v>4.9720262030229161E-2</v>
      </c>
      <c r="M803" s="7">
        <f t="shared" si="166"/>
        <v>4.9720262030229168E-2</v>
      </c>
      <c r="N803" s="20">
        <f t="shared" si="160"/>
        <v>4.9720262030229168E-2</v>
      </c>
      <c r="O803">
        <f t="shared" si="167"/>
        <v>5.8207660913467407E-10</v>
      </c>
      <c r="P803">
        <f t="shared" si="168"/>
        <v>-3.4924596548080444E-10</v>
      </c>
      <c r="Q803">
        <f t="shared" si="169"/>
        <v>-3.4924596548080444E-10</v>
      </c>
    </row>
    <row r="804" spans="2:17" x14ac:dyDescent="0.25">
      <c r="B804" s="18">
        <f t="shared" si="161"/>
        <v>1.584452641983925E-4</v>
      </c>
      <c r="C804" s="18">
        <f t="shared" si="162"/>
        <v>1.5844526419839253E-4</v>
      </c>
      <c r="D804" s="18">
        <f t="shared" si="163"/>
        <v>1.584452641983925E-4</v>
      </c>
      <c r="E804">
        <f t="shared" si="164"/>
        <v>4.6609784476459026E-8</v>
      </c>
      <c r="F804">
        <f t="shared" si="170"/>
        <v>-9.4369170255959034E-9</v>
      </c>
      <c r="G804">
        <f t="shared" si="171"/>
        <v>4.6609784476459026E-8</v>
      </c>
      <c r="L804" s="7">
        <f t="shared" si="165"/>
        <v>4.9720262030229161E-2</v>
      </c>
      <c r="M804" s="7">
        <f t="shared" si="166"/>
        <v>4.9720262030229168E-2</v>
      </c>
      <c r="N804" s="20">
        <f t="shared" si="160"/>
        <v>4.9720262030229168E-2</v>
      </c>
      <c r="O804">
        <f t="shared" si="167"/>
        <v>5.8207660913467407E-10</v>
      </c>
      <c r="P804">
        <f t="shared" si="168"/>
        <v>-3.4924596548080444E-10</v>
      </c>
      <c r="Q804">
        <f t="shared" si="169"/>
        <v>-3.4924596548080444E-10</v>
      </c>
    </row>
    <row r="805" spans="2:17" x14ac:dyDescent="0.25">
      <c r="B805" s="18">
        <f t="shared" si="161"/>
        <v>1.584452641983925E-4</v>
      </c>
      <c r="C805" s="18">
        <f t="shared" si="162"/>
        <v>1.5844526419839253E-4</v>
      </c>
      <c r="D805" s="18">
        <f t="shared" si="163"/>
        <v>1.584452641983925E-4</v>
      </c>
      <c r="E805">
        <f t="shared" si="164"/>
        <v>4.6609784476459026E-8</v>
      </c>
      <c r="F805">
        <f t="shared" si="170"/>
        <v>-9.4369170255959034E-9</v>
      </c>
      <c r="G805">
        <f t="shared" si="171"/>
        <v>4.6609784476459026E-8</v>
      </c>
      <c r="L805" s="7">
        <f t="shared" si="165"/>
        <v>4.9720262030229161E-2</v>
      </c>
      <c r="M805" s="7">
        <f t="shared" si="166"/>
        <v>4.9720262030229168E-2</v>
      </c>
      <c r="N805" s="20">
        <f t="shared" si="160"/>
        <v>4.9720262030229168E-2</v>
      </c>
      <c r="O805">
        <f t="shared" si="167"/>
        <v>5.8207660913467407E-10</v>
      </c>
      <c r="P805">
        <f t="shared" si="168"/>
        <v>-3.4924596548080444E-10</v>
      </c>
      <c r="Q805">
        <f t="shared" si="169"/>
        <v>-3.4924596548080444E-10</v>
      </c>
    </row>
    <row r="806" spans="2:17" x14ac:dyDescent="0.25">
      <c r="B806" s="18">
        <f t="shared" si="161"/>
        <v>1.584452641983925E-4</v>
      </c>
      <c r="C806" s="18">
        <f t="shared" si="162"/>
        <v>1.5844526419839253E-4</v>
      </c>
      <c r="D806" s="18">
        <f t="shared" si="163"/>
        <v>1.584452641983925E-4</v>
      </c>
      <c r="E806">
        <f t="shared" si="164"/>
        <v>4.6609784476459026E-8</v>
      </c>
      <c r="F806">
        <f t="shared" si="170"/>
        <v>-9.4369170255959034E-9</v>
      </c>
      <c r="G806">
        <f t="shared" si="171"/>
        <v>4.6609784476459026E-8</v>
      </c>
      <c r="L806" s="7">
        <f t="shared" si="165"/>
        <v>4.9720262030229161E-2</v>
      </c>
      <c r="M806" s="7">
        <f t="shared" si="166"/>
        <v>4.9720262030229168E-2</v>
      </c>
      <c r="N806" s="20">
        <f t="shared" si="160"/>
        <v>4.9720262030229168E-2</v>
      </c>
      <c r="O806">
        <f t="shared" si="167"/>
        <v>5.8207660913467407E-10</v>
      </c>
      <c r="P806">
        <f t="shared" si="168"/>
        <v>-3.4924596548080444E-10</v>
      </c>
      <c r="Q806">
        <f t="shared" si="169"/>
        <v>-3.4924596548080444E-10</v>
      </c>
    </row>
    <row r="807" spans="2:17" x14ac:dyDescent="0.25">
      <c r="B807" s="18">
        <f t="shared" si="161"/>
        <v>1.584452641983925E-4</v>
      </c>
      <c r="C807" s="18">
        <f t="shared" si="162"/>
        <v>1.5844526419839253E-4</v>
      </c>
      <c r="D807" s="18">
        <f t="shared" si="163"/>
        <v>1.584452641983925E-4</v>
      </c>
      <c r="E807">
        <f t="shared" si="164"/>
        <v>4.6609784476459026E-8</v>
      </c>
      <c r="F807">
        <f t="shared" si="170"/>
        <v>-9.4369170255959034E-9</v>
      </c>
      <c r="G807">
        <f t="shared" si="171"/>
        <v>4.6609784476459026E-8</v>
      </c>
      <c r="L807" s="7">
        <f t="shared" si="165"/>
        <v>4.9720262030229161E-2</v>
      </c>
      <c r="M807" s="7">
        <f t="shared" si="166"/>
        <v>4.9720262030229168E-2</v>
      </c>
      <c r="N807" s="20">
        <f t="shared" si="160"/>
        <v>4.9720262030229168E-2</v>
      </c>
      <c r="O807">
        <f t="shared" si="167"/>
        <v>5.8207660913467407E-10</v>
      </c>
      <c r="P807">
        <f t="shared" si="168"/>
        <v>-3.4924596548080444E-10</v>
      </c>
      <c r="Q807">
        <f t="shared" si="169"/>
        <v>-3.4924596548080444E-10</v>
      </c>
    </row>
    <row r="808" spans="2:17" x14ac:dyDescent="0.25">
      <c r="B808" s="18">
        <f t="shared" si="161"/>
        <v>1.584452641983925E-4</v>
      </c>
      <c r="C808" s="18">
        <f t="shared" si="162"/>
        <v>1.5844526419839253E-4</v>
      </c>
      <c r="D808" s="18">
        <f t="shared" si="163"/>
        <v>1.584452641983925E-4</v>
      </c>
      <c r="E808">
        <f t="shared" si="164"/>
        <v>4.6609784476459026E-8</v>
      </c>
      <c r="F808">
        <f t="shared" si="170"/>
        <v>-9.4369170255959034E-9</v>
      </c>
      <c r="G808">
        <f t="shared" si="171"/>
        <v>4.6609784476459026E-8</v>
      </c>
      <c r="L808" s="7">
        <f t="shared" si="165"/>
        <v>4.9720262030229161E-2</v>
      </c>
      <c r="M808" s="7">
        <f t="shared" si="166"/>
        <v>4.9720262030229168E-2</v>
      </c>
      <c r="N808" s="20">
        <f t="shared" si="160"/>
        <v>4.9720262030229168E-2</v>
      </c>
      <c r="O808">
        <f t="shared" si="167"/>
        <v>5.8207660913467407E-10</v>
      </c>
      <c r="P808">
        <f t="shared" si="168"/>
        <v>-3.4924596548080444E-10</v>
      </c>
      <c r="Q808">
        <f t="shared" si="169"/>
        <v>-3.4924596548080444E-10</v>
      </c>
    </row>
    <row r="809" spans="2:17" x14ac:dyDescent="0.25">
      <c r="B809" s="18">
        <f t="shared" si="161"/>
        <v>1.584452641983925E-4</v>
      </c>
      <c r="C809" s="18">
        <f t="shared" si="162"/>
        <v>1.5844526419839253E-4</v>
      </c>
      <c r="D809" s="18">
        <f t="shared" si="163"/>
        <v>1.584452641983925E-4</v>
      </c>
      <c r="E809">
        <f t="shared" si="164"/>
        <v>4.6609784476459026E-8</v>
      </c>
      <c r="F809">
        <f t="shared" si="170"/>
        <v>-9.4369170255959034E-9</v>
      </c>
      <c r="G809">
        <f t="shared" si="171"/>
        <v>4.6609784476459026E-8</v>
      </c>
      <c r="L809" s="7">
        <f t="shared" si="165"/>
        <v>4.9720262030229161E-2</v>
      </c>
      <c r="M809" s="7">
        <f t="shared" si="166"/>
        <v>4.9720262030229168E-2</v>
      </c>
      <c r="N809" s="20">
        <f t="shared" si="160"/>
        <v>4.9720262030229168E-2</v>
      </c>
      <c r="O809">
        <f t="shared" si="167"/>
        <v>5.8207660913467407E-10</v>
      </c>
      <c r="P809">
        <f t="shared" si="168"/>
        <v>-3.4924596548080444E-10</v>
      </c>
      <c r="Q809">
        <f t="shared" si="169"/>
        <v>-3.4924596548080444E-10</v>
      </c>
    </row>
    <row r="810" spans="2:17" x14ac:dyDescent="0.25">
      <c r="B810" s="18">
        <f t="shared" si="161"/>
        <v>1.584452641983925E-4</v>
      </c>
      <c r="C810" s="18">
        <f t="shared" si="162"/>
        <v>1.5844526419839253E-4</v>
      </c>
      <c r="D810" s="18">
        <f t="shared" si="163"/>
        <v>1.584452641983925E-4</v>
      </c>
      <c r="E810">
        <f t="shared" si="164"/>
        <v>4.6609784476459026E-8</v>
      </c>
      <c r="F810">
        <f t="shared" si="170"/>
        <v>-9.4369170255959034E-9</v>
      </c>
      <c r="G810">
        <f t="shared" si="171"/>
        <v>4.6609784476459026E-8</v>
      </c>
      <c r="L810" s="7">
        <f t="shared" si="165"/>
        <v>4.9720262030229161E-2</v>
      </c>
      <c r="M810" s="7">
        <f t="shared" si="166"/>
        <v>4.9720262030229168E-2</v>
      </c>
      <c r="N810" s="20">
        <f t="shared" si="160"/>
        <v>4.9720262030229168E-2</v>
      </c>
      <c r="O810">
        <f t="shared" si="167"/>
        <v>5.8207660913467407E-10</v>
      </c>
      <c r="P810">
        <f t="shared" si="168"/>
        <v>-3.4924596548080444E-10</v>
      </c>
      <c r="Q810">
        <f t="shared" si="169"/>
        <v>-3.4924596548080444E-10</v>
      </c>
    </row>
    <row r="811" spans="2:17" x14ac:dyDescent="0.25">
      <c r="B811" s="18">
        <f t="shared" si="161"/>
        <v>1.584452641983925E-4</v>
      </c>
      <c r="C811" s="18">
        <f t="shared" si="162"/>
        <v>1.5844526419839253E-4</v>
      </c>
      <c r="D811" s="18">
        <f t="shared" si="163"/>
        <v>1.584452641983925E-4</v>
      </c>
      <c r="E811">
        <f t="shared" si="164"/>
        <v>4.6609784476459026E-8</v>
      </c>
      <c r="F811">
        <f t="shared" si="170"/>
        <v>-9.4369170255959034E-9</v>
      </c>
      <c r="G811">
        <f t="shared" si="171"/>
        <v>4.6609784476459026E-8</v>
      </c>
      <c r="L811" s="7">
        <f t="shared" si="165"/>
        <v>4.9720262030229161E-2</v>
      </c>
      <c r="M811" s="7">
        <f t="shared" si="166"/>
        <v>4.9720262030229168E-2</v>
      </c>
      <c r="N811" s="20">
        <f t="shared" si="160"/>
        <v>4.9720262030229168E-2</v>
      </c>
      <c r="O811">
        <f t="shared" si="167"/>
        <v>5.8207660913467407E-10</v>
      </c>
      <c r="P811">
        <f t="shared" si="168"/>
        <v>-3.4924596548080444E-10</v>
      </c>
      <c r="Q811">
        <f t="shared" si="169"/>
        <v>-3.4924596548080444E-10</v>
      </c>
    </row>
    <row r="812" spans="2:17" x14ac:dyDescent="0.25">
      <c r="B812" s="18">
        <f t="shared" si="161"/>
        <v>1.584452641983925E-4</v>
      </c>
      <c r="C812" s="18">
        <f t="shared" si="162"/>
        <v>1.5844526419839253E-4</v>
      </c>
      <c r="D812" s="18">
        <f t="shared" si="163"/>
        <v>1.584452641983925E-4</v>
      </c>
      <c r="E812">
        <f t="shared" si="164"/>
        <v>4.6609784476459026E-8</v>
      </c>
      <c r="F812">
        <f t="shared" si="170"/>
        <v>-9.4369170255959034E-9</v>
      </c>
      <c r="G812">
        <f t="shared" si="171"/>
        <v>4.6609784476459026E-8</v>
      </c>
      <c r="L812" s="7">
        <f t="shared" si="165"/>
        <v>4.9720262030229161E-2</v>
      </c>
      <c r="M812" s="7">
        <f t="shared" si="166"/>
        <v>4.9720262030229168E-2</v>
      </c>
      <c r="N812" s="20">
        <f t="shared" si="160"/>
        <v>4.9720262030229168E-2</v>
      </c>
      <c r="O812">
        <f t="shared" si="167"/>
        <v>5.8207660913467407E-10</v>
      </c>
      <c r="P812">
        <f t="shared" si="168"/>
        <v>-3.4924596548080444E-10</v>
      </c>
      <c r="Q812">
        <f t="shared" si="169"/>
        <v>-3.4924596548080444E-10</v>
      </c>
    </row>
    <row r="813" spans="2:17" x14ac:dyDescent="0.25">
      <c r="B813" s="18">
        <f t="shared" si="161"/>
        <v>1.584452641983925E-4</v>
      </c>
      <c r="C813" s="18">
        <f t="shared" si="162"/>
        <v>1.5844526419839253E-4</v>
      </c>
      <c r="D813" s="18">
        <f t="shared" si="163"/>
        <v>1.584452641983925E-4</v>
      </c>
      <c r="E813">
        <f t="shared" si="164"/>
        <v>4.6609784476459026E-8</v>
      </c>
      <c r="F813">
        <f t="shared" si="170"/>
        <v>-9.4369170255959034E-9</v>
      </c>
      <c r="G813">
        <f t="shared" si="171"/>
        <v>4.6609784476459026E-8</v>
      </c>
      <c r="L813" s="7">
        <f t="shared" si="165"/>
        <v>4.9720262030229161E-2</v>
      </c>
      <c r="M813" s="7">
        <f t="shared" si="166"/>
        <v>4.9720262030229168E-2</v>
      </c>
      <c r="N813" s="20">
        <f t="shared" si="160"/>
        <v>4.9720262030229168E-2</v>
      </c>
      <c r="O813">
        <f t="shared" si="167"/>
        <v>5.8207660913467407E-10</v>
      </c>
      <c r="P813">
        <f t="shared" si="168"/>
        <v>-3.4924596548080444E-10</v>
      </c>
      <c r="Q813">
        <f t="shared" si="169"/>
        <v>-3.4924596548080444E-10</v>
      </c>
    </row>
    <row r="814" spans="2:17" x14ac:dyDescent="0.25">
      <c r="B814" s="18">
        <f t="shared" si="161"/>
        <v>1.584452641983925E-4</v>
      </c>
      <c r="C814" s="18">
        <f t="shared" si="162"/>
        <v>1.5844526419839253E-4</v>
      </c>
      <c r="D814" s="18">
        <f t="shared" si="163"/>
        <v>1.584452641983925E-4</v>
      </c>
      <c r="E814">
        <f t="shared" si="164"/>
        <v>4.6609784476459026E-8</v>
      </c>
      <c r="F814">
        <f t="shared" si="170"/>
        <v>-9.4369170255959034E-9</v>
      </c>
      <c r="G814">
        <f t="shared" si="171"/>
        <v>4.6609784476459026E-8</v>
      </c>
      <c r="L814" s="7">
        <f t="shared" si="165"/>
        <v>4.9720262030229161E-2</v>
      </c>
      <c r="M814" s="7">
        <f t="shared" si="166"/>
        <v>4.9720262030229168E-2</v>
      </c>
      <c r="N814" s="20">
        <f t="shared" si="160"/>
        <v>4.9720262030229168E-2</v>
      </c>
      <c r="O814">
        <f t="shared" si="167"/>
        <v>5.8207660913467407E-10</v>
      </c>
      <c r="P814">
        <f t="shared" si="168"/>
        <v>-3.4924596548080444E-10</v>
      </c>
      <c r="Q814">
        <f t="shared" si="169"/>
        <v>-3.4924596548080444E-10</v>
      </c>
    </row>
    <row r="815" spans="2:17" x14ac:dyDescent="0.25">
      <c r="B815" s="18">
        <f t="shared" si="161"/>
        <v>1.584452641983925E-4</v>
      </c>
      <c r="C815" s="18">
        <f t="shared" si="162"/>
        <v>1.5844526419839253E-4</v>
      </c>
      <c r="D815" s="18">
        <f t="shared" si="163"/>
        <v>1.584452641983925E-4</v>
      </c>
      <c r="E815">
        <f t="shared" si="164"/>
        <v>4.6609784476459026E-8</v>
      </c>
      <c r="F815">
        <f t="shared" si="170"/>
        <v>-9.4369170255959034E-9</v>
      </c>
      <c r="G815">
        <f t="shared" si="171"/>
        <v>4.6609784476459026E-8</v>
      </c>
      <c r="L815" s="7">
        <f t="shared" si="165"/>
        <v>4.9720262030229161E-2</v>
      </c>
      <c r="M815" s="7">
        <f t="shared" si="166"/>
        <v>4.9720262030229168E-2</v>
      </c>
      <c r="N815" s="20">
        <f t="shared" si="160"/>
        <v>4.9720262030229168E-2</v>
      </c>
      <c r="O815">
        <f t="shared" si="167"/>
        <v>5.8207660913467407E-10</v>
      </c>
      <c r="P815">
        <f t="shared" si="168"/>
        <v>-3.4924596548080444E-10</v>
      </c>
      <c r="Q815">
        <f t="shared" si="169"/>
        <v>-3.4924596548080444E-10</v>
      </c>
    </row>
    <row r="816" spans="2:17" x14ac:dyDescent="0.25">
      <c r="B816" s="18">
        <f t="shared" si="161"/>
        <v>1.584452641983925E-4</v>
      </c>
      <c r="C816" s="18">
        <f t="shared" si="162"/>
        <v>1.5844526419839253E-4</v>
      </c>
      <c r="D816" s="18">
        <f t="shared" si="163"/>
        <v>1.584452641983925E-4</v>
      </c>
      <c r="E816">
        <f t="shared" si="164"/>
        <v>4.6609784476459026E-8</v>
      </c>
      <c r="F816">
        <f t="shared" si="170"/>
        <v>-9.4369170255959034E-9</v>
      </c>
      <c r="G816">
        <f t="shared" si="171"/>
        <v>4.6609784476459026E-8</v>
      </c>
      <c r="L816" s="7">
        <f t="shared" si="165"/>
        <v>4.9720262030229161E-2</v>
      </c>
      <c r="M816" s="7">
        <f t="shared" si="166"/>
        <v>4.9720262030229168E-2</v>
      </c>
      <c r="N816" s="20">
        <f t="shared" si="160"/>
        <v>4.9720262030229168E-2</v>
      </c>
      <c r="O816">
        <f t="shared" si="167"/>
        <v>5.8207660913467407E-10</v>
      </c>
      <c r="P816">
        <f t="shared" si="168"/>
        <v>-3.4924596548080444E-10</v>
      </c>
      <c r="Q816">
        <f t="shared" si="169"/>
        <v>-3.4924596548080444E-10</v>
      </c>
    </row>
    <row r="817" spans="2:17" x14ac:dyDescent="0.25">
      <c r="B817" s="18">
        <f t="shared" si="161"/>
        <v>1.584452641983925E-4</v>
      </c>
      <c r="C817" s="18">
        <f t="shared" si="162"/>
        <v>1.5844526419839253E-4</v>
      </c>
      <c r="D817" s="18">
        <f t="shared" si="163"/>
        <v>1.584452641983925E-4</v>
      </c>
      <c r="E817">
        <f t="shared" si="164"/>
        <v>4.6609784476459026E-8</v>
      </c>
      <c r="F817">
        <f t="shared" si="170"/>
        <v>-9.4369170255959034E-9</v>
      </c>
      <c r="G817">
        <f t="shared" si="171"/>
        <v>4.6609784476459026E-8</v>
      </c>
      <c r="L817" s="7">
        <f t="shared" si="165"/>
        <v>4.9720262030229161E-2</v>
      </c>
      <c r="M817" s="7">
        <f t="shared" si="166"/>
        <v>4.9720262030229168E-2</v>
      </c>
      <c r="N817" s="20">
        <f t="shared" si="160"/>
        <v>4.9720262030229168E-2</v>
      </c>
      <c r="O817">
        <f t="shared" si="167"/>
        <v>5.8207660913467407E-10</v>
      </c>
      <c r="P817">
        <f t="shared" si="168"/>
        <v>-3.4924596548080444E-10</v>
      </c>
      <c r="Q817">
        <f t="shared" si="169"/>
        <v>-3.4924596548080444E-10</v>
      </c>
    </row>
    <row r="818" spans="2:17" x14ac:dyDescent="0.25">
      <c r="B818" s="18">
        <f t="shared" si="161"/>
        <v>1.584452641983925E-4</v>
      </c>
      <c r="C818" s="18">
        <f t="shared" si="162"/>
        <v>1.5844526419839253E-4</v>
      </c>
      <c r="D818" s="18">
        <f t="shared" si="163"/>
        <v>1.584452641983925E-4</v>
      </c>
      <c r="E818">
        <f t="shared" si="164"/>
        <v>4.6609784476459026E-8</v>
      </c>
      <c r="F818">
        <f t="shared" si="170"/>
        <v>-9.4369170255959034E-9</v>
      </c>
      <c r="G818">
        <f t="shared" si="171"/>
        <v>4.6609784476459026E-8</v>
      </c>
      <c r="L818" s="7">
        <f t="shared" si="165"/>
        <v>4.9720262030229161E-2</v>
      </c>
      <c r="M818" s="7">
        <f t="shared" si="166"/>
        <v>4.9720262030229168E-2</v>
      </c>
      <c r="N818" s="20">
        <f t="shared" si="160"/>
        <v>4.9720262030229168E-2</v>
      </c>
      <c r="O818">
        <f t="shared" si="167"/>
        <v>5.8207660913467407E-10</v>
      </c>
      <c r="P818">
        <f t="shared" si="168"/>
        <v>-3.4924596548080444E-10</v>
      </c>
      <c r="Q818">
        <f t="shared" si="169"/>
        <v>-3.4924596548080444E-10</v>
      </c>
    </row>
    <row r="819" spans="2:17" x14ac:dyDescent="0.25">
      <c r="B819" s="18">
        <f t="shared" si="161"/>
        <v>1.584452641983925E-4</v>
      </c>
      <c r="C819" s="18">
        <f t="shared" si="162"/>
        <v>1.5844526419839253E-4</v>
      </c>
      <c r="D819" s="18">
        <f t="shared" si="163"/>
        <v>1.584452641983925E-4</v>
      </c>
      <c r="E819">
        <f t="shared" si="164"/>
        <v>4.6609784476459026E-8</v>
      </c>
      <c r="F819">
        <f t="shared" si="170"/>
        <v>-9.4369170255959034E-9</v>
      </c>
      <c r="G819">
        <f t="shared" si="171"/>
        <v>4.6609784476459026E-8</v>
      </c>
      <c r="L819" s="7">
        <f t="shared" si="165"/>
        <v>4.9720262030229161E-2</v>
      </c>
      <c r="M819" s="7">
        <f t="shared" si="166"/>
        <v>4.9720262030229168E-2</v>
      </c>
      <c r="N819" s="20">
        <f t="shared" si="160"/>
        <v>4.9720262030229168E-2</v>
      </c>
      <c r="O819">
        <f t="shared" si="167"/>
        <v>5.8207660913467407E-10</v>
      </c>
      <c r="P819">
        <f t="shared" si="168"/>
        <v>-3.4924596548080444E-10</v>
      </c>
      <c r="Q819">
        <f t="shared" si="169"/>
        <v>-3.4924596548080444E-10</v>
      </c>
    </row>
    <row r="820" spans="2:17" x14ac:dyDescent="0.25">
      <c r="B820" s="18">
        <f t="shared" si="161"/>
        <v>1.584452641983925E-4</v>
      </c>
      <c r="C820" s="18">
        <f t="shared" si="162"/>
        <v>1.5844526419839253E-4</v>
      </c>
      <c r="D820" s="18">
        <f t="shared" si="163"/>
        <v>1.584452641983925E-4</v>
      </c>
      <c r="E820">
        <f t="shared" si="164"/>
        <v>4.6609784476459026E-8</v>
      </c>
      <c r="F820">
        <f t="shared" si="170"/>
        <v>-9.4369170255959034E-9</v>
      </c>
      <c r="G820">
        <f t="shared" si="171"/>
        <v>4.6609784476459026E-8</v>
      </c>
      <c r="L820" s="7">
        <f t="shared" si="165"/>
        <v>4.9720262030229161E-2</v>
      </c>
      <c r="M820" s="7">
        <f t="shared" si="166"/>
        <v>4.9720262030229168E-2</v>
      </c>
      <c r="N820" s="20">
        <f t="shared" si="160"/>
        <v>4.9720262030229168E-2</v>
      </c>
      <c r="O820">
        <f t="shared" si="167"/>
        <v>5.8207660913467407E-10</v>
      </c>
      <c r="P820">
        <f t="shared" si="168"/>
        <v>-3.4924596548080444E-10</v>
      </c>
      <c r="Q820">
        <f t="shared" si="169"/>
        <v>-3.4924596548080444E-10</v>
      </c>
    </row>
    <row r="821" spans="2:17" x14ac:dyDescent="0.25">
      <c r="B821" s="18">
        <f t="shared" si="161"/>
        <v>1.584452641983925E-4</v>
      </c>
      <c r="C821" s="18">
        <f t="shared" si="162"/>
        <v>1.5844526419839253E-4</v>
      </c>
      <c r="D821" s="18">
        <f t="shared" si="163"/>
        <v>1.584452641983925E-4</v>
      </c>
      <c r="E821">
        <f t="shared" si="164"/>
        <v>4.6609784476459026E-8</v>
      </c>
      <c r="F821">
        <f t="shared" si="170"/>
        <v>-9.4369170255959034E-9</v>
      </c>
      <c r="G821">
        <f t="shared" si="171"/>
        <v>4.6609784476459026E-8</v>
      </c>
      <c r="L821" s="7">
        <f t="shared" si="165"/>
        <v>4.9720262030229161E-2</v>
      </c>
      <c r="M821" s="7">
        <f t="shared" si="166"/>
        <v>4.9720262030229168E-2</v>
      </c>
      <c r="N821" s="20">
        <f t="shared" si="160"/>
        <v>4.9720262030229168E-2</v>
      </c>
      <c r="O821">
        <f t="shared" si="167"/>
        <v>5.8207660913467407E-10</v>
      </c>
      <c r="P821">
        <f t="shared" si="168"/>
        <v>-3.4924596548080444E-10</v>
      </c>
      <c r="Q821">
        <f t="shared" si="169"/>
        <v>-3.4924596548080444E-10</v>
      </c>
    </row>
    <row r="822" spans="2:17" x14ac:dyDescent="0.25">
      <c r="B822" s="18">
        <f t="shared" si="161"/>
        <v>1.584452641983925E-4</v>
      </c>
      <c r="C822" s="18">
        <f t="shared" si="162"/>
        <v>1.5844526419839253E-4</v>
      </c>
      <c r="D822" s="18">
        <f t="shared" si="163"/>
        <v>1.584452641983925E-4</v>
      </c>
      <c r="E822">
        <f t="shared" si="164"/>
        <v>4.6609784476459026E-8</v>
      </c>
      <c r="F822">
        <f t="shared" si="170"/>
        <v>-9.4369170255959034E-9</v>
      </c>
      <c r="G822">
        <f t="shared" si="171"/>
        <v>4.6609784476459026E-8</v>
      </c>
      <c r="L822" s="7">
        <f t="shared" si="165"/>
        <v>4.9720262030229161E-2</v>
      </c>
      <c r="M822" s="7">
        <f t="shared" si="166"/>
        <v>4.9720262030229168E-2</v>
      </c>
      <c r="N822" s="20">
        <f t="shared" si="160"/>
        <v>4.9720262030229168E-2</v>
      </c>
      <c r="O822">
        <f t="shared" si="167"/>
        <v>5.8207660913467407E-10</v>
      </c>
      <c r="P822">
        <f t="shared" si="168"/>
        <v>-3.4924596548080444E-10</v>
      </c>
      <c r="Q822">
        <f t="shared" si="169"/>
        <v>-3.4924596548080444E-10</v>
      </c>
    </row>
    <row r="823" spans="2:17" x14ac:dyDescent="0.25">
      <c r="B823" s="18">
        <f t="shared" si="161"/>
        <v>1.584452641983925E-4</v>
      </c>
      <c r="C823" s="18">
        <f t="shared" si="162"/>
        <v>1.5844526419839253E-4</v>
      </c>
      <c r="D823" s="18">
        <f t="shared" si="163"/>
        <v>1.584452641983925E-4</v>
      </c>
      <c r="E823">
        <f t="shared" si="164"/>
        <v>4.6609784476459026E-8</v>
      </c>
      <c r="F823">
        <f t="shared" si="170"/>
        <v>-9.4369170255959034E-9</v>
      </c>
      <c r="G823">
        <f t="shared" si="171"/>
        <v>4.6609784476459026E-8</v>
      </c>
      <c r="L823" s="7">
        <f t="shared" si="165"/>
        <v>4.9720262030229161E-2</v>
      </c>
      <c r="M823" s="7">
        <f t="shared" si="166"/>
        <v>4.9720262030229168E-2</v>
      </c>
      <c r="N823" s="20">
        <f t="shared" si="160"/>
        <v>4.9720262030229168E-2</v>
      </c>
      <c r="O823">
        <f t="shared" si="167"/>
        <v>5.8207660913467407E-10</v>
      </c>
      <c r="P823">
        <f t="shared" si="168"/>
        <v>-3.4924596548080444E-10</v>
      </c>
      <c r="Q823">
        <f t="shared" si="169"/>
        <v>-3.4924596548080444E-10</v>
      </c>
    </row>
    <row r="824" spans="2:17" x14ac:dyDescent="0.25">
      <c r="B824" s="18">
        <f t="shared" si="161"/>
        <v>1.584452641983925E-4</v>
      </c>
      <c r="C824" s="18">
        <f t="shared" si="162"/>
        <v>1.5844526419839253E-4</v>
      </c>
      <c r="D824" s="18">
        <f t="shared" si="163"/>
        <v>1.584452641983925E-4</v>
      </c>
      <c r="E824">
        <f t="shared" si="164"/>
        <v>4.6609784476459026E-8</v>
      </c>
      <c r="F824">
        <f t="shared" si="170"/>
        <v>-9.4369170255959034E-9</v>
      </c>
      <c r="G824">
        <f t="shared" si="171"/>
        <v>4.6609784476459026E-8</v>
      </c>
      <c r="L824" s="7">
        <f t="shared" si="165"/>
        <v>4.9720262030229161E-2</v>
      </c>
      <c r="M824" s="7">
        <f t="shared" si="166"/>
        <v>4.9720262030229168E-2</v>
      </c>
      <c r="N824" s="20">
        <f t="shared" si="160"/>
        <v>4.9720262030229168E-2</v>
      </c>
      <c r="O824">
        <f t="shared" si="167"/>
        <v>5.8207660913467407E-10</v>
      </c>
      <c r="P824">
        <f t="shared" si="168"/>
        <v>-3.4924596548080444E-10</v>
      </c>
      <c r="Q824">
        <f t="shared" si="169"/>
        <v>-3.4924596548080444E-10</v>
      </c>
    </row>
    <row r="825" spans="2:17" x14ac:dyDescent="0.25">
      <c r="B825" s="18">
        <f t="shared" si="161"/>
        <v>1.584452641983925E-4</v>
      </c>
      <c r="C825" s="18">
        <f t="shared" si="162"/>
        <v>1.5844526419839253E-4</v>
      </c>
      <c r="D825" s="18">
        <f t="shared" si="163"/>
        <v>1.584452641983925E-4</v>
      </c>
      <c r="E825">
        <f t="shared" si="164"/>
        <v>4.6609784476459026E-8</v>
      </c>
      <c r="F825">
        <f t="shared" si="170"/>
        <v>-9.4369170255959034E-9</v>
      </c>
      <c r="G825">
        <f t="shared" si="171"/>
        <v>4.6609784476459026E-8</v>
      </c>
      <c r="L825" s="7">
        <f t="shared" si="165"/>
        <v>4.9720262030229161E-2</v>
      </c>
      <c r="M825" s="7">
        <f t="shared" si="166"/>
        <v>4.9720262030229168E-2</v>
      </c>
      <c r="N825" s="20">
        <f t="shared" si="160"/>
        <v>4.9720262030229168E-2</v>
      </c>
      <c r="O825">
        <f t="shared" si="167"/>
        <v>5.8207660913467407E-10</v>
      </c>
      <c r="P825">
        <f t="shared" si="168"/>
        <v>-3.4924596548080444E-10</v>
      </c>
      <c r="Q825">
        <f t="shared" si="169"/>
        <v>-3.4924596548080444E-10</v>
      </c>
    </row>
    <row r="826" spans="2:17" x14ac:dyDescent="0.25">
      <c r="B826" s="18">
        <f t="shared" si="161"/>
        <v>1.584452641983925E-4</v>
      </c>
      <c r="C826" s="18">
        <f t="shared" si="162"/>
        <v>1.5844526419839253E-4</v>
      </c>
      <c r="D826" s="18">
        <f t="shared" si="163"/>
        <v>1.584452641983925E-4</v>
      </c>
      <c r="E826">
        <f t="shared" si="164"/>
        <v>4.6609784476459026E-8</v>
      </c>
      <c r="F826">
        <f t="shared" si="170"/>
        <v>-9.4369170255959034E-9</v>
      </c>
      <c r="G826">
        <f t="shared" si="171"/>
        <v>4.6609784476459026E-8</v>
      </c>
      <c r="L826" s="7">
        <f t="shared" si="165"/>
        <v>4.9720262030229161E-2</v>
      </c>
      <c r="M826" s="7">
        <f t="shared" si="166"/>
        <v>4.9720262030229168E-2</v>
      </c>
      <c r="N826" s="20">
        <f t="shared" si="160"/>
        <v>4.9720262030229168E-2</v>
      </c>
      <c r="O826">
        <f t="shared" si="167"/>
        <v>5.8207660913467407E-10</v>
      </c>
      <c r="P826">
        <f t="shared" si="168"/>
        <v>-3.4924596548080444E-10</v>
      </c>
      <c r="Q826">
        <f t="shared" si="169"/>
        <v>-3.4924596548080444E-10</v>
      </c>
    </row>
    <row r="827" spans="2:17" x14ac:dyDescent="0.25">
      <c r="B827" s="18">
        <f t="shared" si="161"/>
        <v>1.584452641983925E-4</v>
      </c>
      <c r="C827" s="18">
        <f t="shared" si="162"/>
        <v>1.5844526419839253E-4</v>
      </c>
      <c r="D827" s="18">
        <f t="shared" si="163"/>
        <v>1.584452641983925E-4</v>
      </c>
      <c r="E827">
        <f t="shared" si="164"/>
        <v>4.6609784476459026E-8</v>
      </c>
      <c r="F827">
        <f t="shared" si="170"/>
        <v>-9.4369170255959034E-9</v>
      </c>
      <c r="G827">
        <f t="shared" si="171"/>
        <v>4.6609784476459026E-8</v>
      </c>
      <c r="L827" s="7">
        <f t="shared" si="165"/>
        <v>4.9720262030229161E-2</v>
      </c>
      <c r="M827" s="7">
        <f t="shared" si="166"/>
        <v>4.9720262030229168E-2</v>
      </c>
      <c r="N827" s="20">
        <f t="shared" si="160"/>
        <v>4.9720262030229168E-2</v>
      </c>
      <c r="O827">
        <f t="shared" si="167"/>
        <v>5.8207660913467407E-10</v>
      </c>
      <c r="P827">
        <f t="shared" si="168"/>
        <v>-3.4924596548080444E-10</v>
      </c>
      <c r="Q827">
        <f t="shared" si="169"/>
        <v>-3.4924596548080444E-10</v>
      </c>
    </row>
    <row r="828" spans="2:17" x14ac:dyDescent="0.25">
      <c r="B828" s="18">
        <f t="shared" si="161"/>
        <v>1.584452641983925E-4</v>
      </c>
      <c r="C828" s="18">
        <f t="shared" si="162"/>
        <v>1.5844526419839253E-4</v>
      </c>
      <c r="D828" s="18">
        <f t="shared" si="163"/>
        <v>1.584452641983925E-4</v>
      </c>
      <c r="E828">
        <f t="shared" si="164"/>
        <v>4.6609784476459026E-8</v>
      </c>
      <c r="F828">
        <f t="shared" si="170"/>
        <v>-9.4369170255959034E-9</v>
      </c>
      <c r="G828">
        <f t="shared" si="171"/>
        <v>4.6609784476459026E-8</v>
      </c>
      <c r="L828" s="7">
        <f t="shared" si="165"/>
        <v>4.9720262030229161E-2</v>
      </c>
      <c r="M828" s="7">
        <f t="shared" si="166"/>
        <v>4.9720262030229168E-2</v>
      </c>
      <c r="N828" s="20">
        <f t="shared" si="160"/>
        <v>4.9720262030229168E-2</v>
      </c>
      <c r="O828">
        <f t="shared" si="167"/>
        <v>5.8207660913467407E-10</v>
      </c>
      <c r="P828">
        <f t="shared" si="168"/>
        <v>-3.4924596548080444E-10</v>
      </c>
      <c r="Q828">
        <f t="shared" si="169"/>
        <v>-3.4924596548080444E-10</v>
      </c>
    </row>
    <row r="829" spans="2:17" x14ac:dyDescent="0.25">
      <c r="B829" s="18">
        <f t="shared" si="161"/>
        <v>1.584452641983925E-4</v>
      </c>
      <c r="C829" s="18">
        <f t="shared" si="162"/>
        <v>1.5844526419839253E-4</v>
      </c>
      <c r="D829" s="18">
        <f t="shared" si="163"/>
        <v>1.584452641983925E-4</v>
      </c>
      <c r="E829">
        <f t="shared" si="164"/>
        <v>4.6609784476459026E-8</v>
      </c>
      <c r="F829">
        <f t="shared" si="170"/>
        <v>-9.4369170255959034E-9</v>
      </c>
      <c r="G829">
        <f t="shared" si="171"/>
        <v>4.6609784476459026E-8</v>
      </c>
      <c r="L829" s="7">
        <f t="shared" si="165"/>
        <v>4.9720262030229161E-2</v>
      </c>
      <c r="M829" s="7">
        <f t="shared" si="166"/>
        <v>4.9720262030229168E-2</v>
      </c>
      <c r="N829" s="20">
        <f t="shared" si="160"/>
        <v>4.9720262030229168E-2</v>
      </c>
      <c r="O829">
        <f t="shared" si="167"/>
        <v>5.8207660913467407E-10</v>
      </c>
      <c r="P829">
        <f t="shared" si="168"/>
        <v>-3.4924596548080444E-10</v>
      </c>
      <c r="Q829">
        <f t="shared" si="169"/>
        <v>-3.4924596548080444E-10</v>
      </c>
    </row>
    <row r="830" spans="2:17" x14ac:dyDescent="0.25">
      <c r="B830" s="18">
        <f t="shared" si="161"/>
        <v>1.584452641983925E-4</v>
      </c>
      <c r="C830" s="18">
        <f t="shared" si="162"/>
        <v>1.5844526419839253E-4</v>
      </c>
      <c r="D830" s="18">
        <f t="shared" si="163"/>
        <v>1.584452641983925E-4</v>
      </c>
      <c r="E830">
        <f t="shared" si="164"/>
        <v>4.6609784476459026E-8</v>
      </c>
      <c r="F830">
        <f t="shared" si="170"/>
        <v>-9.4369170255959034E-9</v>
      </c>
      <c r="G830">
        <f t="shared" si="171"/>
        <v>4.6609784476459026E-8</v>
      </c>
      <c r="L830" s="7">
        <f t="shared" si="165"/>
        <v>4.9720262030229161E-2</v>
      </c>
      <c r="M830" s="7">
        <f t="shared" si="166"/>
        <v>4.9720262030229168E-2</v>
      </c>
      <c r="N830" s="20">
        <f t="shared" si="160"/>
        <v>4.9720262030229168E-2</v>
      </c>
      <c r="O830">
        <f t="shared" si="167"/>
        <v>5.8207660913467407E-10</v>
      </c>
      <c r="P830">
        <f t="shared" si="168"/>
        <v>-3.4924596548080444E-10</v>
      </c>
      <c r="Q830">
        <f t="shared" si="169"/>
        <v>-3.4924596548080444E-10</v>
      </c>
    </row>
    <row r="831" spans="2:17" x14ac:dyDescent="0.25">
      <c r="B831" s="18">
        <f t="shared" si="161"/>
        <v>1.584452641983925E-4</v>
      </c>
      <c r="C831" s="18">
        <f t="shared" si="162"/>
        <v>1.5844526419839253E-4</v>
      </c>
      <c r="D831" s="18">
        <f t="shared" si="163"/>
        <v>1.584452641983925E-4</v>
      </c>
      <c r="E831">
        <f t="shared" si="164"/>
        <v>4.6609784476459026E-8</v>
      </c>
      <c r="F831">
        <f t="shared" si="170"/>
        <v>-9.4369170255959034E-9</v>
      </c>
      <c r="G831">
        <f t="shared" si="171"/>
        <v>4.6609784476459026E-8</v>
      </c>
      <c r="L831" s="7">
        <f t="shared" si="165"/>
        <v>4.9720262030229161E-2</v>
      </c>
      <c r="M831" s="7">
        <f t="shared" si="166"/>
        <v>4.9720262030229168E-2</v>
      </c>
      <c r="N831" s="20">
        <f t="shared" si="160"/>
        <v>4.9720262030229168E-2</v>
      </c>
      <c r="O831">
        <f t="shared" si="167"/>
        <v>5.8207660913467407E-10</v>
      </c>
      <c r="P831">
        <f t="shared" si="168"/>
        <v>-3.4924596548080444E-10</v>
      </c>
      <c r="Q831">
        <f t="shared" si="169"/>
        <v>-3.4924596548080444E-10</v>
      </c>
    </row>
    <row r="832" spans="2:17" x14ac:dyDescent="0.25">
      <c r="B832" s="18">
        <f t="shared" si="161"/>
        <v>1.584452641983925E-4</v>
      </c>
      <c r="C832" s="18">
        <f t="shared" si="162"/>
        <v>1.5844526419839253E-4</v>
      </c>
      <c r="D832" s="18">
        <f t="shared" si="163"/>
        <v>1.584452641983925E-4</v>
      </c>
      <c r="E832">
        <f t="shared" si="164"/>
        <v>4.6609784476459026E-8</v>
      </c>
      <c r="F832">
        <f t="shared" si="170"/>
        <v>-9.4369170255959034E-9</v>
      </c>
      <c r="G832">
        <f t="shared" si="171"/>
        <v>4.6609784476459026E-8</v>
      </c>
      <c r="L832" s="7">
        <f t="shared" si="165"/>
        <v>4.9720262030229161E-2</v>
      </c>
      <c r="M832" s="7">
        <f t="shared" si="166"/>
        <v>4.9720262030229168E-2</v>
      </c>
      <c r="N832" s="20">
        <f t="shared" si="160"/>
        <v>4.9720262030229168E-2</v>
      </c>
      <c r="O832">
        <f t="shared" si="167"/>
        <v>5.8207660913467407E-10</v>
      </c>
      <c r="P832">
        <f t="shared" si="168"/>
        <v>-3.4924596548080444E-10</v>
      </c>
      <c r="Q832">
        <f t="shared" si="169"/>
        <v>-3.4924596548080444E-10</v>
      </c>
    </row>
    <row r="833" spans="2:17" x14ac:dyDescent="0.25">
      <c r="B833" s="18">
        <f t="shared" si="161"/>
        <v>1.584452641983925E-4</v>
      </c>
      <c r="C833" s="18">
        <f t="shared" si="162"/>
        <v>1.5844526419839253E-4</v>
      </c>
      <c r="D833" s="18">
        <f t="shared" si="163"/>
        <v>1.584452641983925E-4</v>
      </c>
      <c r="E833">
        <f t="shared" si="164"/>
        <v>4.6609784476459026E-8</v>
      </c>
      <c r="F833">
        <f t="shared" si="170"/>
        <v>-9.4369170255959034E-9</v>
      </c>
      <c r="G833">
        <f t="shared" si="171"/>
        <v>4.6609784476459026E-8</v>
      </c>
      <c r="L833" s="7">
        <f t="shared" si="165"/>
        <v>4.9720262030229161E-2</v>
      </c>
      <c r="M833" s="7">
        <f t="shared" si="166"/>
        <v>4.9720262030229168E-2</v>
      </c>
      <c r="N833" s="20">
        <f t="shared" si="160"/>
        <v>4.9720262030229168E-2</v>
      </c>
      <c r="O833">
        <f t="shared" si="167"/>
        <v>5.8207660913467407E-10</v>
      </c>
      <c r="P833">
        <f t="shared" si="168"/>
        <v>-3.4924596548080444E-10</v>
      </c>
      <c r="Q833">
        <f t="shared" si="169"/>
        <v>-3.4924596548080444E-10</v>
      </c>
    </row>
    <row r="834" spans="2:17" x14ac:dyDescent="0.25">
      <c r="B834" s="18">
        <f t="shared" si="161"/>
        <v>1.584452641983925E-4</v>
      </c>
      <c r="C834" s="18">
        <f t="shared" si="162"/>
        <v>1.5844526419839253E-4</v>
      </c>
      <c r="D834" s="18">
        <f t="shared" si="163"/>
        <v>1.584452641983925E-4</v>
      </c>
      <c r="E834">
        <f t="shared" si="164"/>
        <v>4.6609784476459026E-8</v>
      </c>
      <c r="F834">
        <f t="shared" si="170"/>
        <v>-9.4369170255959034E-9</v>
      </c>
      <c r="G834">
        <f t="shared" si="171"/>
        <v>4.6609784476459026E-8</v>
      </c>
      <c r="L834" s="7">
        <f t="shared" si="165"/>
        <v>4.9720262030229161E-2</v>
      </c>
      <c r="M834" s="7">
        <f t="shared" si="166"/>
        <v>4.9720262030229168E-2</v>
      </c>
      <c r="N834" s="20">
        <f t="shared" si="160"/>
        <v>4.9720262030229168E-2</v>
      </c>
      <c r="O834">
        <f t="shared" si="167"/>
        <v>5.8207660913467407E-10</v>
      </c>
      <c r="P834">
        <f t="shared" si="168"/>
        <v>-3.4924596548080444E-10</v>
      </c>
      <c r="Q834">
        <f t="shared" si="169"/>
        <v>-3.4924596548080444E-10</v>
      </c>
    </row>
    <row r="835" spans="2:17" x14ac:dyDescent="0.25">
      <c r="B835" s="18">
        <f t="shared" si="161"/>
        <v>1.584452641983925E-4</v>
      </c>
      <c r="C835" s="18">
        <f t="shared" si="162"/>
        <v>1.5844526419839253E-4</v>
      </c>
      <c r="D835" s="18">
        <f t="shared" si="163"/>
        <v>1.584452641983925E-4</v>
      </c>
      <c r="E835">
        <f t="shared" si="164"/>
        <v>4.6609784476459026E-8</v>
      </c>
      <c r="F835">
        <f t="shared" si="170"/>
        <v>-9.4369170255959034E-9</v>
      </c>
      <c r="G835">
        <f t="shared" si="171"/>
        <v>4.6609784476459026E-8</v>
      </c>
      <c r="L835" s="7">
        <f t="shared" si="165"/>
        <v>4.9720262030229161E-2</v>
      </c>
      <c r="M835" s="7">
        <f t="shared" si="166"/>
        <v>4.9720262030229168E-2</v>
      </c>
      <c r="N835" s="20">
        <f t="shared" si="160"/>
        <v>4.9720262030229168E-2</v>
      </c>
      <c r="O835">
        <f t="shared" si="167"/>
        <v>5.8207660913467407E-10</v>
      </c>
      <c r="P835">
        <f t="shared" si="168"/>
        <v>-3.4924596548080444E-10</v>
      </c>
      <c r="Q835">
        <f t="shared" si="169"/>
        <v>-3.4924596548080444E-10</v>
      </c>
    </row>
    <row r="836" spans="2:17" x14ac:dyDescent="0.25">
      <c r="B836" s="18">
        <f t="shared" si="161"/>
        <v>1.584452641983925E-4</v>
      </c>
      <c r="C836" s="18">
        <f t="shared" si="162"/>
        <v>1.5844526419839253E-4</v>
      </c>
      <c r="D836" s="18">
        <f t="shared" si="163"/>
        <v>1.584452641983925E-4</v>
      </c>
      <c r="E836">
        <f t="shared" si="164"/>
        <v>4.6609784476459026E-8</v>
      </c>
      <c r="F836">
        <f t="shared" si="170"/>
        <v>-9.4369170255959034E-9</v>
      </c>
      <c r="G836">
        <f t="shared" si="171"/>
        <v>4.6609784476459026E-8</v>
      </c>
      <c r="L836" s="7">
        <f t="shared" si="165"/>
        <v>4.9720262030229161E-2</v>
      </c>
      <c r="M836" s="7">
        <f t="shared" si="166"/>
        <v>4.9720262030229168E-2</v>
      </c>
      <c r="N836" s="20">
        <f t="shared" si="160"/>
        <v>4.9720262030229168E-2</v>
      </c>
      <c r="O836">
        <f t="shared" si="167"/>
        <v>5.8207660913467407E-10</v>
      </c>
      <c r="P836">
        <f t="shared" si="168"/>
        <v>-3.4924596548080444E-10</v>
      </c>
      <c r="Q836">
        <f t="shared" si="169"/>
        <v>-3.4924596548080444E-10</v>
      </c>
    </row>
    <row r="837" spans="2:17" x14ac:dyDescent="0.25">
      <c r="B837" s="18">
        <f t="shared" si="161"/>
        <v>1.584452641983925E-4</v>
      </c>
      <c r="C837" s="18">
        <f t="shared" si="162"/>
        <v>1.5844526419839253E-4</v>
      </c>
      <c r="D837" s="18">
        <f t="shared" si="163"/>
        <v>1.584452641983925E-4</v>
      </c>
      <c r="E837">
        <f t="shared" si="164"/>
        <v>4.6609784476459026E-8</v>
      </c>
      <c r="F837">
        <f t="shared" si="170"/>
        <v>-9.4369170255959034E-9</v>
      </c>
      <c r="G837">
        <f t="shared" si="171"/>
        <v>4.6609784476459026E-8</v>
      </c>
      <c r="L837" s="7">
        <f t="shared" si="165"/>
        <v>4.9720262030229161E-2</v>
      </c>
      <c r="M837" s="7">
        <f t="shared" si="166"/>
        <v>4.9720262030229168E-2</v>
      </c>
      <c r="N837" s="20">
        <f t="shared" si="160"/>
        <v>4.9720262030229168E-2</v>
      </c>
      <c r="O837">
        <f t="shared" si="167"/>
        <v>5.8207660913467407E-10</v>
      </c>
      <c r="P837">
        <f t="shared" si="168"/>
        <v>-3.4924596548080444E-10</v>
      </c>
      <c r="Q837">
        <f t="shared" si="169"/>
        <v>-3.4924596548080444E-10</v>
      </c>
    </row>
    <row r="838" spans="2:17" x14ac:dyDescent="0.25">
      <c r="B838" s="18">
        <f t="shared" si="161"/>
        <v>1.584452641983925E-4</v>
      </c>
      <c r="C838" s="18">
        <f t="shared" si="162"/>
        <v>1.5844526419839253E-4</v>
      </c>
      <c r="D838" s="18">
        <f t="shared" si="163"/>
        <v>1.584452641983925E-4</v>
      </c>
      <c r="E838">
        <f t="shared" si="164"/>
        <v>4.6609784476459026E-8</v>
      </c>
      <c r="F838">
        <f t="shared" si="170"/>
        <v>-9.4369170255959034E-9</v>
      </c>
      <c r="G838">
        <f t="shared" si="171"/>
        <v>4.6609784476459026E-8</v>
      </c>
      <c r="L838" s="7">
        <f t="shared" si="165"/>
        <v>4.9720262030229161E-2</v>
      </c>
      <c r="M838" s="7">
        <f t="shared" si="166"/>
        <v>4.9720262030229168E-2</v>
      </c>
      <c r="N838" s="20">
        <f t="shared" si="160"/>
        <v>4.9720262030229168E-2</v>
      </c>
      <c r="O838">
        <f t="shared" si="167"/>
        <v>5.8207660913467407E-10</v>
      </c>
      <c r="P838">
        <f t="shared" si="168"/>
        <v>-3.4924596548080444E-10</v>
      </c>
      <c r="Q838">
        <f t="shared" si="169"/>
        <v>-3.4924596548080444E-10</v>
      </c>
    </row>
    <row r="839" spans="2:17" x14ac:dyDescent="0.25">
      <c r="B839" s="18">
        <f t="shared" si="161"/>
        <v>1.584452641983925E-4</v>
      </c>
      <c r="C839" s="18">
        <f t="shared" si="162"/>
        <v>1.5844526419839253E-4</v>
      </c>
      <c r="D839" s="18">
        <f t="shared" si="163"/>
        <v>1.584452641983925E-4</v>
      </c>
      <c r="E839">
        <f t="shared" si="164"/>
        <v>4.6609784476459026E-8</v>
      </c>
      <c r="F839">
        <f t="shared" si="170"/>
        <v>-9.4369170255959034E-9</v>
      </c>
      <c r="G839">
        <f t="shared" si="171"/>
        <v>4.6609784476459026E-8</v>
      </c>
      <c r="L839" s="7">
        <f t="shared" si="165"/>
        <v>4.9720262030229161E-2</v>
      </c>
      <c r="M839" s="7">
        <f t="shared" si="166"/>
        <v>4.9720262030229168E-2</v>
      </c>
      <c r="N839" s="20">
        <f t="shared" si="160"/>
        <v>4.9720262030229168E-2</v>
      </c>
      <c r="O839">
        <f t="shared" si="167"/>
        <v>5.8207660913467407E-10</v>
      </c>
      <c r="P839">
        <f t="shared" si="168"/>
        <v>-3.4924596548080444E-10</v>
      </c>
      <c r="Q839">
        <f t="shared" si="169"/>
        <v>-3.4924596548080444E-10</v>
      </c>
    </row>
    <row r="840" spans="2:17" x14ac:dyDescent="0.25">
      <c r="B840" s="18">
        <f t="shared" si="161"/>
        <v>1.584452641983925E-4</v>
      </c>
      <c r="C840" s="18">
        <f t="shared" si="162"/>
        <v>1.5844526419839253E-4</v>
      </c>
      <c r="D840" s="18">
        <f t="shared" si="163"/>
        <v>1.584452641983925E-4</v>
      </c>
      <c r="E840">
        <f t="shared" si="164"/>
        <v>4.6609784476459026E-8</v>
      </c>
      <c r="F840">
        <f t="shared" si="170"/>
        <v>-9.4369170255959034E-9</v>
      </c>
      <c r="G840">
        <f t="shared" si="171"/>
        <v>4.6609784476459026E-8</v>
      </c>
      <c r="L840" s="7">
        <f t="shared" si="165"/>
        <v>4.9720262030229161E-2</v>
      </c>
      <c r="M840" s="7">
        <f t="shared" si="166"/>
        <v>4.9720262030229168E-2</v>
      </c>
      <c r="N840" s="20">
        <f t="shared" si="160"/>
        <v>4.9720262030229168E-2</v>
      </c>
      <c r="O840">
        <f t="shared" si="167"/>
        <v>5.8207660913467407E-10</v>
      </c>
      <c r="P840">
        <f t="shared" si="168"/>
        <v>-3.4924596548080444E-10</v>
      </c>
      <c r="Q840">
        <f t="shared" si="169"/>
        <v>-3.4924596548080444E-10</v>
      </c>
    </row>
    <row r="841" spans="2:17" x14ac:dyDescent="0.25">
      <c r="B841" s="18">
        <f t="shared" si="161"/>
        <v>1.584452641983925E-4</v>
      </c>
      <c r="C841" s="18">
        <f t="shared" si="162"/>
        <v>1.5844526419839253E-4</v>
      </c>
      <c r="D841" s="18">
        <f t="shared" si="163"/>
        <v>1.584452641983925E-4</v>
      </c>
      <c r="E841">
        <f t="shared" si="164"/>
        <v>4.6609784476459026E-8</v>
      </c>
      <c r="F841">
        <f t="shared" si="170"/>
        <v>-9.4369170255959034E-9</v>
      </c>
      <c r="G841">
        <f t="shared" si="171"/>
        <v>4.6609784476459026E-8</v>
      </c>
      <c r="L841" s="7">
        <f t="shared" si="165"/>
        <v>4.9720262030229161E-2</v>
      </c>
      <c r="M841" s="7">
        <f t="shared" si="166"/>
        <v>4.9720262030229168E-2</v>
      </c>
      <c r="N841" s="20">
        <f t="shared" si="160"/>
        <v>4.9720262030229168E-2</v>
      </c>
      <c r="O841">
        <f t="shared" si="167"/>
        <v>5.8207660913467407E-10</v>
      </c>
      <c r="P841">
        <f t="shared" si="168"/>
        <v>-3.4924596548080444E-10</v>
      </c>
      <c r="Q841">
        <f t="shared" si="169"/>
        <v>-3.4924596548080444E-10</v>
      </c>
    </row>
    <row r="842" spans="2:17" x14ac:dyDescent="0.25">
      <c r="B842" s="18">
        <f t="shared" si="161"/>
        <v>1.584452641983925E-4</v>
      </c>
      <c r="C842" s="18">
        <f t="shared" si="162"/>
        <v>1.5844526419839253E-4</v>
      </c>
      <c r="D842" s="18">
        <f t="shared" si="163"/>
        <v>1.584452641983925E-4</v>
      </c>
      <c r="E842">
        <f t="shared" si="164"/>
        <v>4.6609784476459026E-8</v>
      </c>
      <c r="F842">
        <f t="shared" si="170"/>
        <v>-9.4369170255959034E-9</v>
      </c>
      <c r="G842">
        <f t="shared" si="171"/>
        <v>4.6609784476459026E-8</v>
      </c>
      <c r="L842" s="7">
        <f t="shared" si="165"/>
        <v>4.9720262030229161E-2</v>
      </c>
      <c r="M842" s="7">
        <f t="shared" si="166"/>
        <v>4.9720262030229168E-2</v>
      </c>
      <c r="N842" s="20">
        <f t="shared" si="160"/>
        <v>4.9720262030229168E-2</v>
      </c>
      <c r="O842">
        <f t="shared" si="167"/>
        <v>5.8207660913467407E-10</v>
      </c>
      <c r="P842">
        <f t="shared" si="168"/>
        <v>-3.4924596548080444E-10</v>
      </c>
      <c r="Q842">
        <f t="shared" si="169"/>
        <v>-3.4924596548080444E-10</v>
      </c>
    </row>
    <row r="843" spans="2:17" x14ac:dyDescent="0.25">
      <c r="B843" s="18">
        <f t="shared" si="161"/>
        <v>1.584452641983925E-4</v>
      </c>
      <c r="C843" s="18">
        <f t="shared" si="162"/>
        <v>1.5844526419839253E-4</v>
      </c>
      <c r="D843" s="18">
        <f t="shared" si="163"/>
        <v>1.584452641983925E-4</v>
      </c>
      <c r="E843">
        <f t="shared" si="164"/>
        <v>4.6609784476459026E-8</v>
      </c>
      <c r="F843">
        <f t="shared" si="170"/>
        <v>-9.4369170255959034E-9</v>
      </c>
      <c r="G843">
        <f t="shared" si="171"/>
        <v>4.6609784476459026E-8</v>
      </c>
      <c r="L843" s="7">
        <f t="shared" si="165"/>
        <v>4.9720262030229161E-2</v>
      </c>
      <c r="M843" s="7">
        <f t="shared" si="166"/>
        <v>4.9720262030229168E-2</v>
      </c>
      <c r="N843" s="20">
        <f t="shared" si="160"/>
        <v>4.9720262030229168E-2</v>
      </c>
      <c r="O843">
        <f t="shared" si="167"/>
        <v>5.8207660913467407E-10</v>
      </c>
      <c r="P843">
        <f t="shared" si="168"/>
        <v>-3.4924596548080444E-10</v>
      </c>
      <c r="Q843">
        <f t="shared" si="169"/>
        <v>-3.4924596548080444E-10</v>
      </c>
    </row>
    <row r="844" spans="2:17" x14ac:dyDescent="0.25">
      <c r="B844" s="18">
        <f t="shared" si="161"/>
        <v>1.584452641983925E-4</v>
      </c>
      <c r="C844" s="18">
        <f t="shared" si="162"/>
        <v>1.5844526419839253E-4</v>
      </c>
      <c r="D844" s="18">
        <f t="shared" si="163"/>
        <v>1.584452641983925E-4</v>
      </c>
      <c r="E844">
        <f t="shared" si="164"/>
        <v>4.6609784476459026E-8</v>
      </c>
      <c r="F844">
        <f t="shared" si="170"/>
        <v>-9.4369170255959034E-9</v>
      </c>
      <c r="G844">
        <f t="shared" si="171"/>
        <v>4.6609784476459026E-8</v>
      </c>
      <c r="L844" s="7">
        <f t="shared" si="165"/>
        <v>4.9720262030229161E-2</v>
      </c>
      <c r="M844" s="7">
        <f t="shared" si="166"/>
        <v>4.9720262030229168E-2</v>
      </c>
      <c r="N844" s="20">
        <f t="shared" si="160"/>
        <v>4.9720262030229168E-2</v>
      </c>
      <c r="O844">
        <f t="shared" si="167"/>
        <v>5.8207660913467407E-10</v>
      </c>
      <c r="P844">
        <f t="shared" si="168"/>
        <v>-3.4924596548080444E-10</v>
      </c>
      <c r="Q844">
        <f t="shared" si="169"/>
        <v>-3.4924596548080444E-10</v>
      </c>
    </row>
    <row r="845" spans="2:17" x14ac:dyDescent="0.25">
      <c r="B845" s="18">
        <f t="shared" si="161"/>
        <v>1.584452641983925E-4</v>
      </c>
      <c r="C845" s="18">
        <f t="shared" si="162"/>
        <v>1.5844526419839253E-4</v>
      </c>
      <c r="D845" s="18">
        <f t="shared" si="163"/>
        <v>1.584452641983925E-4</v>
      </c>
      <c r="E845">
        <f t="shared" si="164"/>
        <v>4.6609784476459026E-8</v>
      </c>
      <c r="F845">
        <f t="shared" si="170"/>
        <v>-9.4369170255959034E-9</v>
      </c>
      <c r="G845">
        <f t="shared" si="171"/>
        <v>4.6609784476459026E-8</v>
      </c>
      <c r="L845" s="7">
        <f t="shared" si="165"/>
        <v>4.9720262030229161E-2</v>
      </c>
      <c r="M845" s="7">
        <f t="shared" si="166"/>
        <v>4.9720262030229168E-2</v>
      </c>
      <c r="N845" s="20">
        <f t="shared" si="160"/>
        <v>4.9720262030229168E-2</v>
      </c>
      <c r="O845">
        <f t="shared" si="167"/>
        <v>5.8207660913467407E-10</v>
      </c>
      <c r="P845">
        <f t="shared" si="168"/>
        <v>-3.4924596548080444E-10</v>
      </c>
      <c r="Q845">
        <f t="shared" si="169"/>
        <v>-3.4924596548080444E-10</v>
      </c>
    </row>
    <row r="846" spans="2:17" x14ac:dyDescent="0.25">
      <c r="B846" s="18">
        <f t="shared" si="161"/>
        <v>1.584452641983925E-4</v>
      </c>
      <c r="C846" s="18">
        <f t="shared" si="162"/>
        <v>1.5844526419839253E-4</v>
      </c>
      <c r="D846" s="18">
        <f t="shared" si="163"/>
        <v>1.584452641983925E-4</v>
      </c>
      <c r="E846">
        <f t="shared" si="164"/>
        <v>4.6609784476459026E-8</v>
      </c>
      <c r="F846">
        <f t="shared" si="170"/>
        <v>-9.4369170255959034E-9</v>
      </c>
      <c r="G846">
        <f t="shared" si="171"/>
        <v>4.6609784476459026E-8</v>
      </c>
      <c r="L846" s="7">
        <f t="shared" si="165"/>
        <v>4.9720262030229161E-2</v>
      </c>
      <c r="M846" s="7">
        <f t="shared" si="166"/>
        <v>4.9720262030229168E-2</v>
      </c>
      <c r="N846" s="20">
        <f t="shared" si="160"/>
        <v>4.9720262030229168E-2</v>
      </c>
      <c r="O846">
        <f t="shared" si="167"/>
        <v>5.8207660913467407E-10</v>
      </c>
      <c r="P846">
        <f t="shared" si="168"/>
        <v>-3.4924596548080444E-10</v>
      </c>
      <c r="Q846">
        <f t="shared" si="169"/>
        <v>-3.4924596548080444E-10</v>
      </c>
    </row>
    <row r="847" spans="2:17" x14ac:dyDescent="0.25">
      <c r="B847" s="18">
        <f t="shared" si="161"/>
        <v>1.584452641983925E-4</v>
      </c>
      <c r="C847" s="18">
        <f t="shared" si="162"/>
        <v>1.5844526419839253E-4</v>
      </c>
      <c r="D847" s="18">
        <f t="shared" si="163"/>
        <v>1.584452641983925E-4</v>
      </c>
      <c r="E847">
        <f t="shared" si="164"/>
        <v>4.6609784476459026E-8</v>
      </c>
      <c r="F847">
        <f t="shared" si="170"/>
        <v>-9.4369170255959034E-9</v>
      </c>
      <c r="G847">
        <f t="shared" si="171"/>
        <v>4.6609784476459026E-8</v>
      </c>
      <c r="L847" s="7">
        <f t="shared" si="165"/>
        <v>4.9720262030229161E-2</v>
      </c>
      <c r="M847" s="7">
        <f t="shared" si="166"/>
        <v>4.9720262030229168E-2</v>
      </c>
      <c r="N847" s="20">
        <f t="shared" si="160"/>
        <v>4.9720262030229168E-2</v>
      </c>
      <c r="O847">
        <f t="shared" si="167"/>
        <v>5.8207660913467407E-10</v>
      </c>
      <c r="P847">
        <f t="shared" si="168"/>
        <v>-3.4924596548080444E-10</v>
      </c>
      <c r="Q847">
        <f t="shared" si="169"/>
        <v>-3.4924596548080444E-10</v>
      </c>
    </row>
    <row r="848" spans="2:17" x14ac:dyDescent="0.25">
      <c r="B848" s="18">
        <f t="shared" si="161"/>
        <v>1.584452641983925E-4</v>
      </c>
      <c r="C848" s="18">
        <f t="shared" si="162"/>
        <v>1.5844526419839253E-4</v>
      </c>
      <c r="D848" s="18">
        <f t="shared" si="163"/>
        <v>1.584452641983925E-4</v>
      </c>
      <c r="E848">
        <f t="shared" si="164"/>
        <v>4.6609784476459026E-8</v>
      </c>
      <c r="F848">
        <f t="shared" si="170"/>
        <v>-9.4369170255959034E-9</v>
      </c>
      <c r="G848">
        <f t="shared" si="171"/>
        <v>4.6609784476459026E-8</v>
      </c>
      <c r="L848" s="7">
        <f t="shared" si="165"/>
        <v>4.9720262030229161E-2</v>
      </c>
      <c r="M848" s="7">
        <f t="shared" si="166"/>
        <v>4.9720262030229168E-2</v>
      </c>
      <c r="N848" s="20">
        <f t="shared" si="160"/>
        <v>4.9720262030229168E-2</v>
      </c>
      <c r="O848">
        <f t="shared" si="167"/>
        <v>5.8207660913467407E-10</v>
      </c>
      <c r="P848">
        <f t="shared" si="168"/>
        <v>-3.4924596548080444E-10</v>
      </c>
      <c r="Q848">
        <f t="shared" si="169"/>
        <v>-3.4924596548080444E-10</v>
      </c>
    </row>
    <row r="849" spans="2:17" x14ac:dyDescent="0.25">
      <c r="B849" s="18">
        <f t="shared" si="161"/>
        <v>1.584452641983925E-4</v>
      </c>
      <c r="C849" s="18">
        <f t="shared" si="162"/>
        <v>1.5844526419839253E-4</v>
      </c>
      <c r="D849" s="18">
        <f t="shared" si="163"/>
        <v>1.584452641983925E-4</v>
      </c>
      <c r="E849">
        <f t="shared" si="164"/>
        <v>4.6609784476459026E-8</v>
      </c>
      <c r="F849">
        <f t="shared" si="170"/>
        <v>-9.4369170255959034E-9</v>
      </c>
      <c r="G849">
        <f t="shared" si="171"/>
        <v>4.6609784476459026E-8</v>
      </c>
      <c r="L849" s="7">
        <f t="shared" si="165"/>
        <v>4.9720262030229161E-2</v>
      </c>
      <c r="M849" s="7">
        <f t="shared" si="166"/>
        <v>4.9720262030229168E-2</v>
      </c>
      <c r="N849" s="20">
        <f t="shared" si="160"/>
        <v>4.9720262030229168E-2</v>
      </c>
      <c r="O849">
        <f t="shared" si="167"/>
        <v>5.8207660913467407E-10</v>
      </c>
      <c r="P849">
        <f t="shared" si="168"/>
        <v>-3.4924596548080444E-10</v>
      </c>
      <c r="Q849">
        <f t="shared" si="169"/>
        <v>-3.4924596548080444E-10</v>
      </c>
    </row>
    <row r="850" spans="2:17" x14ac:dyDescent="0.25">
      <c r="B850" s="18">
        <f t="shared" si="161"/>
        <v>1.584452641983925E-4</v>
      </c>
      <c r="C850" s="18">
        <f t="shared" si="162"/>
        <v>1.5844526419839253E-4</v>
      </c>
      <c r="D850" s="18">
        <f t="shared" si="163"/>
        <v>1.584452641983925E-4</v>
      </c>
      <c r="E850">
        <f t="shared" si="164"/>
        <v>4.6609784476459026E-8</v>
      </c>
      <c r="F850">
        <f t="shared" si="170"/>
        <v>-9.4369170255959034E-9</v>
      </c>
      <c r="G850">
        <f t="shared" si="171"/>
        <v>4.6609784476459026E-8</v>
      </c>
      <c r="L850" s="7">
        <f t="shared" si="165"/>
        <v>4.9720262030229161E-2</v>
      </c>
      <c r="M850" s="7">
        <f t="shared" si="166"/>
        <v>4.9720262030229168E-2</v>
      </c>
      <c r="N850" s="20">
        <f t="shared" si="160"/>
        <v>4.9720262030229168E-2</v>
      </c>
      <c r="O850">
        <f t="shared" si="167"/>
        <v>5.8207660913467407E-10</v>
      </c>
      <c r="P850">
        <f t="shared" si="168"/>
        <v>-3.4924596548080444E-10</v>
      </c>
      <c r="Q850">
        <f t="shared" si="169"/>
        <v>-3.4924596548080444E-10</v>
      </c>
    </row>
    <row r="851" spans="2:17" x14ac:dyDescent="0.25">
      <c r="B851" s="18">
        <f t="shared" si="161"/>
        <v>1.584452641983925E-4</v>
      </c>
      <c r="C851" s="18">
        <f t="shared" si="162"/>
        <v>1.5844526419839253E-4</v>
      </c>
      <c r="D851" s="18">
        <f t="shared" si="163"/>
        <v>1.584452641983925E-4</v>
      </c>
      <c r="E851">
        <f t="shared" si="164"/>
        <v>4.6609784476459026E-8</v>
      </c>
      <c r="F851">
        <f t="shared" si="170"/>
        <v>-9.4369170255959034E-9</v>
      </c>
      <c r="G851">
        <f t="shared" si="171"/>
        <v>4.6609784476459026E-8</v>
      </c>
      <c r="L851" s="7">
        <f t="shared" si="165"/>
        <v>4.9720262030229161E-2</v>
      </c>
      <c r="M851" s="7">
        <f t="shared" si="166"/>
        <v>4.9720262030229168E-2</v>
      </c>
      <c r="N851" s="20">
        <f t="shared" si="160"/>
        <v>4.9720262030229168E-2</v>
      </c>
      <c r="O851">
        <f t="shared" si="167"/>
        <v>5.8207660913467407E-10</v>
      </c>
      <c r="P851">
        <f t="shared" si="168"/>
        <v>-3.4924596548080444E-10</v>
      </c>
      <c r="Q851">
        <f t="shared" si="169"/>
        <v>-3.4924596548080444E-10</v>
      </c>
    </row>
    <row r="852" spans="2:17" x14ac:dyDescent="0.25">
      <c r="B852" s="18">
        <f t="shared" si="161"/>
        <v>1.584452641983925E-4</v>
      </c>
      <c r="C852" s="18">
        <f t="shared" si="162"/>
        <v>1.5844526419839253E-4</v>
      </c>
      <c r="D852" s="18">
        <f t="shared" si="163"/>
        <v>1.584452641983925E-4</v>
      </c>
      <c r="E852">
        <f t="shared" si="164"/>
        <v>4.6609784476459026E-8</v>
      </c>
      <c r="F852">
        <f t="shared" si="170"/>
        <v>-9.4369170255959034E-9</v>
      </c>
      <c r="G852">
        <f t="shared" si="171"/>
        <v>4.6609784476459026E-8</v>
      </c>
      <c r="L852" s="7">
        <f t="shared" si="165"/>
        <v>4.9720262030229161E-2</v>
      </c>
      <c r="M852" s="7">
        <f t="shared" si="166"/>
        <v>4.9720262030229168E-2</v>
      </c>
      <c r="N852" s="20">
        <f t="shared" si="160"/>
        <v>4.9720262030229168E-2</v>
      </c>
      <c r="O852">
        <f t="shared" si="167"/>
        <v>5.8207660913467407E-10</v>
      </c>
      <c r="P852">
        <f t="shared" si="168"/>
        <v>-3.4924596548080444E-10</v>
      </c>
      <c r="Q852">
        <f t="shared" si="169"/>
        <v>-3.4924596548080444E-10</v>
      </c>
    </row>
    <row r="853" spans="2:17" x14ac:dyDescent="0.25">
      <c r="B853" s="18">
        <f t="shared" si="161"/>
        <v>1.584452641983925E-4</v>
      </c>
      <c r="C853" s="18">
        <f t="shared" si="162"/>
        <v>1.5844526419839253E-4</v>
      </c>
      <c r="D853" s="18">
        <f t="shared" si="163"/>
        <v>1.584452641983925E-4</v>
      </c>
      <c r="E853">
        <f t="shared" si="164"/>
        <v>4.6609784476459026E-8</v>
      </c>
      <c r="F853">
        <f t="shared" si="170"/>
        <v>-9.4369170255959034E-9</v>
      </c>
      <c r="G853">
        <f t="shared" si="171"/>
        <v>4.6609784476459026E-8</v>
      </c>
      <c r="L853" s="7">
        <f t="shared" si="165"/>
        <v>4.9720262030229161E-2</v>
      </c>
      <c r="M853" s="7">
        <f t="shared" si="166"/>
        <v>4.9720262030229168E-2</v>
      </c>
      <c r="N853" s="20">
        <f t="shared" si="160"/>
        <v>4.9720262030229168E-2</v>
      </c>
      <c r="O853">
        <f t="shared" si="167"/>
        <v>5.8207660913467407E-10</v>
      </c>
      <c r="P853">
        <f t="shared" si="168"/>
        <v>-3.4924596548080444E-10</v>
      </c>
      <c r="Q853">
        <f t="shared" si="169"/>
        <v>-3.4924596548080444E-10</v>
      </c>
    </row>
    <row r="854" spans="2:17" x14ac:dyDescent="0.25">
      <c r="B854" s="18">
        <f t="shared" si="161"/>
        <v>1.584452641983925E-4</v>
      </c>
      <c r="C854" s="18">
        <f t="shared" si="162"/>
        <v>1.5844526419839253E-4</v>
      </c>
      <c r="D854" s="18">
        <f t="shared" si="163"/>
        <v>1.584452641983925E-4</v>
      </c>
      <c r="E854">
        <f t="shared" si="164"/>
        <v>4.6609784476459026E-8</v>
      </c>
      <c r="F854">
        <f t="shared" si="170"/>
        <v>-9.4369170255959034E-9</v>
      </c>
      <c r="G854">
        <f t="shared" si="171"/>
        <v>4.6609784476459026E-8</v>
      </c>
      <c r="L854" s="7">
        <f t="shared" si="165"/>
        <v>4.9720262030229161E-2</v>
      </c>
      <c r="M854" s="7">
        <f t="shared" si="166"/>
        <v>4.9720262030229168E-2</v>
      </c>
      <c r="N854" s="20">
        <f t="shared" si="160"/>
        <v>4.9720262030229168E-2</v>
      </c>
      <c r="O854">
        <f t="shared" si="167"/>
        <v>5.8207660913467407E-10</v>
      </c>
      <c r="P854">
        <f t="shared" si="168"/>
        <v>-3.4924596548080444E-10</v>
      </c>
      <c r="Q854">
        <f t="shared" si="169"/>
        <v>-3.4924596548080444E-10</v>
      </c>
    </row>
    <row r="855" spans="2:17" x14ac:dyDescent="0.25">
      <c r="B855" s="18">
        <f t="shared" si="161"/>
        <v>1.584452641983925E-4</v>
      </c>
      <c r="C855" s="18">
        <f t="shared" si="162"/>
        <v>1.5844526419839253E-4</v>
      </c>
      <c r="D855" s="18">
        <f t="shared" si="163"/>
        <v>1.584452641983925E-4</v>
      </c>
      <c r="E855">
        <f t="shared" si="164"/>
        <v>4.6609784476459026E-8</v>
      </c>
      <c r="F855">
        <f t="shared" si="170"/>
        <v>-9.4369170255959034E-9</v>
      </c>
      <c r="G855">
        <f t="shared" si="171"/>
        <v>4.6609784476459026E-8</v>
      </c>
      <c r="L855" s="7">
        <f t="shared" si="165"/>
        <v>4.9720262030229161E-2</v>
      </c>
      <c r="M855" s="7">
        <f t="shared" si="166"/>
        <v>4.9720262030229168E-2</v>
      </c>
      <c r="N855" s="20">
        <f t="shared" si="160"/>
        <v>4.9720262030229168E-2</v>
      </c>
      <c r="O855">
        <f t="shared" si="167"/>
        <v>5.8207660913467407E-10</v>
      </c>
      <c r="P855">
        <f t="shared" si="168"/>
        <v>-3.4924596548080444E-10</v>
      </c>
      <c r="Q855">
        <f t="shared" si="169"/>
        <v>-3.4924596548080444E-10</v>
      </c>
    </row>
    <row r="856" spans="2:17" x14ac:dyDescent="0.25">
      <c r="B856" s="18">
        <f t="shared" si="161"/>
        <v>1.584452641983925E-4</v>
      </c>
      <c r="C856" s="18">
        <f t="shared" si="162"/>
        <v>1.5844526419839253E-4</v>
      </c>
      <c r="D856" s="18">
        <f t="shared" si="163"/>
        <v>1.584452641983925E-4</v>
      </c>
      <c r="E856">
        <f t="shared" si="164"/>
        <v>4.6609784476459026E-8</v>
      </c>
      <c r="F856">
        <f t="shared" si="170"/>
        <v>-9.4369170255959034E-9</v>
      </c>
      <c r="G856">
        <f t="shared" si="171"/>
        <v>4.6609784476459026E-8</v>
      </c>
      <c r="L856" s="7">
        <f t="shared" si="165"/>
        <v>4.9720262030229161E-2</v>
      </c>
      <c r="M856" s="7">
        <f t="shared" si="166"/>
        <v>4.9720262030229168E-2</v>
      </c>
      <c r="N856" s="20">
        <f t="shared" si="160"/>
        <v>4.9720262030229168E-2</v>
      </c>
      <c r="O856">
        <f t="shared" si="167"/>
        <v>5.8207660913467407E-10</v>
      </c>
      <c r="P856">
        <f t="shared" si="168"/>
        <v>-3.4924596548080444E-10</v>
      </c>
      <c r="Q856">
        <f t="shared" si="169"/>
        <v>-3.4924596548080444E-10</v>
      </c>
    </row>
    <row r="857" spans="2:17" x14ac:dyDescent="0.25">
      <c r="B857" s="18">
        <f t="shared" si="161"/>
        <v>1.584452641983925E-4</v>
      </c>
      <c r="C857" s="18">
        <f t="shared" si="162"/>
        <v>1.5844526419839253E-4</v>
      </c>
      <c r="D857" s="18">
        <f t="shared" si="163"/>
        <v>1.584452641983925E-4</v>
      </c>
      <c r="E857">
        <f t="shared" si="164"/>
        <v>4.6609784476459026E-8</v>
      </c>
      <c r="F857">
        <f t="shared" si="170"/>
        <v>-9.4369170255959034E-9</v>
      </c>
      <c r="G857">
        <f t="shared" si="171"/>
        <v>4.6609784476459026E-8</v>
      </c>
      <c r="L857" s="7">
        <f t="shared" si="165"/>
        <v>4.9720262030229161E-2</v>
      </c>
      <c r="M857" s="7">
        <f t="shared" si="166"/>
        <v>4.9720262030229168E-2</v>
      </c>
      <c r="N857" s="20">
        <f t="shared" ref="N857:N920" si="172">(L857+M857)/2</f>
        <v>4.9720262030229168E-2</v>
      </c>
      <c r="O857">
        <f t="shared" si="167"/>
        <v>5.8207660913467407E-10</v>
      </c>
      <c r="P857">
        <f t="shared" si="168"/>
        <v>-3.4924596548080444E-10</v>
      </c>
      <c r="Q857">
        <f t="shared" si="169"/>
        <v>-3.4924596548080444E-10</v>
      </c>
    </row>
    <row r="858" spans="2:17" x14ac:dyDescent="0.25">
      <c r="B858" s="18">
        <f t="shared" ref="B858:B921" si="173">IF(E857*G857&lt;0,B857,D857)</f>
        <v>1.584452641983925E-4</v>
      </c>
      <c r="C858" s="18">
        <f t="shared" ref="C858:C921" si="174">IF(F857*G857&lt;0,C857,D857)</f>
        <v>1.5844526419839253E-4</v>
      </c>
      <c r="D858" s="18">
        <f t="shared" ref="D858:D921" si="175">(B858+C858)/2</f>
        <v>1.584452641983925E-4</v>
      </c>
      <c r="E858">
        <f t="shared" ref="E858:E921" si="176">IF($G$8 = "Future Value",$C$5-($D$5*(((1+B858)^($F$5*$G$5)-1)/B858)),$H$5-$D$5*((1-(1+B858)^(-1*$F$5*$G$5))/B858))</f>
        <v>4.6609784476459026E-8</v>
      </c>
      <c r="F858">
        <f t="shared" si="170"/>
        <v>-9.4369170255959034E-9</v>
      </c>
      <c r="G858">
        <f t="shared" si="171"/>
        <v>4.6609784476459026E-8</v>
      </c>
      <c r="L858" s="7">
        <f t="shared" ref="L858:L921" si="177">IF(O857*Q857&lt;0,L857,N857)</f>
        <v>4.9720262030229161E-2</v>
      </c>
      <c r="M858" s="7">
        <f t="shared" ref="M858:M921" si="178">IF(P857*Q857&lt;0,M857,N857)</f>
        <v>4.9720262030229168E-2</v>
      </c>
      <c r="N858" s="20">
        <f t="shared" si="172"/>
        <v>4.9720262030229168E-2</v>
      </c>
      <c r="O858">
        <f t="shared" ref="O858:O921" si="179">IF($Q$8 = "Future Value",$M$5-($N$5*(1+L858)*(((1+L858)^($P$5*$Q$5)-1)/L858)),$R$5-$N$5*(1+L858)*((1-(1+L858)^(-1*$P$5*$Q$5))/L858))</f>
        <v>5.8207660913467407E-10</v>
      </c>
      <c r="P858">
        <f t="shared" ref="P858:P921" si="180">IF($Q$8 = "Future Value",$M$5-($N$5*(1+M858)*(((1+M858)^($P$5*$Q$5)-1)/M858)),$R$5-$N$5*(1+M858)*((1-(1+M858)^(-1*$P$5*$Q$5))/M858))</f>
        <v>-3.4924596548080444E-10</v>
      </c>
      <c r="Q858">
        <f t="shared" ref="Q858:Q921" si="181">IF($Q$8 = "Future Value",$M$5-($N$5*(1+N858)*(((1+N858)^($P$5*$Q$5)-1)/N858)),$R$5-$N$5*(1+N858)*((1-(1+N858)^(-1*$P$5*$Q$5))/N858))</f>
        <v>-3.4924596548080444E-10</v>
      </c>
    </row>
    <row r="859" spans="2:17" x14ac:dyDescent="0.25">
      <c r="B859" s="18">
        <f t="shared" si="173"/>
        <v>1.584452641983925E-4</v>
      </c>
      <c r="C859" s="18">
        <f t="shared" si="174"/>
        <v>1.5844526419839253E-4</v>
      </c>
      <c r="D859" s="18">
        <f t="shared" si="175"/>
        <v>1.584452641983925E-4</v>
      </c>
      <c r="E859">
        <f t="shared" si="176"/>
        <v>4.6609784476459026E-8</v>
      </c>
      <c r="F859">
        <f t="shared" ref="F859:F922" si="182">IF($G$8 = "Future Value",$C$5-($D$5*(((1+C859)^($F$5*$G$5)-1)/C859)),$H$5-$D$5*((1-(1+C859)^(-1*$F$5*$G$5))/C859))</f>
        <v>-9.4369170255959034E-9</v>
      </c>
      <c r="G859">
        <f t="shared" ref="G859:G922" si="183">IF($G$8 = "Future Value",$C$5-($D$5*(((1+D859)^($F$5*$G$5)-1)/D859)),$H$5-$D$5*((1-(1+D859)^(-1*$F$5*$G$5))/D859))</f>
        <v>4.6609784476459026E-8</v>
      </c>
      <c r="L859" s="7">
        <f t="shared" si="177"/>
        <v>4.9720262030229161E-2</v>
      </c>
      <c r="M859" s="7">
        <f t="shared" si="178"/>
        <v>4.9720262030229168E-2</v>
      </c>
      <c r="N859" s="20">
        <f t="shared" si="172"/>
        <v>4.9720262030229168E-2</v>
      </c>
      <c r="O859">
        <f t="shared" si="179"/>
        <v>5.8207660913467407E-10</v>
      </c>
      <c r="P859">
        <f t="shared" si="180"/>
        <v>-3.4924596548080444E-10</v>
      </c>
      <c r="Q859">
        <f t="shared" si="181"/>
        <v>-3.4924596548080444E-10</v>
      </c>
    </row>
    <row r="860" spans="2:17" x14ac:dyDescent="0.25">
      <c r="B860" s="18">
        <f t="shared" si="173"/>
        <v>1.584452641983925E-4</v>
      </c>
      <c r="C860" s="18">
        <f t="shared" si="174"/>
        <v>1.5844526419839253E-4</v>
      </c>
      <c r="D860" s="18">
        <f t="shared" si="175"/>
        <v>1.584452641983925E-4</v>
      </c>
      <c r="E860">
        <f t="shared" si="176"/>
        <v>4.6609784476459026E-8</v>
      </c>
      <c r="F860">
        <f t="shared" si="182"/>
        <v>-9.4369170255959034E-9</v>
      </c>
      <c r="G860">
        <f t="shared" si="183"/>
        <v>4.6609784476459026E-8</v>
      </c>
      <c r="L860" s="7">
        <f t="shared" si="177"/>
        <v>4.9720262030229161E-2</v>
      </c>
      <c r="M860" s="7">
        <f t="shared" si="178"/>
        <v>4.9720262030229168E-2</v>
      </c>
      <c r="N860" s="20">
        <f t="shared" si="172"/>
        <v>4.9720262030229168E-2</v>
      </c>
      <c r="O860">
        <f t="shared" si="179"/>
        <v>5.8207660913467407E-10</v>
      </c>
      <c r="P860">
        <f t="shared" si="180"/>
        <v>-3.4924596548080444E-10</v>
      </c>
      <c r="Q860">
        <f t="shared" si="181"/>
        <v>-3.4924596548080444E-10</v>
      </c>
    </row>
    <row r="861" spans="2:17" x14ac:dyDescent="0.25">
      <c r="B861" s="18">
        <f t="shared" si="173"/>
        <v>1.584452641983925E-4</v>
      </c>
      <c r="C861" s="18">
        <f t="shared" si="174"/>
        <v>1.5844526419839253E-4</v>
      </c>
      <c r="D861" s="18">
        <f t="shared" si="175"/>
        <v>1.584452641983925E-4</v>
      </c>
      <c r="E861">
        <f t="shared" si="176"/>
        <v>4.6609784476459026E-8</v>
      </c>
      <c r="F861">
        <f t="shared" si="182"/>
        <v>-9.4369170255959034E-9</v>
      </c>
      <c r="G861">
        <f t="shared" si="183"/>
        <v>4.6609784476459026E-8</v>
      </c>
      <c r="L861" s="7">
        <f t="shared" si="177"/>
        <v>4.9720262030229161E-2</v>
      </c>
      <c r="M861" s="7">
        <f t="shared" si="178"/>
        <v>4.9720262030229168E-2</v>
      </c>
      <c r="N861" s="20">
        <f t="shared" si="172"/>
        <v>4.9720262030229168E-2</v>
      </c>
      <c r="O861">
        <f t="shared" si="179"/>
        <v>5.8207660913467407E-10</v>
      </c>
      <c r="P861">
        <f t="shared" si="180"/>
        <v>-3.4924596548080444E-10</v>
      </c>
      <c r="Q861">
        <f t="shared" si="181"/>
        <v>-3.4924596548080444E-10</v>
      </c>
    </row>
    <row r="862" spans="2:17" x14ac:dyDescent="0.25">
      <c r="B862" s="18">
        <f t="shared" si="173"/>
        <v>1.584452641983925E-4</v>
      </c>
      <c r="C862" s="18">
        <f t="shared" si="174"/>
        <v>1.5844526419839253E-4</v>
      </c>
      <c r="D862" s="18">
        <f t="shared" si="175"/>
        <v>1.584452641983925E-4</v>
      </c>
      <c r="E862">
        <f t="shared" si="176"/>
        <v>4.6609784476459026E-8</v>
      </c>
      <c r="F862">
        <f t="shared" si="182"/>
        <v>-9.4369170255959034E-9</v>
      </c>
      <c r="G862">
        <f t="shared" si="183"/>
        <v>4.6609784476459026E-8</v>
      </c>
      <c r="L862" s="7">
        <f t="shared" si="177"/>
        <v>4.9720262030229161E-2</v>
      </c>
      <c r="M862" s="7">
        <f t="shared" si="178"/>
        <v>4.9720262030229168E-2</v>
      </c>
      <c r="N862" s="20">
        <f t="shared" si="172"/>
        <v>4.9720262030229168E-2</v>
      </c>
      <c r="O862">
        <f t="shared" si="179"/>
        <v>5.8207660913467407E-10</v>
      </c>
      <c r="P862">
        <f t="shared" si="180"/>
        <v>-3.4924596548080444E-10</v>
      </c>
      <c r="Q862">
        <f t="shared" si="181"/>
        <v>-3.4924596548080444E-10</v>
      </c>
    </row>
    <row r="863" spans="2:17" x14ac:dyDescent="0.25">
      <c r="B863" s="18">
        <f t="shared" si="173"/>
        <v>1.584452641983925E-4</v>
      </c>
      <c r="C863" s="18">
        <f t="shared" si="174"/>
        <v>1.5844526419839253E-4</v>
      </c>
      <c r="D863" s="18">
        <f t="shared" si="175"/>
        <v>1.584452641983925E-4</v>
      </c>
      <c r="E863">
        <f t="shared" si="176"/>
        <v>4.6609784476459026E-8</v>
      </c>
      <c r="F863">
        <f t="shared" si="182"/>
        <v>-9.4369170255959034E-9</v>
      </c>
      <c r="G863">
        <f t="shared" si="183"/>
        <v>4.6609784476459026E-8</v>
      </c>
      <c r="L863" s="7">
        <f t="shared" si="177"/>
        <v>4.9720262030229161E-2</v>
      </c>
      <c r="M863" s="7">
        <f t="shared" si="178"/>
        <v>4.9720262030229168E-2</v>
      </c>
      <c r="N863" s="20">
        <f t="shared" si="172"/>
        <v>4.9720262030229168E-2</v>
      </c>
      <c r="O863">
        <f t="shared" si="179"/>
        <v>5.8207660913467407E-10</v>
      </c>
      <c r="P863">
        <f t="shared" si="180"/>
        <v>-3.4924596548080444E-10</v>
      </c>
      <c r="Q863">
        <f t="shared" si="181"/>
        <v>-3.4924596548080444E-10</v>
      </c>
    </row>
    <row r="864" spans="2:17" x14ac:dyDescent="0.25">
      <c r="B864" s="18">
        <f t="shared" si="173"/>
        <v>1.584452641983925E-4</v>
      </c>
      <c r="C864" s="18">
        <f t="shared" si="174"/>
        <v>1.5844526419839253E-4</v>
      </c>
      <c r="D864" s="18">
        <f t="shared" si="175"/>
        <v>1.584452641983925E-4</v>
      </c>
      <c r="E864">
        <f t="shared" si="176"/>
        <v>4.6609784476459026E-8</v>
      </c>
      <c r="F864">
        <f t="shared" si="182"/>
        <v>-9.4369170255959034E-9</v>
      </c>
      <c r="G864">
        <f t="shared" si="183"/>
        <v>4.6609784476459026E-8</v>
      </c>
      <c r="L864" s="7">
        <f t="shared" si="177"/>
        <v>4.9720262030229161E-2</v>
      </c>
      <c r="M864" s="7">
        <f t="shared" si="178"/>
        <v>4.9720262030229168E-2</v>
      </c>
      <c r="N864" s="20">
        <f t="shared" si="172"/>
        <v>4.9720262030229168E-2</v>
      </c>
      <c r="O864">
        <f t="shared" si="179"/>
        <v>5.8207660913467407E-10</v>
      </c>
      <c r="P864">
        <f t="shared" si="180"/>
        <v>-3.4924596548080444E-10</v>
      </c>
      <c r="Q864">
        <f t="shared" si="181"/>
        <v>-3.4924596548080444E-10</v>
      </c>
    </row>
    <row r="865" spans="2:17" x14ac:dyDescent="0.25">
      <c r="B865" s="18">
        <f t="shared" si="173"/>
        <v>1.584452641983925E-4</v>
      </c>
      <c r="C865" s="18">
        <f t="shared" si="174"/>
        <v>1.5844526419839253E-4</v>
      </c>
      <c r="D865" s="18">
        <f t="shared" si="175"/>
        <v>1.584452641983925E-4</v>
      </c>
      <c r="E865">
        <f t="shared" si="176"/>
        <v>4.6609784476459026E-8</v>
      </c>
      <c r="F865">
        <f t="shared" si="182"/>
        <v>-9.4369170255959034E-9</v>
      </c>
      <c r="G865">
        <f t="shared" si="183"/>
        <v>4.6609784476459026E-8</v>
      </c>
      <c r="L865" s="7">
        <f t="shared" si="177"/>
        <v>4.9720262030229161E-2</v>
      </c>
      <c r="M865" s="7">
        <f t="shared" si="178"/>
        <v>4.9720262030229168E-2</v>
      </c>
      <c r="N865" s="20">
        <f t="shared" si="172"/>
        <v>4.9720262030229168E-2</v>
      </c>
      <c r="O865">
        <f t="shared" si="179"/>
        <v>5.8207660913467407E-10</v>
      </c>
      <c r="P865">
        <f t="shared" si="180"/>
        <v>-3.4924596548080444E-10</v>
      </c>
      <c r="Q865">
        <f t="shared" si="181"/>
        <v>-3.4924596548080444E-10</v>
      </c>
    </row>
    <row r="866" spans="2:17" x14ac:dyDescent="0.25">
      <c r="B866" s="18">
        <f t="shared" si="173"/>
        <v>1.584452641983925E-4</v>
      </c>
      <c r="C866" s="18">
        <f t="shared" si="174"/>
        <v>1.5844526419839253E-4</v>
      </c>
      <c r="D866" s="18">
        <f t="shared" si="175"/>
        <v>1.584452641983925E-4</v>
      </c>
      <c r="E866">
        <f t="shared" si="176"/>
        <v>4.6609784476459026E-8</v>
      </c>
      <c r="F866">
        <f t="shared" si="182"/>
        <v>-9.4369170255959034E-9</v>
      </c>
      <c r="G866">
        <f t="shared" si="183"/>
        <v>4.6609784476459026E-8</v>
      </c>
      <c r="L866" s="7">
        <f t="shared" si="177"/>
        <v>4.9720262030229161E-2</v>
      </c>
      <c r="M866" s="7">
        <f t="shared" si="178"/>
        <v>4.9720262030229168E-2</v>
      </c>
      <c r="N866" s="20">
        <f t="shared" si="172"/>
        <v>4.9720262030229168E-2</v>
      </c>
      <c r="O866">
        <f t="shared" si="179"/>
        <v>5.8207660913467407E-10</v>
      </c>
      <c r="P866">
        <f t="shared" si="180"/>
        <v>-3.4924596548080444E-10</v>
      </c>
      <c r="Q866">
        <f t="shared" si="181"/>
        <v>-3.4924596548080444E-10</v>
      </c>
    </row>
    <row r="867" spans="2:17" x14ac:dyDescent="0.25">
      <c r="B867" s="18">
        <f t="shared" si="173"/>
        <v>1.584452641983925E-4</v>
      </c>
      <c r="C867" s="18">
        <f t="shared" si="174"/>
        <v>1.5844526419839253E-4</v>
      </c>
      <c r="D867" s="18">
        <f t="shared" si="175"/>
        <v>1.584452641983925E-4</v>
      </c>
      <c r="E867">
        <f t="shared" si="176"/>
        <v>4.6609784476459026E-8</v>
      </c>
      <c r="F867">
        <f t="shared" si="182"/>
        <v>-9.4369170255959034E-9</v>
      </c>
      <c r="G867">
        <f t="shared" si="183"/>
        <v>4.6609784476459026E-8</v>
      </c>
      <c r="L867" s="7">
        <f t="shared" si="177"/>
        <v>4.9720262030229161E-2</v>
      </c>
      <c r="M867" s="7">
        <f t="shared" si="178"/>
        <v>4.9720262030229168E-2</v>
      </c>
      <c r="N867" s="20">
        <f t="shared" si="172"/>
        <v>4.9720262030229168E-2</v>
      </c>
      <c r="O867">
        <f t="shared" si="179"/>
        <v>5.8207660913467407E-10</v>
      </c>
      <c r="P867">
        <f t="shared" si="180"/>
        <v>-3.4924596548080444E-10</v>
      </c>
      <c r="Q867">
        <f t="shared" si="181"/>
        <v>-3.4924596548080444E-10</v>
      </c>
    </row>
    <row r="868" spans="2:17" x14ac:dyDescent="0.25">
      <c r="B868" s="18">
        <f t="shared" si="173"/>
        <v>1.584452641983925E-4</v>
      </c>
      <c r="C868" s="18">
        <f t="shared" si="174"/>
        <v>1.5844526419839253E-4</v>
      </c>
      <c r="D868" s="18">
        <f t="shared" si="175"/>
        <v>1.584452641983925E-4</v>
      </c>
      <c r="E868">
        <f t="shared" si="176"/>
        <v>4.6609784476459026E-8</v>
      </c>
      <c r="F868">
        <f t="shared" si="182"/>
        <v>-9.4369170255959034E-9</v>
      </c>
      <c r="G868">
        <f t="shared" si="183"/>
        <v>4.6609784476459026E-8</v>
      </c>
      <c r="L868" s="7">
        <f t="shared" si="177"/>
        <v>4.9720262030229161E-2</v>
      </c>
      <c r="M868" s="7">
        <f t="shared" si="178"/>
        <v>4.9720262030229168E-2</v>
      </c>
      <c r="N868" s="20">
        <f t="shared" si="172"/>
        <v>4.9720262030229168E-2</v>
      </c>
      <c r="O868">
        <f t="shared" si="179"/>
        <v>5.8207660913467407E-10</v>
      </c>
      <c r="P868">
        <f t="shared" si="180"/>
        <v>-3.4924596548080444E-10</v>
      </c>
      <c r="Q868">
        <f t="shared" si="181"/>
        <v>-3.4924596548080444E-10</v>
      </c>
    </row>
    <row r="869" spans="2:17" x14ac:dyDescent="0.25">
      <c r="B869" s="18">
        <f t="shared" si="173"/>
        <v>1.584452641983925E-4</v>
      </c>
      <c r="C869" s="18">
        <f t="shared" si="174"/>
        <v>1.5844526419839253E-4</v>
      </c>
      <c r="D869" s="18">
        <f t="shared" si="175"/>
        <v>1.584452641983925E-4</v>
      </c>
      <c r="E869">
        <f t="shared" si="176"/>
        <v>4.6609784476459026E-8</v>
      </c>
      <c r="F869">
        <f t="shared" si="182"/>
        <v>-9.4369170255959034E-9</v>
      </c>
      <c r="G869">
        <f t="shared" si="183"/>
        <v>4.6609784476459026E-8</v>
      </c>
      <c r="L869" s="7">
        <f t="shared" si="177"/>
        <v>4.9720262030229161E-2</v>
      </c>
      <c r="M869" s="7">
        <f t="shared" si="178"/>
        <v>4.9720262030229168E-2</v>
      </c>
      <c r="N869" s="20">
        <f t="shared" si="172"/>
        <v>4.9720262030229168E-2</v>
      </c>
      <c r="O869">
        <f t="shared" si="179"/>
        <v>5.8207660913467407E-10</v>
      </c>
      <c r="P869">
        <f t="shared" si="180"/>
        <v>-3.4924596548080444E-10</v>
      </c>
      <c r="Q869">
        <f t="shared" si="181"/>
        <v>-3.4924596548080444E-10</v>
      </c>
    </row>
    <row r="870" spans="2:17" x14ac:dyDescent="0.25">
      <c r="B870" s="18">
        <f t="shared" si="173"/>
        <v>1.584452641983925E-4</v>
      </c>
      <c r="C870" s="18">
        <f t="shared" si="174"/>
        <v>1.5844526419839253E-4</v>
      </c>
      <c r="D870" s="18">
        <f t="shared" si="175"/>
        <v>1.584452641983925E-4</v>
      </c>
      <c r="E870">
        <f t="shared" si="176"/>
        <v>4.6609784476459026E-8</v>
      </c>
      <c r="F870">
        <f t="shared" si="182"/>
        <v>-9.4369170255959034E-9</v>
      </c>
      <c r="G870">
        <f t="shared" si="183"/>
        <v>4.6609784476459026E-8</v>
      </c>
      <c r="L870" s="7">
        <f t="shared" si="177"/>
        <v>4.9720262030229161E-2</v>
      </c>
      <c r="M870" s="7">
        <f t="shared" si="178"/>
        <v>4.9720262030229168E-2</v>
      </c>
      <c r="N870" s="20">
        <f t="shared" si="172"/>
        <v>4.9720262030229168E-2</v>
      </c>
      <c r="O870">
        <f t="shared" si="179"/>
        <v>5.8207660913467407E-10</v>
      </c>
      <c r="P870">
        <f t="shared" si="180"/>
        <v>-3.4924596548080444E-10</v>
      </c>
      <c r="Q870">
        <f t="shared" si="181"/>
        <v>-3.4924596548080444E-10</v>
      </c>
    </row>
    <row r="871" spans="2:17" x14ac:dyDescent="0.25">
      <c r="B871" s="18">
        <f t="shared" si="173"/>
        <v>1.584452641983925E-4</v>
      </c>
      <c r="C871" s="18">
        <f t="shared" si="174"/>
        <v>1.5844526419839253E-4</v>
      </c>
      <c r="D871" s="18">
        <f t="shared" si="175"/>
        <v>1.584452641983925E-4</v>
      </c>
      <c r="E871">
        <f t="shared" si="176"/>
        <v>4.6609784476459026E-8</v>
      </c>
      <c r="F871">
        <f t="shared" si="182"/>
        <v>-9.4369170255959034E-9</v>
      </c>
      <c r="G871">
        <f t="shared" si="183"/>
        <v>4.6609784476459026E-8</v>
      </c>
      <c r="L871" s="7">
        <f t="shared" si="177"/>
        <v>4.9720262030229161E-2</v>
      </c>
      <c r="M871" s="7">
        <f t="shared" si="178"/>
        <v>4.9720262030229168E-2</v>
      </c>
      <c r="N871" s="20">
        <f t="shared" si="172"/>
        <v>4.9720262030229168E-2</v>
      </c>
      <c r="O871">
        <f t="shared" si="179"/>
        <v>5.8207660913467407E-10</v>
      </c>
      <c r="P871">
        <f t="shared" si="180"/>
        <v>-3.4924596548080444E-10</v>
      </c>
      <c r="Q871">
        <f t="shared" si="181"/>
        <v>-3.4924596548080444E-10</v>
      </c>
    </row>
    <row r="872" spans="2:17" x14ac:dyDescent="0.25">
      <c r="B872" s="18">
        <f t="shared" si="173"/>
        <v>1.584452641983925E-4</v>
      </c>
      <c r="C872" s="18">
        <f t="shared" si="174"/>
        <v>1.5844526419839253E-4</v>
      </c>
      <c r="D872" s="18">
        <f t="shared" si="175"/>
        <v>1.584452641983925E-4</v>
      </c>
      <c r="E872">
        <f t="shared" si="176"/>
        <v>4.6609784476459026E-8</v>
      </c>
      <c r="F872">
        <f t="shared" si="182"/>
        <v>-9.4369170255959034E-9</v>
      </c>
      <c r="G872">
        <f t="shared" si="183"/>
        <v>4.6609784476459026E-8</v>
      </c>
      <c r="L872" s="7">
        <f t="shared" si="177"/>
        <v>4.9720262030229161E-2</v>
      </c>
      <c r="M872" s="7">
        <f t="shared" si="178"/>
        <v>4.9720262030229168E-2</v>
      </c>
      <c r="N872" s="20">
        <f t="shared" si="172"/>
        <v>4.9720262030229168E-2</v>
      </c>
      <c r="O872">
        <f t="shared" si="179"/>
        <v>5.8207660913467407E-10</v>
      </c>
      <c r="P872">
        <f t="shared" si="180"/>
        <v>-3.4924596548080444E-10</v>
      </c>
      <c r="Q872">
        <f t="shared" si="181"/>
        <v>-3.4924596548080444E-10</v>
      </c>
    </row>
    <row r="873" spans="2:17" x14ac:dyDescent="0.25">
      <c r="B873" s="18">
        <f t="shared" si="173"/>
        <v>1.584452641983925E-4</v>
      </c>
      <c r="C873" s="18">
        <f t="shared" si="174"/>
        <v>1.5844526419839253E-4</v>
      </c>
      <c r="D873" s="18">
        <f t="shared" si="175"/>
        <v>1.584452641983925E-4</v>
      </c>
      <c r="E873">
        <f t="shared" si="176"/>
        <v>4.6609784476459026E-8</v>
      </c>
      <c r="F873">
        <f t="shared" si="182"/>
        <v>-9.4369170255959034E-9</v>
      </c>
      <c r="G873">
        <f t="shared" si="183"/>
        <v>4.6609784476459026E-8</v>
      </c>
      <c r="L873" s="7">
        <f t="shared" si="177"/>
        <v>4.9720262030229161E-2</v>
      </c>
      <c r="M873" s="7">
        <f t="shared" si="178"/>
        <v>4.9720262030229168E-2</v>
      </c>
      <c r="N873" s="20">
        <f t="shared" si="172"/>
        <v>4.9720262030229168E-2</v>
      </c>
      <c r="O873">
        <f t="shared" si="179"/>
        <v>5.8207660913467407E-10</v>
      </c>
      <c r="P873">
        <f t="shared" si="180"/>
        <v>-3.4924596548080444E-10</v>
      </c>
      <c r="Q873">
        <f t="shared" si="181"/>
        <v>-3.4924596548080444E-10</v>
      </c>
    </row>
    <row r="874" spans="2:17" x14ac:dyDescent="0.25">
      <c r="B874" s="18">
        <f t="shared" si="173"/>
        <v>1.584452641983925E-4</v>
      </c>
      <c r="C874" s="18">
        <f t="shared" si="174"/>
        <v>1.5844526419839253E-4</v>
      </c>
      <c r="D874" s="18">
        <f t="shared" si="175"/>
        <v>1.584452641983925E-4</v>
      </c>
      <c r="E874">
        <f t="shared" si="176"/>
        <v>4.6609784476459026E-8</v>
      </c>
      <c r="F874">
        <f t="shared" si="182"/>
        <v>-9.4369170255959034E-9</v>
      </c>
      <c r="G874">
        <f t="shared" si="183"/>
        <v>4.6609784476459026E-8</v>
      </c>
      <c r="L874" s="7">
        <f t="shared" si="177"/>
        <v>4.9720262030229161E-2</v>
      </c>
      <c r="M874" s="7">
        <f t="shared" si="178"/>
        <v>4.9720262030229168E-2</v>
      </c>
      <c r="N874" s="20">
        <f t="shared" si="172"/>
        <v>4.9720262030229168E-2</v>
      </c>
      <c r="O874">
        <f t="shared" si="179"/>
        <v>5.8207660913467407E-10</v>
      </c>
      <c r="P874">
        <f t="shared" si="180"/>
        <v>-3.4924596548080444E-10</v>
      </c>
      <c r="Q874">
        <f t="shared" si="181"/>
        <v>-3.4924596548080444E-10</v>
      </c>
    </row>
    <row r="875" spans="2:17" x14ac:dyDescent="0.25">
      <c r="B875" s="18">
        <f t="shared" si="173"/>
        <v>1.584452641983925E-4</v>
      </c>
      <c r="C875" s="18">
        <f t="shared" si="174"/>
        <v>1.5844526419839253E-4</v>
      </c>
      <c r="D875" s="18">
        <f t="shared" si="175"/>
        <v>1.584452641983925E-4</v>
      </c>
      <c r="E875">
        <f t="shared" si="176"/>
        <v>4.6609784476459026E-8</v>
      </c>
      <c r="F875">
        <f t="shared" si="182"/>
        <v>-9.4369170255959034E-9</v>
      </c>
      <c r="G875">
        <f t="shared" si="183"/>
        <v>4.6609784476459026E-8</v>
      </c>
      <c r="L875" s="7">
        <f t="shared" si="177"/>
        <v>4.9720262030229161E-2</v>
      </c>
      <c r="M875" s="7">
        <f t="shared" si="178"/>
        <v>4.9720262030229168E-2</v>
      </c>
      <c r="N875" s="20">
        <f t="shared" si="172"/>
        <v>4.9720262030229168E-2</v>
      </c>
      <c r="O875">
        <f t="shared" si="179"/>
        <v>5.8207660913467407E-10</v>
      </c>
      <c r="P875">
        <f t="shared" si="180"/>
        <v>-3.4924596548080444E-10</v>
      </c>
      <c r="Q875">
        <f t="shared" si="181"/>
        <v>-3.4924596548080444E-10</v>
      </c>
    </row>
    <row r="876" spans="2:17" x14ac:dyDescent="0.25">
      <c r="B876" s="18">
        <f t="shared" si="173"/>
        <v>1.584452641983925E-4</v>
      </c>
      <c r="C876" s="18">
        <f t="shared" si="174"/>
        <v>1.5844526419839253E-4</v>
      </c>
      <c r="D876" s="18">
        <f t="shared" si="175"/>
        <v>1.584452641983925E-4</v>
      </c>
      <c r="E876">
        <f t="shared" si="176"/>
        <v>4.6609784476459026E-8</v>
      </c>
      <c r="F876">
        <f t="shared" si="182"/>
        <v>-9.4369170255959034E-9</v>
      </c>
      <c r="G876">
        <f t="shared" si="183"/>
        <v>4.6609784476459026E-8</v>
      </c>
      <c r="L876" s="7">
        <f t="shared" si="177"/>
        <v>4.9720262030229161E-2</v>
      </c>
      <c r="M876" s="7">
        <f t="shared" si="178"/>
        <v>4.9720262030229168E-2</v>
      </c>
      <c r="N876" s="20">
        <f t="shared" si="172"/>
        <v>4.9720262030229168E-2</v>
      </c>
      <c r="O876">
        <f t="shared" si="179"/>
        <v>5.8207660913467407E-10</v>
      </c>
      <c r="P876">
        <f t="shared" si="180"/>
        <v>-3.4924596548080444E-10</v>
      </c>
      <c r="Q876">
        <f t="shared" si="181"/>
        <v>-3.4924596548080444E-10</v>
      </c>
    </row>
    <row r="877" spans="2:17" x14ac:dyDescent="0.25">
      <c r="B877" s="18">
        <f t="shared" si="173"/>
        <v>1.584452641983925E-4</v>
      </c>
      <c r="C877" s="18">
        <f t="shared" si="174"/>
        <v>1.5844526419839253E-4</v>
      </c>
      <c r="D877" s="18">
        <f t="shared" si="175"/>
        <v>1.584452641983925E-4</v>
      </c>
      <c r="E877">
        <f t="shared" si="176"/>
        <v>4.6609784476459026E-8</v>
      </c>
      <c r="F877">
        <f t="shared" si="182"/>
        <v>-9.4369170255959034E-9</v>
      </c>
      <c r="G877">
        <f t="shared" si="183"/>
        <v>4.6609784476459026E-8</v>
      </c>
      <c r="L877" s="7">
        <f t="shared" si="177"/>
        <v>4.9720262030229161E-2</v>
      </c>
      <c r="M877" s="7">
        <f t="shared" si="178"/>
        <v>4.9720262030229168E-2</v>
      </c>
      <c r="N877" s="20">
        <f t="shared" si="172"/>
        <v>4.9720262030229168E-2</v>
      </c>
      <c r="O877">
        <f t="shared" si="179"/>
        <v>5.8207660913467407E-10</v>
      </c>
      <c r="P877">
        <f t="shared" si="180"/>
        <v>-3.4924596548080444E-10</v>
      </c>
      <c r="Q877">
        <f t="shared" si="181"/>
        <v>-3.4924596548080444E-10</v>
      </c>
    </row>
    <row r="878" spans="2:17" x14ac:dyDescent="0.25">
      <c r="B878" s="18">
        <f t="shared" si="173"/>
        <v>1.584452641983925E-4</v>
      </c>
      <c r="C878" s="18">
        <f t="shared" si="174"/>
        <v>1.5844526419839253E-4</v>
      </c>
      <c r="D878" s="18">
        <f t="shared" si="175"/>
        <v>1.584452641983925E-4</v>
      </c>
      <c r="E878">
        <f t="shared" si="176"/>
        <v>4.6609784476459026E-8</v>
      </c>
      <c r="F878">
        <f t="shared" si="182"/>
        <v>-9.4369170255959034E-9</v>
      </c>
      <c r="G878">
        <f t="shared" si="183"/>
        <v>4.6609784476459026E-8</v>
      </c>
      <c r="L878" s="7">
        <f t="shared" si="177"/>
        <v>4.9720262030229161E-2</v>
      </c>
      <c r="M878" s="7">
        <f t="shared" si="178"/>
        <v>4.9720262030229168E-2</v>
      </c>
      <c r="N878" s="20">
        <f t="shared" si="172"/>
        <v>4.9720262030229168E-2</v>
      </c>
      <c r="O878">
        <f t="shared" si="179"/>
        <v>5.8207660913467407E-10</v>
      </c>
      <c r="P878">
        <f t="shared" si="180"/>
        <v>-3.4924596548080444E-10</v>
      </c>
      <c r="Q878">
        <f t="shared" si="181"/>
        <v>-3.4924596548080444E-10</v>
      </c>
    </row>
    <row r="879" spans="2:17" x14ac:dyDescent="0.25">
      <c r="B879" s="18">
        <f t="shared" si="173"/>
        <v>1.584452641983925E-4</v>
      </c>
      <c r="C879" s="18">
        <f t="shared" si="174"/>
        <v>1.5844526419839253E-4</v>
      </c>
      <c r="D879" s="18">
        <f t="shared" si="175"/>
        <v>1.584452641983925E-4</v>
      </c>
      <c r="E879">
        <f t="shared" si="176"/>
        <v>4.6609784476459026E-8</v>
      </c>
      <c r="F879">
        <f t="shared" si="182"/>
        <v>-9.4369170255959034E-9</v>
      </c>
      <c r="G879">
        <f t="shared" si="183"/>
        <v>4.6609784476459026E-8</v>
      </c>
      <c r="L879" s="7">
        <f t="shared" si="177"/>
        <v>4.9720262030229161E-2</v>
      </c>
      <c r="M879" s="7">
        <f t="shared" si="178"/>
        <v>4.9720262030229168E-2</v>
      </c>
      <c r="N879" s="20">
        <f t="shared" si="172"/>
        <v>4.9720262030229168E-2</v>
      </c>
      <c r="O879">
        <f t="shared" si="179"/>
        <v>5.8207660913467407E-10</v>
      </c>
      <c r="P879">
        <f t="shared" si="180"/>
        <v>-3.4924596548080444E-10</v>
      </c>
      <c r="Q879">
        <f t="shared" si="181"/>
        <v>-3.4924596548080444E-10</v>
      </c>
    </row>
    <row r="880" spans="2:17" x14ac:dyDescent="0.25">
      <c r="B880" s="18">
        <f t="shared" si="173"/>
        <v>1.584452641983925E-4</v>
      </c>
      <c r="C880" s="18">
        <f t="shared" si="174"/>
        <v>1.5844526419839253E-4</v>
      </c>
      <c r="D880" s="18">
        <f t="shared" si="175"/>
        <v>1.584452641983925E-4</v>
      </c>
      <c r="E880">
        <f t="shared" si="176"/>
        <v>4.6609784476459026E-8</v>
      </c>
      <c r="F880">
        <f t="shared" si="182"/>
        <v>-9.4369170255959034E-9</v>
      </c>
      <c r="G880">
        <f t="shared" si="183"/>
        <v>4.6609784476459026E-8</v>
      </c>
      <c r="L880" s="7">
        <f t="shared" si="177"/>
        <v>4.9720262030229161E-2</v>
      </c>
      <c r="M880" s="7">
        <f t="shared" si="178"/>
        <v>4.9720262030229168E-2</v>
      </c>
      <c r="N880" s="20">
        <f t="shared" si="172"/>
        <v>4.9720262030229168E-2</v>
      </c>
      <c r="O880">
        <f t="shared" si="179"/>
        <v>5.8207660913467407E-10</v>
      </c>
      <c r="P880">
        <f t="shared" si="180"/>
        <v>-3.4924596548080444E-10</v>
      </c>
      <c r="Q880">
        <f t="shared" si="181"/>
        <v>-3.4924596548080444E-10</v>
      </c>
    </row>
    <row r="881" spans="2:17" x14ac:dyDescent="0.25">
      <c r="B881" s="18">
        <f t="shared" si="173"/>
        <v>1.584452641983925E-4</v>
      </c>
      <c r="C881" s="18">
        <f t="shared" si="174"/>
        <v>1.5844526419839253E-4</v>
      </c>
      <c r="D881" s="18">
        <f t="shared" si="175"/>
        <v>1.584452641983925E-4</v>
      </c>
      <c r="E881">
        <f t="shared" si="176"/>
        <v>4.6609784476459026E-8</v>
      </c>
      <c r="F881">
        <f t="shared" si="182"/>
        <v>-9.4369170255959034E-9</v>
      </c>
      <c r="G881">
        <f t="shared" si="183"/>
        <v>4.6609784476459026E-8</v>
      </c>
      <c r="L881" s="7">
        <f t="shared" si="177"/>
        <v>4.9720262030229161E-2</v>
      </c>
      <c r="M881" s="7">
        <f t="shared" si="178"/>
        <v>4.9720262030229168E-2</v>
      </c>
      <c r="N881" s="20">
        <f t="shared" si="172"/>
        <v>4.9720262030229168E-2</v>
      </c>
      <c r="O881">
        <f t="shared" si="179"/>
        <v>5.8207660913467407E-10</v>
      </c>
      <c r="P881">
        <f t="shared" si="180"/>
        <v>-3.4924596548080444E-10</v>
      </c>
      <c r="Q881">
        <f t="shared" si="181"/>
        <v>-3.4924596548080444E-10</v>
      </c>
    </row>
    <row r="882" spans="2:17" x14ac:dyDescent="0.25">
      <c r="B882" s="18">
        <f t="shared" si="173"/>
        <v>1.584452641983925E-4</v>
      </c>
      <c r="C882" s="18">
        <f t="shared" si="174"/>
        <v>1.5844526419839253E-4</v>
      </c>
      <c r="D882" s="18">
        <f t="shared" si="175"/>
        <v>1.584452641983925E-4</v>
      </c>
      <c r="E882">
        <f t="shared" si="176"/>
        <v>4.6609784476459026E-8</v>
      </c>
      <c r="F882">
        <f t="shared" si="182"/>
        <v>-9.4369170255959034E-9</v>
      </c>
      <c r="G882">
        <f t="shared" si="183"/>
        <v>4.6609784476459026E-8</v>
      </c>
      <c r="L882" s="7">
        <f t="shared" si="177"/>
        <v>4.9720262030229161E-2</v>
      </c>
      <c r="M882" s="7">
        <f t="shared" si="178"/>
        <v>4.9720262030229168E-2</v>
      </c>
      <c r="N882" s="20">
        <f t="shared" si="172"/>
        <v>4.9720262030229168E-2</v>
      </c>
      <c r="O882">
        <f t="shared" si="179"/>
        <v>5.8207660913467407E-10</v>
      </c>
      <c r="P882">
        <f t="shared" si="180"/>
        <v>-3.4924596548080444E-10</v>
      </c>
      <c r="Q882">
        <f t="shared" si="181"/>
        <v>-3.4924596548080444E-10</v>
      </c>
    </row>
    <row r="883" spans="2:17" x14ac:dyDescent="0.25">
      <c r="B883" s="18">
        <f t="shared" si="173"/>
        <v>1.584452641983925E-4</v>
      </c>
      <c r="C883" s="18">
        <f t="shared" si="174"/>
        <v>1.5844526419839253E-4</v>
      </c>
      <c r="D883" s="18">
        <f t="shared" si="175"/>
        <v>1.584452641983925E-4</v>
      </c>
      <c r="E883">
        <f t="shared" si="176"/>
        <v>4.6609784476459026E-8</v>
      </c>
      <c r="F883">
        <f t="shared" si="182"/>
        <v>-9.4369170255959034E-9</v>
      </c>
      <c r="G883">
        <f t="shared" si="183"/>
        <v>4.6609784476459026E-8</v>
      </c>
      <c r="L883" s="7">
        <f t="shared" si="177"/>
        <v>4.9720262030229161E-2</v>
      </c>
      <c r="M883" s="7">
        <f t="shared" si="178"/>
        <v>4.9720262030229168E-2</v>
      </c>
      <c r="N883" s="20">
        <f t="shared" si="172"/>
        <v>4.9720262030229168E-2</v>
      </c>
      <c r="O883">
        <f t="shared" si="179"/>
        <v>5.8207660913467407E-10</v>
      </c>
      <c r="P883">
        <f t="shared" si="180"/>
        <v>-3.4924596548080444E-10</v>
      </c>
      <c r="Q883">
        <f t="shared" si="181"/>
        <v>-3.4924596548080444E-10</v>
      </c>
    </row>
    <row r="884" spans="2:17" x14ac:dyDescent="0.25">
      <c r="B884" s="18">
        <f t="shared" si="173"/>
        <v>1.584452641983925E-4</v>
      </c>
      <c r="C884" s="18">
        <f t="shared" si="174"/>
        <v>1.5844526419839253E-4</v>
      </c>
      <c r="D884" s="18">
        <f t="shared" si="175"/>
        <v>1.584452641983925E-4</v>
      </c>
      <c r="E884">
        <f t="shared" si="176"/>
        <v>4.6609784476459026E-8</v>
      </c>
      <c r="F884">
        <f t="shared" si="182"/>
        <v>-9.4369170255959034E-9</v>
      </c>
      <c r="G884">
        <f t="shared" si="183"/>
        <v>4.6609784476459026E-8</v>
      </c>
      <c r="L884" s="7">
        <f t="shared" si="177"/>
        <v>4.9720262030229161E-2</v>
      </c>
      <c r="M884" s="7">
        <f t="shared" si="178"/>
        <v>4.9720262030229168E-2</v>
      </c>
      <c r="N884" s="20">
        <f t="shared" si="172"/>
        <v>4.9720262030229168E-2</v>
      </c>
      <c r="O884">
        <f t="shared" si="179"/>
        <v>5.8207660913467407E-10</v>
      </c>
      <c r="P884">
        <f t="shared" si="180"/>
        <v>-3.4924596548080444E-10</v>
      </c>
      <c r="Q884">
        <f t="shared" si="181"/>
        <v>-3.4924596548080444E-10</v>
      </c>
    </row>
    <row r="885" spans="2:17" x14ac:dyDescent="0.25">
      <c r="B885" s="18">
        <f t="shared" si="173"/>
        <v>1.584452641983925E-4</v>
      </c>
      <c r="C885" s="18">
        <f t="shared" si="174"/>
        <v>1.5844526419839253E-4</v>
      </c>
      <c r="D885" s="18">
        <f t="shared" si="175"/>
        <v>1.584452641983925E-4</v>
      </c>
      <c r="E885">
        <f t="shared" si="176"/>
        <v>4.6609784476459026E-8</v>
      </c>
      <c r="F885">
        <f t="shared" si="182"/>
        <v>-9.4369170255959034E-9</v>
      </c>
      <c r="G885">
        <f t="shared" si="183"/>
        <v>4.6609784476459026E-8</v>
      </c>
      <c r="L885" s="7">
        <f t="shared" si="177"/>
        <v>4.9720262030229161E-2</v>
      </c>
      <c r="M885" s="7">
        <f t="shared" si="178"/>
        <v>4.9720262030229168E-2</v>
      </c>
      <c r="N885" s="20">
        <f t="shared" si="172"/>
        <v>4.9720262030229168E-2</v>
      </c>
      <c r="O885">
        <f t="shared" si="179"/>
        <v>5.8207660913467407E-10</v>
      </c>
      <c r="P885">
        <f t="shared" si="180"/>
        <v>-3.4924596548080444E-10</v>
      </c>
      <c r="Q885">
        <f t="shared" si="181"/>
        <v>-3.4924596548080444E-10</v>
      </c>
    </row>
    <row r="886" spans="2:17" x14ac:dyDescent="0.25">
      <c r="B886" s="18">
        <f t="shared" si="173"/>
        <v>1.584452641983925E-4</v>
      </c>
      <c r="C886" s="18">
        <f t="shared" si="174"/>
        <v>1.5844526419839253E-4</v>
      </c>
      <c r="D886" s="18">
        <f t="shared" si="175"/>
        <v>1.584452641983925E-4</v>
      </c>
      <c r="E886">
        <f t="shared" si="176"/>
        <v>4.6609784476459026E-8</v>
      </c>
      <c r="F886">
        <f t="shared" si="182"/>
        <v>-9.4369170255959034E-9</v>
      </c>
      <c r="G886">
        <f t="shared" si="183"/>
        <v>4.6609784476459026E-8</v>
      </c>
      <c r="L886" s="7">
        <f t="shared" si="177"/>
        <v>4.9720262030229161E-2</v>
      </c>
      <c r="M886" s="7">
        <f t="shared" si="178"/>
        <v>4.9720262030229168E-2</v>
      </c>
      <c r="N886" s="20">
        <f t="shared" si="172"/>
        <v>4.9720262030229168E-2</v>
      </c>
      <c r="O886">
        <f t="shared" si="179"/>
        <v>5.8207660913467407E-10</v>
      </c>
      <c r="P886">
        <f t="shared" si="180"/>
        <v>-3.4924596548080444E-10</v>
      </c>
      <c r="Q886">
        <f t="shared" si="181"/>
        <v>-3.4924596548080444E-10</v>
      </c>
    </row>
    <row r="887" spans="2:17" x14ac:dyDescent="0.25">
      <c r="B887" s="18">
        <f t="shared" si="173"/>
        <v>1.584452641983925E-4</v>
      </c>
      <c r="C887" s="18">
        <f t="shared" si="174"/>
        <v>1.5844526419839253E-4</v>
      </c>
      <c r="D887" s="18">
        <f t="shared" si="175"/>
        <v>1.584452641983925E-4</v>
      </c>
      <c r="E887">
        <f t="shared" si="176"/>
        <v>4.6609784476459026E-8</v>
      </c>
      <c r="F887">
        <f t="shared" si="182"/>
        <v>-9.4369170255959034E-9</v>
      </c>
      <c r="G887">
        <f t="shared" si="183"/>
        <v>4.6609784476459026E-8</v>
      </c>
      <c r="L887" s="7">
        <f t="shared" si="177"/>
        <v>4.9720262030229161E-2</v>
      </c>
      <c r="M887" s="7">
        <f t="shared" si="178"/>
        <v>4.9720262030229168E-2</v>
      </c>
      <c r="N887" s="20">
        <f t="shared" si="172"/>
        <v>4.9720262030229168E-2</v>
      </c>
      <c r="O887">
        <f t="shared" si="179"/>
        <v>5.8207660913467407E-10</v>
      </c>
      <c r="P887">
        <f t="shared" si="180"/>
        <v>-3.4924596548080444E-10</v>
      </c>
      <c r="Q887">
        <f t="shared" si="181"/>
        <v>-3.4924596548080444E-10</v>
      </c>
    </row>
    <row r="888" spans="2:17" x14ac:dyDescent="0.25">
      <c r="B888" s="18">
        <f t="shared" si="173"/>
        <v>1.584452641983925E-4</v>
      </c>
      <c r="C888" s="18">
        <f t="shared" si="174"/>
        <v>1.5844526419839253E-4</v>
      </c>
      <c r="D888" s="18">
        <f t="shared" si="175"/>
        <v>1.584452641983925E-4</v>
      </c>
      <c r="E888">
        <f t="shared" si="176"/>
        <v>4.6609784476459026E-8</v>
      </c>
      <c r="F888">
        <f t="shared" si="182"/>
        <v>-9.4369170255959034E-9</v>
      </c>
      <c r="G888">
        <f t="shared" si="183"/>
        <v>4.6609784476459026E-8</v>
      </c>
      <c r="L888" s="7">
        <f t="shared" si="177"/>
        <v>4.9720262030229161E-2</v>
      </c>
      <c r="M888" s="7">
        <f t="shared" si="178"/>
        <v>4.9720262030229168E-2</v>
      </c>
      <c r="N888" s="20">
        <f t="shared" si="172"/>
        <v>4.9720262030229168E-2</v>
      </c>
      <c r="O888">
        <f t="shared" si="179"/>
        <v>5.8207660913467407E-10</v>
      </c>
      <c r="P888">
        <f t="shared" si="180"/>
        <v>-3.4924596548080444E-10</v>
      </c>
      <c r="Q888">
        <f t="shared" si="181"/>
        <v>-3.4924596548080444E-10</v>
      </c>
    </row>
    <row r="889" spans="2:17" x14ac:dyDescent="0.25">
      <c r="B889" s="18">
        <f t="shared" si="173"/>
        <v>1.584452641983925E-4</v>
      </c>
      <c r="C889" s="18">
        <f t="shared" si="174"/>
        <v>1.5844526419839253E-4</v>
      </c>
      <c r="D889" s="18">
        <f t="shared" si="175"/>
        <v>1.584452641983925E-4</v>
      </c>
      <c r="E889">
        <f t="shared" si="176"/>
        <v>4.6609784476459026E-8</v>
      </c>
      <c r="F889">
        <f t="shared" si="182"/>
        <v>-9.4369170255959034E-9</v>
      </c>
      <c r="G889">
        <f t="shared" si="183"/>
        <v>4.6609784476459026E-8</v>
      </c>
      <c r="L889" s="7">
        <f t="shared" si="177"/>
        <v>4.9720262030229161E-2</v>
      </c>
      <c r="M889" s="7">
        <f t="shared" si="178"/>
        <v>4.9720262030229168E-2</v>
      </c>
      <c r="N889" s="20">
        <f t="shared" si="172"/>
        <v>4.9720262030229168E-2</v>
      </c>
      <c r="O889">
        <f t="shared" si="179"/>
        <v>5.8207660913467407E-10</v>
      </c>
      <c r="P889">
        <f t="shared" si="180"/>
        <v>-3.4924596548080444E-10</v>
      </c>
      <c r="Q889">
        <f t="shared" si="181"/>
        <v>-3.4924596548080444E-10</v>
      </c>
    </row>
    <row r="890" spans="2:17" x14ac:dyDescent="0.25">
      <c r="B890" s="18">
        <f t="shared" si="173"/>
        <v>1.584452641983925E-4</v>
      </c>
      <c r="C890" s="18">
        <f t="shared" si="174"/>
        <v>1.5844526419839253E-4</v>
      </c>
      <c r="D890" s="18">
        <f t="shared" si="175"/>
        <v>1.584452641983925E-4</v>
      </c>
      <c r="E890">
        <f t="shared" si="176"/>
        <v>4.6609784476459026E-8</v>
      </c>
      <c r="F890">
        <f t="shared" si="182"/>
        <v>-9.4369170255959034E-9</v>
      </c>
      <c r="G890">
        <f t="shared" si="183"/>
        <v>4.6609784476459026E-8</v>
      </c>
      <c r="L890" s="7">
        <f t="shared" si="177"/>
        <v>4.9720262030229161E-2</v>
      </c>
      <c r="M890" s="7">
        <f t="shared" si="178"/>
        <v>4.9720262030229168E-2</v>
      </c>
      <c r="N890" s="20">
        <f t="shared" si="172"/>
        <v>4.9720262030229168E-2</v>
      </c>
      <c r="O890">
        <f t="shared" si="179"/>
        <v>5.8207660913467407E-10</v>
      </c>
      <c r="P890">
        <f t="shared" si="180"/>
        <v>-3.4924596548080444E-10</v>
      </c>
      <c r="Q890">
        <f t="shared" si="181"/>
        <v>-3.4924596548080444E-10</v>
      </c>
    </row>
    <row r="891" spans="2:17" x14ac:dyDescent="0.25">
      <c r="B891" s="18">
        <f t="shared" si="173"/>
        <v>1.584452641983925E-4</v>
      </c>
      <c r="C891" s="18">
        <f t="shared" si="174"/>
        <v>1.5844526419839253E-4</v>
      </c>
      <c r="D891" s="18">
        <f t="shared" si="175"/>
        <v>1.584452641983925E-4</v>
      </c>
      <c r="E891">
        <f t="shared" si="176"/>
        <v>4.6609784476459026E-8</v>
      </c>
      <c r="F891">
        <f t="shared" si="182"/>
        <v>-9.4369170255959034E-9</v>
      </c>
      <c r="G891">
        <f t="shared" si="183"/>
        <v>4.6609784476459026E-8</v>
      </c>
      <c r="L891" s="7">
        <f t="shared" si="177"/>
        <v>4.9720262030229161E-2</v>
      </c>
      <c r="M891" s="7">
        <f t="shared" si="178"/>
        <v>4.9720262030229168E-2</v>
      </c>
      <c r="N891" s="20">
        <f t="shared" si="172"/>
        <v>4.9720262030229168E-2</v>
      </c>
      <c r="O891">
        <f t="shared" si="179"/>
        <v>5.8207660913467407E-10</v>
      </c>
      <c r="P891">
        <f t="shared" si="180"/>
        <v>-3.4924596548080444E-10</v>
      </c>
      <c r="Q891">
        <f t="shared" si="181"/>
        <v>-3.4924596548080444E-10</v>
      </c>
    </row>
    <row r="892" spans="2:17" x14ac:dyDescent="0.25">
      <c r="B892" s="18">
        <f t="shared" si="173"/>
        <v>1.584452641983925E-4</v>
      </c>
      <c r="C892" s="18">
        <f t="shared" si="174"/>
        <v>1.5844526419839253E-4</v>
      </c>
      <c r="D892" s="18">
        <f t="shared" si="175"/>
        <v>1.584452641983925E-4</v>
      </c>
      <c r="E892">
        <f t="shared" si="176"/>
        <v>4.6609784476459026E-8</v>
      </c>
      <c r="F892">
        <f t="shared" si="182"/>
        <v>-9.4369170255959034E-9</v>
      </c>
      <c r="G892">
        <f t="shared" si="183"/>
        <v>4.6609784476459026E-8</v>
      </c>
      <c r="L892" s="7">
        <f t="shared" si="177"/>
        <v>4.9720262030229161E-2</v>
      </c>
      <c r="M892" s="7">
        <f t="shared" si="178"/>
        <v>4.9720262030229168E-2</v>
      </c>
      <c r="N892" s="20">
        <f t="shared" si="172"/>
        <v>4.9720262030229168E-2</v>
      </c>
      <c r="O892">
        <f t="shared" si="179"/>
        <v>5.8207660913467407E-10</v>
      </c>
      <c r="P892">
        <f t="shared" si="180"/>
        <v>-3.4924596548080444E-10</v>
      </c>
      <c r="Q892">
        <f t="shared" si="181"/>
        <v>-3.4924596548080444E-10</v>
      </c>
    </row>
    <row r="893" spans="2:17" x14ac:dyDescent="0.25">
      <c r="B893" s="18">
        <f t="shared" si="173"/>
        <v>1.584452641983925E-4</v>
      </c>
      <c r="C893" s="18">
        <f t="shared" si="174"/>
        <v>1.5844526419839253E-4</v>
      </c>
      <c r="D893" s="18">
        <f t="shared" si="175"/>
        <v>1.584452641983925E-4</v>
      </c>
      <c r="E893">
        <f t="shared" si="176"/>
        <v>4.6609784476459026E-8</v>
      </c>
      <c r="F893">
        <f t="shared" si="182"/>
        <v>-9.4369170255959034E-9</v>
      </c>
      <c r="G893">
        <f t="shared" si="183"/>
        <v>4.6609784476459026E-8</v>
      </c>
      <c r="L893" s="7">
        <f t="shared" si="177"/>
        <v>4.9720262030229161E-2</v>
      </c>
      <c r="M893" s="7">
        <f t="shared" si="178"/>
        <v>4.9720262030229168E-2</v>
      </c>
      <c r="N893" s="20">
        <f t="shared" si="172"/>
        <v>4.9720262030229168E-2</v>
      </c>
      <c r="O893">
        <f t="shared" si="179"/>
        <v>5.8207660913467407E-10</v>
      </c>
      <c r="P893">
        <f t="shared" si="180"/>
        <v>-3.4924596548080444E-10</v>
      </c>
      <c r="Q893">
        <f t="shared" si="181"/>
        <v>-3.4924596548080444E-10</v>
      </c>
    </row>
    <row r="894" spans="2:17" x14ac:dyDescent="0.25">
      <c r="B894" s="18">
        <f t="shared" si="173"/>
        <v>1.584452641983925E-4</v>
      </c>
      <c r="C894" s="18">
        <f t="shared" si="174"/>
        <v>1.5844526419839253E-4</v>
      </c>
      <c r="D894" s="18">
        <f t="shared" si="175"/>
        <v>1.584452641983925E-4</v>
      </c>
      <c r="E894">
        <f t="shared" si="176"/>
        <v>4.6609784476459026E-8</v>
      </c>
      <c r="F894">
        <f t="shared" si="182"/>
        <v>-9.4369170255959034E-9</v>
      </c>
      <c r="G894">
        <f t="shared" si="183"/>
        <v>4.6609784476459026E-8</v>
      </c>
      <c r="L894" s="7">
        <f t="shared" si="177"/>
        <v>4.9720262030229161E-2</v>
      </c>
      <c r="M894" s="7">
        <f t="shared" si="178"/>
        <v>4.9720262030229168E-2</v>
      </c>
      <c r="N894" s="20">
        <f t="shared" si="172"/>
        <v>4.9720262030229168E-2</v>
      </c>
      <c r="O894">
        <f t="shared" si="179"/>
        <v>5.8207660913467407E-10</v>
      </c>
      <c r="P894">
        <f t="shared" si="180"/>
        <v>-3.4924596548080444E-10</v>
      </c>
      <c r="Q894">
        <f t="shared" si="181"/>
        <v>-3.4924596548080444E-10</v>
      </c>
    </row>
    <row r="895" spans="2:17" x14ac:dyDescent="0.25">
      <c r="B895" s="18">
        <f t="shared" si="173"/>
        <v>1.584452641983925E-4</v>
      </c>
      <c r="C895" s="18">
        <f t="shared" si="174"/>
        <v>1.5844526419839253E-4</v>
      </c>
      <c r="D895" s="18">
        <f t="shared" si="175"/>
        <v>1.584452641983925E-4</v>
      </c>
      <c r="E895">
        <f t="shared" si="176"/>
        <v>4.6609784476459026E-8</v>
      </c>
      <c r="F895">
        <f t="shared" si="182"/>
        <v>-9.4369170255959034E-9</v>
      </c>
      <c r="G895">
        <f t="shared" si="183"/>
        <v>4.6609784476459026E-8</v>
      </c>
      <c r="L895" s="7">
        <f t="shared" si="177"/>
        <v>4.9720262030229161E-2</v>
      </c>
      <c r="M895" s="7">
        <f t="shared" si="178"/>
        <v>4.9720262030229168E-2</v>
      </c>
      <c r="N895" s="20">
        <f t="shared" si="172"/>
        <v>4.9720262030229168E-2</v>
      </c>
      <c r="O895">
        <f t="shared" si="179"/>
        <v>5.8207660913467407E-10</v>
      </c>
      <c r="P895">
        <f t="shared" si="180"/>
        <v>-3.4924596548080444E-10</v>
      </c>
      <c r="Q895">
        <f t="shared" si="181"/>
        <v>-3.4924596548080444E-10</v>
      </c>
    </row>
    <row r="896" spans="2:17" x14ac:dyDescent="0.25">
      <c r="B896" s="18">
        <f t="shared" si="173"/>
        <v>1.584452641983925E-4</v>
      </c>
      <c r="C896" s="18">
        <f t="shared" si="174"/>
        <v>1.5844526419839253E-4</v>
      </c>
      <c r="D896" s="18">
        <f t="shared" si="175"/>
        <v>1.584452641983925E-4</v>
      </c>
      <c r="E896">
        <f t="shared" si="176"/>
        <v>4.6609784476459026E-8</v>
      </c>
      <c r="F896">
        <f t="shared" si="182"/>
        <v>-9.4369170255959034E-9</v>
      </c>
      <c r="G896">
        <f t="shared" si="183"/>
        <v>4.6609784476459026E-8</v>
      </c>
      <c r="L896" s="7">
        <f t="shared" si="177"/>
        <v>4.9720262030229161E-2</v>
      </c>
      <c r="M896" s="7">
        <f t="shared" si="178"/>
        <v>4.9720262030229168E-2</v>
      </c>
      <c r="N896" s="20">
        <f t="shared" si="172"/>
        <v>4.9720262030229168E-2</v>
      </c>
      <c r="O896">
        <f t="shared" si="179"/>
        <v>5.8207660913467407E-10</v>
      </c>
      <c r="P896">
        <f t="shared" si="180"/>
        <v>-3.4924596548080444E-10</v>
      </c>
      <c r="Q896">
        <f t="shared" si="181"/>
        <v>-3.4924596548080444E-10</v>
      </c>
    </row>
    <row r="897" spans="2:17" x14ac:dyDescent="0.25">
      <c r="B897" s="18">
        <f t="shared" si="173"/>
        <v>1.584452641983925E-4</v>
      </c>
      <c r="C897" s="18">
        <f t="shared" si="174"/>
        <v>1.5844526419839253E-4</v>
      </c>
      <c r="D897" s="18">
        <f t="shared" si="175"/>
        <v>1.584452641983925E-4</v>
      </c>
      <c r="E897">
        <f t="shared" si="176"/>
        <v>4.6609784476459026E-8</v>
      </c>
      <c r="F897">
        <f t="shared" si="182"/>
        <v>-9.4369170255959034E-9</v>
      </c>
      <c r="G897">
        <f t="shared" si="183"/>
        <v>4.6609784476459026E-8</v>
      </c>
      <c r="L897" s="7">
        <f t="shared" si="177"/>
        <v>4.9720262030229161E-2</v>
      </c>
      <c r="M897" s="7">
        <f t="shared" si="178"/>
        <v>4.9720262030229168E-2</v>
      </c>
      <c r="N897" s="20">
        <f t="shared" si="172"/>
        <v>4.9720262030229168E-2</v>
      </c>
      <c r="O897">
        <f t="shared" si="179"/>
        <v>5.8207660913467407E-10</v>
      </c>
      <c r="P897">
        <f t="shared" si="180"/>
        <v>-3.4924596548080444E-10</v>
      </c>
      <c r="Q897">
        <f t="shared" si="181"/>
        <v>-3.4924596548080444E-10</v>
      </c>
    </row>
    <row r="898" spans="2:17" x14ac:dyDescent="0.25">
      <c r="B898" s="18">
        <f t="shared" si="173"/>
        <v>1.584452641983925E-4</v>
      </c>
      <c r="C898" s="18">
        <f t="shared" si="174"/>
        <v>1.5844526419839253E-4</v>
      </c>
      <c r="D898" s="18">
        <f t="shared" si="175"/>
        <v>1.584452641983925E-4</v>
      </c>
      <c r="E898">
        <f t="shared" si="176"/>
        <v>4.6609784476459026E-8</v>
      </c>
      <c r="F898">
        <f t="shared" si="182"/>
        <v>-9.4369170255959034E-9</v>
      </c>
      <c r="G898">
        <f t="shared" si="183"/>
        <v>4.6609784476459026E-8</v>
      </c>
      <c r="L898" s="7">
        <f t="shared" si="177"/>
        <v>4.9720262030229161E-2</v>
      </c>
      <c r="M898" s="7">
        <f t="shared" si="178"/>
        <v>4.9720262030229168E-2</v>
      </c>
      <c r="N898" s="20">
        <f t="shared" si="172"/>
        <v>4.9720262030229168E-2</v>
      </c>
      <c r="O898">
        <f t="shared" si="179"/>
        <v>5.8207660913467407E-10</v>
      </c>
      <c r="P898">
        <f t="shared" si="180"/>
        <v>-3.4924596548080444E-10</v>
      </c>
      <c r="Q898">
        <f t="shared" si="181"/>
        <v>-3.4924596548080444E-10</v>
      </c>
    </row>
    <row r="899" spans="2:17" x14ac:dyDescent="0.25">
      <c r="B899" s="18">
        <f t="shared" si="173"/>
        <v>1.584452641983925E-4</v>
      </c>
      <c r="C899" s="18">
        <f t="shared" si="174"/>
        <v>1.5844526419839253E-4</v>
      </c>
      <c r="D899" s="18">
        <f t="shared" si="175"/>
        <v>1.584452641983925E-4</v>
      </c>
      <c r="E899">
        <f t="shared" si="176"/>
        <v>4.6609784476459026E-8</v>
      </c>
      <c r="F899">
        <f t="shared" si="182"/>
        <v>-9.4369170255959034E-9</v>
      </c>
      <c r="G899">
        <f t="shared" si="183"/>
        <v>4.6609784476459026E-8</v>
      </c>
      <c r="L899" s="7">
        <f t="shared" si="177"/>
        <v>4.9720262030229161E-2</v>
      </c>
      <c r="M899" s="7">
        <f t="shared" si="178"/>
        <v>4.9720262030229168E-2</v>
      </c>
      <c r="N899" s="20">
        <f t="shared" si="172"/>
        <v>4.9720262030229168E-2</v>
      </c>
      <c r="O899">
        <f t="shared" si="179"/>
        <v>5.8207660913467407E-10</v>
      </c>
      <c r="P899">
        <f t="shared" si="180"/>
        <v>-3.4924596548080444E-10</v>
      </c>
      <c r="Q899">
        <f t="shared" si="181"/>
        <v>-3.4924596548080444E-10</v>
      </c>
    </row>
    <row r="900" spans="2:17" x14ac:dyDescent="0.25">
      <c r="B900" s="18">
        <f t="shared" si="173"/>
        <v>1.584452641983925E-4</v>
      </c>
      <c r="C900" s="18">
        <f t="shared" si="174"/>
        <v>1.5844526419839253E-4</v>
      </c>
      <c r="D900" s="18">
        <f t="shared" si="175"/>
        <v>1.584452641983925E-4</v>
      </c>
      <c r="E900">
        <f t="shared" si="176"/>
        <v>4.6609784476459026E-8</v>
      </c>
      <c r="F900">
        <f t="shared" si="182"/>
        <v>-9.4369170255959034E-9</v>
      </c>
      <c r="G900">
        <f t="shared" si="183"/>
        <v>4.6609784476459026E-8</v>
      </c>
      <c r="L900" s="7">
        <f t="shared" si="177"/>
        <v>4.9720262030229161E-2</v>
      </c>
      <c r="M900" s="7">
        <f t="shared" si="178"/>
        <v>4.9720262030229168E-2</v>
      </c>
      <c r="N900" s="20">
        <f t="shared" si="172"/>
        <v>4.9720262030229168E-2</v>
      </c>
      <c r="O900">
        <f t="shared" si="179"/>
        <v>5.8207660913467407E-10</v>
      </c>
      <c r="P900">
        <f t="shared" si="180"/>
        <v>-3.4924596548080444E-10</v>
      </c>
      <c r="Q900">
        <f t="shared" si="181"/>
        <v>-3.4924596548080444E-10</v>
      </c>
    </row>
    <row r="901" spans="2:17" x14ac:dyDescent="0.25">
      <c r="B901" s="18">
        <f t="shared" si="173"/>
        <v>1.584452641983925E-4</v>
      </c>
      <c r="C901" s="18">
        <f t="shared" si="174"/>
        <v>1.5844526419839253E-4</v>
      </c>
      <c r="D901" s="18">
        <f t="shared" si="175"/>
        <v>1.584452641983925E-4</v>
      </c>
      <c r="E901">
        <f t="shared" si="176"/>
        <v>4.6609784476459026E-8</v>
      </c>
      <c r="F901">
        <f t="shared" si="182"/>
        <v>-9.4369170255959034E-9</v>
      </c>
      <c r="G901">
        <f t="shared" si="183"/>
        <v>4.6609784476459026E-8</v>
      </c>
      <c r="L901" s="7">
        <f t="shared" si="177"/>
        <v>4.9720262030229161E-2</v>
      </c>
      <c r="M901" s="7">
        <f t="shared" si="178"/>
        <v>4.9720262030229168E-2</v>
      </c>
      <c r="N901" s="20">
        <f t="shared" si="172"/>
        <v>4.9720262030229168E-2</v>
      </c>
      <c r="O901">
        <f t="shared" si="179"/>
        <v>5.8207660913467407E-10</v>
      </c>
      <c r="P901">
        <f t="shared" si="180"/>
        <v>-3.4924596548080444E-10</v>
      </c>
      <c r="Q901">
        <f t="shared" si="181"/>
        <v>-3.4924596548080444E-10</v>
      </c>
    </row>
    <row r="902" spans="2:17" x14ac:dyDescent="0.25">
      <c r="B902" s="18">
        <f t="shared" si="173"/>
        <v>1.584452641983925E-4</v>
      </c>
      <c r="C902" s="18">
        <f t="shared" si="174"/>
        <v>1.5844526419839253E-4</v>
      </c>
      <c r="D902" s="18">
        <f t="shared" si="175"/>
        <v>1.584452641983925E-4</v>
      </c>
      <c r="E902">
        <f t="shared" si="176"/>
        <v>4.6609784476459026E-8</v>
      </c>
      <c r="F902">
        <f t="shared" si="182"/>
        <v>-9.4369170255959034E-9</v>
      </c>
      <c r="G902">
        <f t="shared" si="183"/>
        <v>4.6609784476459026E-8</v>
      </c>
      <c r="L902" s="7">
        <f t="shared" si="177"/>
        <v>4.9720262030229161E-2</v>
      </c>
      <c r="M902" s="7">
        <f t="shared" si="178"/>
        <v>4.9720262030229168E-2</v>
      </c>
      <c r="N902" s="20">
        <f t="shared" si="172"/>
        <v>4.9720262030229168E-2</v>
      </c>
      <c r="O902">
        <f t="shared" si="179"/>
        <v>5.8207660913467407E-10</v>
      </c>
      <c r="P902">
        <f t="shared" si="180"/>
        <v>-3.4924596548080444E-10</v>
      </c>
      <c r="Q902">
        <f t="shared" si="181"/>
        <v>-3.4924596548080444E-10</v>
      </c>
    </row>
    <row r="903" spans="2:17" x14ac:dyDescent="0.25">
      <c r="B903" s="18">
        <f t="shared" si="173"/>
        <v>1.584452641983925E-4</v>
      </c>
      <c r="C903" s="18">
        <f t="shared" si="174"/>
        <v>1.5844526419839253E-4</v>
      </c>
      <c r="D903" s="18">
        <f t="shared" si="175"/>
        <v>1.584452641983925E-4</v>
      </c>
      <c r="E903">
        <f t="shared" si="176"/>
        <v>4.6609784476459026E-8</v>
      </c>
      <c r="F903">
        <f t="shared" si="182"/>
        <v>-9.4369170255959034E-9</v>
      </c>
      <c r="G903">
        <f t="shared" si="183"/>
        <v>4.6609784476459026E-8</v>
      </c>
      <c r="L903" s="7">
        <f t="shared" si="177"/>
        <v>4.9720262030229161E-2</v>
      </c>
      <c r="M903" s="7">
        <f t="shared" si="178"/>
        <v>4.9720262030229168E-2</v>
      </c>
      <c r="N903" s="20">
        <f t="shared" si="172"/>
        <v>4.9720262030229168E-2</v>
      </c>
      <c r="O903">
        <f t="shared" si="179"/>
        <v>5.8207660913467407E-10</v>
      </c>
      <c r="P903">
        <f t="shared" si="180"/>
        <v>-3.4924596548080444E-10</v>
      </c>
      <c r="Q903">
        <f t="shared" si="181"/>
        <v>-3.4924596548080444E-10</v>
      </c>
    </row>
    <row r="904" spans="2:17" x14ac:dyDescent="0.25">
      <c r="B904" s="18">
        <f t="shared" si="173"/>
        <v>1.584452641983925E-4</v>
      </c>
      <c r="C904" s="18">
        <f t="shared" si="174"/>
        <v>1.5844526419839253E-4</v>
      </c>
      <c r="D904" s="18">
        <f t="shared" si="175"/>
        <v>1.584452641983925E-4</v>
      </c>
      <c r="E904">
        <f t="shared" si="176"/>
        <v>4.6609784476459026E-8</v>
      </c>
      <c r="F904">
        <f t="shared" si="182"/>
        <v>-9.4369170255959034E-9</v>
      </c>
      <c r="G904">
        <f t="shared" si="183"/>
        <v>4.6609784476459026E-8</v>
      </c>
      <c r="L904" s="7">
        <f t="shared" si="177"/>
        <v>4.9720262030229161E-2</v>
      </c>
      <c r="M904" s="7">
        <f t="shared" si="178"/>
        <v>4.9720262030229168E-2</v>
      </c>
      <c r="N904" s="20">
        <f t="shared" si="172"/>
        <v>4.9720262030229168E-2</v>
      </c>
      <c r="O904">
        <f t="shared" si="179"/>
        <v>5.8207660913467407E-10</v>
      </c>
      <c r="P904">
        <f t="shared" si="180"/>
        <v>-3.4924596548080444E-10</v>
      </c>
      <c r="Q904">
        <f t="shared" si="181"/>
        <v>-3.4924596548080444E-10</v>
      </c>
    </row>
    <row r="905" spans="2:17" x14ac:dyDescent="0.25">
      <c r="B905" s="18">
        <f t="shared" si="173"/>
        <v>1.584452641983925E-4</v>
      </c>
      <c r="C905" s="18">
        <f t="shared" si="174"/>
        <v>1.5844526419839253E-4</v>
      </c>
      <c r="D905" s="18">
        <f t="shared" si="175"/>
        <v>1.584452641983925E-4</v>
      </c>
      <c r="E905">
        <f t="shared" si="176"/>
        <v>4.6609784476459026E-8</v>
      </c>
      <c r="F905">
        <f t="shared" si="182"/>
        <v>-9.4369170255959034E-9</v>
      </c>
      <c r="G905">
        <f t="shared" si="183"/>
        <v>4.6609784476459026E-8</v>
      </c>
      <c r="L905" s="7">
        <f t="shared" si="177"/>
        <v>4.9720262030229161E-2</v>
      </c>
      <c r="M905" s="7">
        <f t="shared" si="178"/>
        <v>4.9720262030229168E-2</v>
      </c>
      <c r="N905" s="20">
        <f t="shared" si="172"/>
        <v>4.9720262030229168E-2</v>
      </c>
      <c r="O905">
        <f t="shared" si="179"/>
        <v>5.8207660913467407E-10</v>
      </c>
      <c r="P905">
        <f t="shared" si="180"/>
        <v>-3.4924596548080444E-10</v>
      </c>
      <c r="Q905">
        <f t="shared" si="181"/>
        <v>-3.4924596548080444E-10</v>
      </c>
    </row>
    <row r="906" spans="2:17" x14ac:dyDescent="0.25">
      <c r="B906" s="18">
        <f t="shared" si="173"/>
        <v>1.584452641983925E-4</v>
      </c>
      <c r="C906" s="18">
        <f t="shared" si="174"/>
        <v>1.5844526419839253E-4</v>
      </c>
      <c r="D906" s="18">
        <f t="shared" si="175"/>
        <v>1.584452641983925E-4</v>
      </c>
      <c r="E906">
        <f t="shared" si="176"/>
        <v>4.6609784476459026E-8</v>
      </c>
      <c r="F906">
        <f t="shared" si="182"/>
        <v>-9.4369170255959034E-9</v>
      </c>
      <c r="G906">
        <f t="shared" si="183"/>
        <v>4.6609784476459026E-8</v>
      </c>
      <c r="L906" s="7">
        <f t="shared" si="177"/>
        <v>4.9720262030229161E-2</v>
      </c>
      <c r="M906" s="7">
        <f t="shared" si="178"/>
        <v>4.9720262030229168E-2</v>
      </c>
      <c r="N906" s="20">
        <f t="shared" si="172"/>
        <v>4.9720262030229168E-2</v>
      </c>
      <c r="O906">
        <f t="shared" si="179"/>
        <v>5.8207660913467407E-10</v>
      </c>
      <c r="P906">
        <f t="shared" si="180"/>
        <v>-3.4924596548080444E-10</v>
      </c>
      <c r="Q906">
        <f t="shared" si="181"/>
        <v>-3.4924596548080444E-10</v>
      </c>
    </row>
    <row r="907" spans="2:17" x14ac:dyDescent="0.25">
      <c r="B907" s="18">
        <f t="shared" si="173"/>
        <v>1.584452641983925E-4</v>
      </c>
      <c r="C907" s="18">
        <f t="shared" si="174"/>
        <v>1.5844526419839253E-4</v>
      </c>
      <c r="D907" s="18">
        <f t="shared" si="175"/>
        <v>1.584452641983925E-4</v>
      </c>
      <c r="E907">
        <f t="shared" si="176"/>
        <v>4.6609784476459026E-8</v>
      </c>
      <c r="F907">
        <f t="shared" si="182"/>
        <v>-9.4369170255959034E-9</v>
      </c>
      <c r="G907">
        <f t="shared" si="183"/>
        <v>4.6609784476459026E-8</v>
      </c>
      <c r="L907" s="7">
        <f t="shared" si="177"/>
        <v>4.9720262030229161E-2</v>
      </c>
      <c r="M907" s="7">
        <f t="shared" si="178"/>
        <v>4.9720262030229168E-2</v>
      </c>
      <c r="N907" s="20">
        <f t="shared" si="172"/>
        <v>4.9720262030229168E-2</v>
      </c>
      <c r="O907">
        <f t="shared" si="179"/>
        <v>5.8207660913467407E-10</v>
      </c>
      <c r="P907">
        <f t="shared" si="180"/>
        <v>-3.4924596548080444E-10</v>
      </c>
      <c r="Q907">
        <f t="shared" si="181"/>
        <v>-3.4924596548080444E-10</v>
      </c>
    </row>
    <row r="908" spans="2:17" x14ac:dyDescent="0.25">
      <c r="B908" s="18">
        <f t="shared" si="173"/>
        <v>1.584452641983925E-4</v>
      </c>
      <c r="C908" s="18">
        <f t="shared" si="174"/>
        <v>1.5844526419839253E-4</v>
      </c>
      <c r="D908" s="18">
        <f t="shared" si="175"/>
        <v>1.584452641983925E-4</v>
      </c>
      <c r="E908">
        <f t="shared" si="176"/>
        <v>4.6609784476459026E-8</v>
      </c>
      <c r="F908">
        <f t="shared" si="182"/>
        <v>-9.4369170255959034E-9</v>
      </c>
      <c r="G908">
        <f t="shared" si="183"/>
        <v>4.6609784476459026E-8</v>
      </c>
      <c r="L908" s="7">
        <f t="shared" si="177"/>
        <v>4.9720262030229161E-2</v>
      </c>
      <c r="M908" s="7">
        <f t="shared" si="178"/>
        <v>4.9720262030229168E-2</v>
      </c>
      <c r="N908" s="20">
        <f t="shared" si="172"/>
        <v>4.9720262030229168E-2</v>
      </c>
      <c r="O908">
        <f t="shared" si="179"/>
        <v>5.8207660913467407E-10</v>
      </c>
      <c r="P908">
        <f t="shared" si="180"/>
        <v>-3.4924596548080444E-10</v>
      </c>
      <c r="Q908">
        <f t="shared" si="181"/>
        <v>-3.4924596548080444E-10</v>
      </c>
    </row>
    <row r="909" spans="2:17" x14ac:dyDescent="0.25">
      <c r="B909" s="18">
        <f t="shared" si="173"/>
        <v>1.584452641983925E-4</v>
      </c>
      <c r="C909" s="18">
        <f t="shared" si="174"/>
        <v>1.5844526419839253E-4</v>
      </c>
      <c r="D909" s="18">
        <f t="shared" si="175"/>
        <v>1.584452641983925E-4</v>
      </c>
      <c r="E909">
        <f t="shared" si="176"/>
        <v>4.6609784476459026E-8</v>
      </c>
      <c r="F909">
        <f t="shared" si="182"/>
        <v>-9.4369170255959034E-9</v>
      </c>
      <c r="G909">
        <f t="shared" si="183"/>
        <v>4.6609784476459026E-8</v>
      </c>
      <c r="L909" s="7">
        <f t="shared" si="177"/>
        <v>4.9720262030229161E-2</v>
      </c>
      <c r="M909" s="7">
        <f t="shared" si="178"/>
        <v>4.9720262030229168E-2</v>
      </c>
      <c r="N909" s="20">
        <f t="shared" si="172"/>
        <v>4.9720262030229168E-2</v>
      </c>
      <c r="O909">
        <f t="shared" si="179"/>
        <v>5.8207660913467407E-10</v>
      </c>
      <c r="P909">
        <f t="shared" si="180"/>
        <v>-3.4924596548080444E-10</v>
      </c>
      <c r="Q909">
        <f t="shared" si="181"/>
        <v>-3.4924596548080444E-10</v>
      </c>
    </row>
    <row r="910" spans="2:17" x14ac:dyDescent="0.25">
      <c r="B910" s="18">
        <f t="shared" si="173"/>
        <v>1.584452641983925E-4</v>
      </c>
      <c r="C910" s="18">
        <f t="shared" si="174"/>
        <v>1.5844526419839253E-4</v>
      </c>
      <c r="D910" s="18">
        <f t="shared" si="175"/>
        <v>1.584452641983925E-4</v>
      </c>
      <c r="E910">
        <f t="shared" si="176"/>
        <v>4.6609784476459026E-8</v>
      </c>
      <c r="F910">
        <f t="shared" si="182"/>
        <v>-9.4369170255959034E-9</v>
      </c>
      <c r="G910">
        <f t="shared" si="183"/>
        <v>4.6609784476459026E-8</v>
      </c>
      <c r="L910" s="7">
        <f t="shared" si="177"/>
        <v>4.9720262030229161E-2</v>
      </c>
      <c r="M910" s="7">
        <f t="shared" si="178"/>
        <v>4.9720262030229168E-2</v>
      </c>
      <c r="N910" s="20">
        <f t="shared" si="172"/>
        <v>4.9720262030229168E-2</v>
      </c>
      <c r="O910">
        <f t="shared" si="179"/>
        <v>5.8207660913467407E-10</v>
      </c>
      <c r="P910">
        <f t="shared" si="180"/>
        <v>-3.4924596548080444E-10</v>
      </c>
      <c r="Q910">
        <f t="shared" si="181"/>
        <v>-3.4924596548080444E-10</v>
      </c>
    </row>
    <row r="911" spans="2:17" x14ac:dyDescent="0.25">
      <c r="B911" s="18">
        <f t="shared" si="173"/>
        <v>1.584452641983925E-4</v>
      </c>
      <c r="C911" s="18">
        <f t="shared" si="174"/>
        <v>1.5844526419839253E-4</v>
      </c>
      <c r="D911" s="18">
        <f t="shared" si="175"/>
        <v>1.584452641983925E-4</v>
      </c>
      <c r="E911">
        <f t="shared" si="176"/>
        <v>4.6609784476459026E-8</v>
      </c>
      <c r="F911">
        <f t="shared" si="182"/>
        <v>-9.4369170255959034E-9</v>
      </c>
      <c r="G911">
        <f t="shared" si="183"/>
        <v>4.6609784476459026E-8</v>
      </c>
      <c r="L911" s="7">
        <f t="shared" si="177"/>
        <v>4.9720262030229161E-2</v>
      </c>
      <c r="M911" s="7">
        <f t="shared" si="178"/>
        <v>4.9720262030229168E-2</v>
      </c>
      <c r="N911" s="20">
        <f t="shared" si="172"/>
        <v>4.9720262030229168E-2</v>
      </c>
      <c r="O911">
        <f t="shared" si="179"/>
        <v>5.8207660913467407E-10</v>
      </c>
      <c r="P911">
        <f t="shared" si="180"/>
        <v>-3.4924596548080444E-10</v>
      </c>
      <c r="Q911">
        <f t="shared" si="181"/>
        <v>-3.4924596548080444E-10</v>
      </c>
    </row>
    <row r="912" spans="2:17" x14ac:dyDescent="0.25">
      <c r="B912" s="18">
        <f t="shared" si="173"/>
        <v>1.584452641983925E-4</v>
      </c>
      <c r="C912" s="18">
        <f t="shared" si="174"/>
        <v>1.5844526419839253E-4</v>
      </c>
      <c r="D912" s="18">
        <f t="shared" si="175"/>
        <v>1.584452641983925E-4</v>
      </c>
      <c r="E912">
        <f t="shared" si="176"/>
        <v>4.6609784476459026E-8</v>
      </c>
      <c r="F912">
        <f t="shared" si="182"/>
        <v>-9.4369170255959034E-9</v>
      </c>
      <c r="G912">
        <f t="shared" si="183"/>
        <v>4.6609784476459026E-8</v>
      </c>
      <c r="L912" s="7">
        <f t="shared" si="177"/>
        <v>4.9720262030229161E-2</v>
      </c>
      <c r="M912" s="7">
        <f t="shared" si="178"/>
        <v>4.9720262030229168E-2</v>
      </c>
      <c r="N912" s="20">
        <f t="shared" si="172"/>
        <v>4.9720262030229168E-2</v>
      </c>
      <c r="O912">
        <f t="shared" si="179"/>
        <v>5.8207660913467407E-10</v>
      </c>
      <c r="P912">
        <f t="shared" si="180"/>
        <v>-3.4924596548080444E-10</v>
      </c>
      <c r="Q912">
        <f t="shared" si="181"/>
        <v>-3.4924596548080444E-10</v>
      </c>
    </row>
    <row r="913" spans="2:17" x14ac:dyDescent="0.25">
      <c r="B913" s="18">
        <f t="shared" si="173"/>
        <v>1.584452641983925E-4</v>
      </c>
      <c r="C913" s="18">
        <f t="shared" si="174"/>
        <v>1.5844526419839253E-4</v>
      </c>
      <c r="D913" s="18">
        <f t="shared" si="175"/>
        <v>1.584452641983925E-4</v>
      </c>
      <c r="E913">
        <f t="shared" si="176"/>
        <v>4.6609784476459026E-8</v>
      </c>
      <c r="F913">
        <f t="shared" si="182"/>
        <v>-9.4369170255959034E-9</v>
      </c>
      <c r="G913">
        <f t="shared" si="183"/>
        <v>4.6609784476459026E-8</v>
      </c>
      <c r="L913" s="7">
        <f t="shared" si="177"/>
        <v>4.9720262030229161E-2</v>
      </c>
      <c r="M913" s="7">
        <f t="shared" si="178"/>
        <v>4.9720262030229168E-2</v>
      </c>
      <c r="N913" s="20">
        <f t="shared" si="172"/>
        <v>4.9720262030229168E-2</v>
      </c>
      <c r="O913">
        <f t="shared" si="179"/>
        <v>5.8207660913467407E-10</v>
      </c>
      <c r="P913">
        <f t="shared" si="180"/>
        <v>-3.4924596548080444E-10</v>
      </c>
      <c r="Q913">
        <f t="shared" si="181"/>
        <v>-3.4924596548080444E-10</v>
      </c>
    </row>
    <row r="914" spans="2:17" x14ac:dyDescent="0.25">
      <c r="B914" s="18">
        <f t="shared" si="173"/>
        <v>1.584452641983925E-4</v>
      </c>
      <c r="C914" s="18">
        <f t="shared" si="174"/>
        <v>1.5844526419839253E-4</v>
      </c>
      <c r="D914" s="18">
        <f t="shared" si="175"/>
        <v>1.584452641983925E-4</v>
      </c>
      <c r="E914">
        <f t="shared" si="176"/>
        <v>4.6609784476459026E-8</v>
      </c>
      <c r="F914">
        <f t="shared" si="182"/>
        <v>-9.4369170255959034E-9</v>
      </c>
      <c r="G914">
        <f t="shared" si="183"/>
        <v>4.6609784476459026E-8</v>
      </c>
      <c r="L914" s="7">
        <f t="shared" si="177"/>
        <v>4.9720262030229161E-2</v>
      </c>
      <c r="M914" s="7">
        <f t="shared" si="178"/>
        <v>4.9720262030229168E-2</v>
      </c>
      <c r="N914" s="20">
        <f t="shared" si="172"/>
        <v>4.9720262030229168E-2</v>
      </c>
      <c r="O914">
        <f t="shared" si="179"/>
        <v>5.8207660913467407E-10</v>
      </c>
      <c r="P914">
        <f t="shared" si="180"/>
        <v>-3.4924596548080444E-10</v>
      </c>
      <c r="Q914">
        <f t="shared" si="181"/>
        <v>-3.4924596548080444E-10</v>
      </c>
    </row>
    <row r="915" spans="2:17" x14ac:dyDescent="0.25">
      <c r="B915" s="18">
        <f t="shared" si="173"/>
        <v>1.584452641983925E-4</v>
      </c>
      <c r="C915" s="18">
        <f t="shared" si="174"/>
        <v>1.5844526419839253E-4</v>
      </c>
      <c r="D915" s="18">
        <f t="shared" si="175"/>
        <v>1.584452641983925E-4</v>
      </c>
      <c r="E915">
        <f t="shared" si="176"/>
        <v>4.6609784476459026E-8</v>
      </c>
      <c r="F915">
        <f t="shared" si="182"/>
        <v>-9.4369170255959034E-9</v>
      </c>
      <c r="G915">
        <f t="shared" si="183"/>
        <v>4.6609784476459026E-8</v>
      </c>
      <c r="L915" s="7">
        <f t="shared" si="177"/>
        <v>4.9720262030229161E-2</v>
      </c>
      <c r="M915" s="7">
        <f t="shared" si="178"/>
        <v>4.9720262030229168E-2</v>
      </c>
      <c r="N915" s="20">
        <f t="shared" si="172"/>
        <v>4.9720262030229168E-2</v>
      </c>
      <c r="O915">
        <f t="shared" si="179"/>
        <v>5.8207660913467407E-10</v>
      </c>
      <c r="P915">
        <f t="shared" si="180"/>
        <v>-3.4924596548080444E-10</v>
      </c>
      <c r="Q915">
        <f t="shared" si="181"/>
        <v>-3.4924596548080444E-10</v>
      </c>
    </row>
    <row r="916" spans="2:17" x14ac:dyDescent="0.25">
      <c r="B916" s="18">
        <f t="shared" si="173"/>
        <v>1.584452641983925E-4</v>
      </c>
      <c r="C916" s="18">
        <f t="shared" si="174"/>
        <v>1.5844526419839253E-4</v>
      </c>
      <c r="D916" s="18">
        <f t="shared" si="175"/>
        <v>1.584452641983925E-4</v>
      </c>
      <c r="E916">
        <f t="shared" si="176"/>
        <v>4.6609784476459026E-8</v>
      </c>
      <c r="F916">
        <f t="shared" si="182"/>
        <v>-9.4369170255959034E-9</v>
      </c>
      <c r="G916">
        <f t="shared" si="183"/>
        <v>4.6609784476459026E-8</v>
      </c>
      <c r="L916" s="7">
        <f t="shared" si="177"/>
        <v>4.9720262030229161E-2</v>
      </c>
      <c r="M916" s="7">
        <f t="shared" si="178"/>
        <v>4.9720262030229168E-2</v>
      </c>
      <c r="N916" s="20">
        <f t="shared" si="172"/>
        <v>4.9720262030229168E-2</v>
      </c>
      <c r="O916">
        <f t="shared" si="179"/>
        <v>5.8207660913467407E-10</v>
      </c>
      <c r="P916">
        <f t="shared" si="180"/>
        <v>-3.4924596548080444E-10</v>
      </c>
      <c r="Q916">
        <f t="shared" si="181"/>
        <v>-3.4924596548080444E-10</v>
      </c>
    </row>
    <row r="917" spans="2:17" x14ac:dyDescent="0.25">
      <c r="B917" s="18">
        <f t="shared" si="173"/>
        <v>1.584452641983925E-4</v>
      </c>
      <c r="C917" s="18">
        <f t="shared" si="174"/>
        <v>1.5844526419839253E-4</v>
      </c>
      <c r="D917" s="18">
        <f t="shared" si="175"/>
        <v>1.584452641983925E-4</v>
      </c>
      <c r="E917">
        <f t="shared" si="176"/>
        <v>4.6609784476459026E-8</v>
      </c>
      <c r="F917">
        <f t="shared" si="182"/>
        <v>-9.4369170255959034E-9</v>
      </c>
      <c r="G917">
        <f t="shared" si="183"/>
        <v>4.6609784476459026E-8</v>
      </c>
      <c r="L917" s="7">
        <f t="shared" si="177"/>
        <v>4.9720262030229161E-2</v>
      </c>
      <c r="M917" s="7">
        <f t="shared" si="178"/>
        <v>4.9720262030229168E-2</v>
      </c>
      <c r="N917" s="20">
        <f t="shared" si="172"/>
        <v>4.9720262030229168E-2</v>
      </c>
      <c r="O917">
        <f t="shared" si="179"/>
        <v>5.8207660913467407E-10</v>
      </c>
      <c r="P917">
        <f t="shared" si="180"/>
        <v>-3.4924596548080444E-10</v>
      </c>
      <c r="Q917">
        <f t="shared" si="181"/>
        <v>-3.4924596548080444E-10</v>
      </c>
    </row>
    <row r="918" spans="2:17" x14ac:dyDescent="0.25">
      <c r="B918" s="18">
        <f t="shared" si="173"/>
        <v>1.584452641983925E-4</v>
      </c>
      <c r="C918" s="18">
        <f t="shared" si="174"/>
        <v>1.5844526419839253E-4</v>
      </c>
      <c r="D918" s="18">
        <f t="shared" si="175"/>
        <v>1.584452641983925E-4</v>
      </c>
      <c r="E918">
        <f t="shared" si="176"/>
        <v>4.6609784476459026E-8</v>
      </c>
      <c r="F918">
        <f t="shared" si="182"/>
        <v>-9.4369170255959034E-9</v>
      </c>
      <c r="G918">
        <f t="shared" si="183"/>
        <v>4.6609784476459026E-8</v>
      </c>
      <c r="L918" s="7">
        <f t="shared" si="177"/>
        <v>4.9720262030229161E-2</v>
      </c>
      <c r="M918" s="7">
        <f t="shared" si="178"/>
        <v>4.9720262030229168E-2</v>
      </c>
      <c r="N918" s="20">
        <f t="shared" si="172"/>
        <v>4.9720262030229168E-2</v>
      </c>
      <c r="O918">
        <f t="shared" si="179"/>
        <v>5.8207660913467407E-10</v>
      </c>
      <c r="P918">
        <f t="shared" si="180"/>
        <v>-3.4924596548080444E-10</v>
      </c>
      <c r="Q918">
        <f t="shared" si="181"/>
        <v>-3.4924596548080444E-10</v>
      </c>
    </row>
    <row r="919" spans="2:17" x14ac:dyDescent="0.25">
      <c r="B919" s="18">
        <f t="shared" si="173"/>
        <v>1.584452641983925E-4</v>
      </c>
      <c r="C919" s="18">
        <f t="shared" si="174"/>
        <v>1.5844526419839253E-4</v>
      </c>
      <c r="D919" s="18">
        <f t="shared" si="175"/>
        <v>1.584452641983925E-4</v>
      </c>
      <c r="E919">
        <f t="shared" si="176"/>
        <v>4.6609784476459026E-8</v>
      </c>
      <c r="F919">
        <f t="shared" si="182"/>
        <v>-9.4369170255959034E-9</v>
      </c>
      <c r="G919">
        <f t="shared" si="183"/>
        <v>4.6609784476459026E-8</v>
      </c>
      <c r="L919" s="7">
        <f t="shared" si="177"/>
        <v>4.9720262030229161E-2</v>
      </c>
      <c r="M919" s="7">
        <f t="shared" si="178"/>
        <v>4.9720262030229168E-2</v>
      </c>
      <c r="N919" s="20">
        <f t="shared" si="172"/>
        <v>4.9720262030229168E-2</v>
      </c>
      <c r="O919">
        <f t="shared" si="179"/>
        <v>5.8207660913467407E-10</v>
      </c>
      <c r="P919">
        <f t="shared" si="180"/>
        <v>-3.4924596548080444E-10</v>
      </c>
      <c r="Q919">
        <f t="shared" si="181"/>
        <v>-3.4924596548080444E-10</v>
      </c>
    </row>
    <row r="920" spans="2:17" x14ac:dyDescent="0.25">
      <c r="B920" s="18">
        <f t="shared" si="173"/>
        <v>1.584452641983925E-4</v>
      </c>
      <c r="C920" s="18">
        <f t="shared" si="174"/>
        <v>1.5844526419839253E-4</v>
      </c>
      <c r="D920" s="18">
        <f t="shared" si="175"/>
        <v>1.584452641983925E-4</v>
      </c>
      <c r="E920">
        <f t="shared" si="176"/>
        <v>4.6609784476459026E-8</v>
      </c>
      <c r="F920">
        <f t="shared" si="182"/>
        <v>-9.4369170255959034E-9</v>
      </c>
      <c r="G920">
        <f t="shared" si="183"/>
        <v>4.6609784476459026E-8</v>
      </c>
      <c r="L920" s="7">
        <f t="shared" si="177"/>
        <v>4.9720262030229161E-2</v>
      </c>
      <c r="M920" s="7">
        <f t="shared" si="178"/>
        <v>4.9720262030229168E-2</v>
      </c>
      <c r="N920" s="20">
        <f t="shared" si="172"/>
        <v>4.9720262030229168E-2</v>
      </c>
      <c r="O920">
        <f t="shared" si="179"/>
        <v>5.8207660913467407E-10</v>
      </c>
      <c r="P920">
        <f t="shared" si="180"/>
        <v>-3.4924596548080444E-10</v>
      </c>
      <c r="Q920">
        <f t="shared" si="181"/>
        <v>-3.4924596548080444E-10</v>
      </c>
    </row>
    <row r="921" spans="2:17" x14ac:dyDescent="0.25">
      <c r="B921" s="18">
        <f t="shared" si="173"/>
        <v>1.584452641983925E-4</v>
      </c>
      <c r="C921" s="18">
        <f t="shared" si="174"/>
        <v>1.5844526419839253E-4</v>
      </c>
      <c r="D921" s="18">
        <f t="shared" si="175"/>
        <v>1.584452641983925E-4</v>
      </c>
      <c r="E921">
        <f t="shared" si="176"/>
        <v>4.6609784476459026E-8</v>
      </c>
      <c r="F921">
        <f t="shared" si="182"/>
        <v>-9.4369170255959034E-9</v>
      </c>
      <c r="G921">
        <f t="shared" si="183"/>
        <v>4.6609784476459026E-8</v>
      </c>
      <c r="L921" s="7">
        <f t="shared" si="177"/>
        <v>4.9720262030229161E-2</v>
      </c>
      <c r="M921" s="7">
        <f t="shared" si="178"/>
        <v>4.9720262030229168E-2</v>
      </c>
      <c r="N921" s="20">
        <f t="shared" ref="N921:N984" si="184">(L921+M921)/2</f>
        <v>4.9720262030229168E-2</v>
      </c>
      <c r="O921">
        <f t="shared" si="179"/>
        <v>5.8207660913467407E-10</v>
      </c>
      <c r="P921">
        <f t="shared" si="180"/>
        <v>-3.4924596548080444E-10</v>
      </c>
      <c r="Q921">
        <f t="shared" si="181"/>
        <v>-3.4924596548080444E-10</v>
      </c>
    </row>
    <row r="922" spans="2:17" x14ac:dyDescent="0.25">
      <c r="B922" s="18">
        <f t="shared" ref="B922:B985" si="185">IF(E921*G921&lt;0,B921,D921)</f>
        <v>1.584452641983925E-4</v>
      </c>
      <c r="C922" s="18">
        <f t="shared" ref="C922:C985" si="186">IF(F921*G921&lt;0,C921,D921)</f>
        <v>1.5844526419839253E-4</v>
      </c>
      <c r="D922" s="18">
        <f t="shared" ref="D922:D985" si="187">(B922+C922)/2</f>
        <v>1.584452641983925E-4</v>
      </c>
      <c r="E922">
        <f t="shared" ref="E922:E985" si="188">IF($G$8 = "Future Value",$C$5-($D$5*(((1+B922)^($F$5*$G$5)-1)/B922)),$H$5-$D$5*((1-(1+B922)^(-1*$F$5*$G$5))/B922))</f>
        <v>4.6609784476459026E-8</v>
      </c>
      <c r="F922">
        <f t="shared" si="182"/>
        <v>-9.4369170255959034E-9</v>
      </c>
      <c r="G922">
        <f t="shared" si="183"/>
        <v>4.6609784476459026E-8</v>
      </c>
      <c r="L922" s="7">
        <f t="shared" ref="L922:L985" si="189">IF(O921*Q921&lt;0,L921,N921)</f>
        <v>4.9720262030229161E-2</v>
      </c>
      <c r="M922" s="7">
        <f t="shared" ref="M922:M985" si="190">IF(P921*Q921&lt;0,M921,N921)</f>
        <v>4.9720262030229168E-2</v>
      </c>
      <c r="N922" s="20">
        <f t="shared" si="184"/>
        <v>4.9720262030229168E-2</v>
      </c>
      <c r="O922">
        <f t="shared" ref="O922:O985" si="191">IF($Q$8 = "Future Value",$M$5-($N$5*(1+L922)*(((1+L922)^($P$5*$Q$5)-1)/L922)),$R$5-$N$5*(1+L922)*((1-(1+L922)^(-1*$P$5*$Q$5))/L922))</f>
        <v>5.8207660913467407E-10</v>
      </c>
      <c r="P922">
        <f t="shared" ref="P922:P985" si="192">IF($Q$8 = "Future Value",$M$5-($N$5*(1+M922)*(((1+M922)^($P$5*$Q$5)-1)/M922)),$R$5-$N$5*(1+M922)*((1-(1+M922)^(-1*$P$5*$Q$5))/M922))</f>
        <v>-3.4924596548080444E-10</v>
      </c>
      <c r="Q922">
        <f t="shared" ref="Q922:Q985" si="193">IF($Q$8 = "Future Value",$M$5-($N$5*(1+N922)*(((1+N922)^($P$5*$Q$5)-1)/N922)),$R$5-$N$5*(1+N922)*((1-(1+N922)^(-1*$P$5*$Q$5))/N922))</f>
        <v>-3.4924596548080444E-10</v>
      </c>
    </row>
    <row r="923" spans="2:17" x14ac:dyDescent="0.25">
      <c r="B923" s="18">
        <f t="shared" si="185"/>
        <v>1.584452641983925E-4</v>
      </c>
      <c r="C923" s="18">
        <f t="shared" si="186"/>
        <v>1.5844526419839253E-4</v>
      </c>
      <c r="D923" s="18">
        <f t="shared" si="187"/>
        <v>1.584452641983925E-4</v>
      </c>
      <c r="E923">
        <f t="shared" si="188"/>
        <v>4.6609784476459026E-8</v>
      </c>
      <c r="F923">
        <f t="shared" ref="F923:F986" si="194">IF($G$8 = "Future Value",$C$5-($D$5*(((1+C923)^($F$5*$G$5)-1)/C923)),$H$5-$D$5*((1-(1+C923)^(-1*$F$5*$G$5))/C923))</f>
        <v>-9.4369170255959034E-9</v>
      </c>
      <c r="G923">
        <f t="shared" ref="G923:G986" si="195">IF($G$8 = "Future Value",$C$5-($D$5*(((1+D923)^($F$5*$G$5)-1)/D923)),$H$5-$D$5*((1-(1+D923)^(-1*$F$5*$G$5))/D923))</f>
        <v>4.6609784476459026E-8</v>
      </c>
      <c r="L923" s="7">
        <f t="shared" si="189"/>
        <v>4.9720262030229161E-2</v>
      </c>
      <c r="M923" s="7">
        <f t="shared" si="190"/>
        <v>4.9720262030229168E-2</v>
      </c>
      <c r="N923" s="20">
        <f t="shared" si="184"/>
        <v>4.9720262030229168E-2</v>
      </c>
      <c r="O923">
        <f t="shared" si="191"/>
        <v>5.8207660913467407E-10</v>
      </c>
      <c r="P923">
        <f t="shared" si="192"/>
        <v>-3.4924596548080444E-10</v>
      </c>
      <c r="Q923">
        <f t="shared" si="193"/>
        <v>-3.4924596548080444E-10</v>
      </c>
    </row>
    <row r="924" spans="2:17" x14ac:dyDescent="0.25">
      <c r="B924" s="18">
        <f t="shared" si="185"/>
        <v>1.584452641983925E-4</v>
      </c>
      <c r="C924" s="18">
        <f t="shared" si="186"/>
        <v>1.5844526419839253E-4</v>
      </c>
      <c r="D924" s="18">
        <f t="shared" si="187"/>
        <v>1.584452641983925E-4</v>
      </c>
      <c r="E924">
        <f t="shared" si="188"/>
        <v>4.6609784476459026E-8</v>
      </c>
      <c r="F924">
        <f t="shared" si="194"/>
        <v>-9.4369170255959034E-9</v>
      </c>
      <c r="G924">
        <f t="shared" si="195"/>
        <v>4.6609784476459026E-8</v>
      </c>
      <c r="L924" s="7">
        <f t="shared" si="189"/>
        <v>4.9720262030229161E-2</v>
      </c>
      <c r="M924" s="7">
        <f t="shared" si="190"/>
        <v>4.9720262030229168E-2</v>
      </c>
      <c r="N924" s="20">
        <f t="shared" si="184"/>
        <v>4.9720262030229168E-2</v>
      </c>
      <c r="O924">
        <f t="shared" si="191"/>
        <v>5.8207660913467407E-10</v>
      </c>
      <c r="P924">
        <f t="shared" si="192"/>
        <v>-3.4924596548080444E-10</v>
      </c>
      <c r="Q924">
        <f t="shared" si="193"/>
        <v>-3.4924596548080444E-10</v>
      </c>
    </row>
    <row r="925" spans="2:17" x14ac:dyDescent="0.25">
      <c r="B925" s="18">
        <f t="shared" si="185"/>
        <v>1.584452641983925E-4</v>
      </c>
      <c r="C925" s="18">
        <f t="shared" si="186"/>
        <v>1.5844526419839253E-4</v>
      </c>
      <c r="D925" s="18">
        <f t="shared" si="187"/>
        <v>1.584452641983925E-4</v>
      </c>
      <c r="E925">
        <f t="shared" si="188"/>
        <v>4.6609784476459026E-8</v>
      </c>
      <c r="F925">
        <f t="shared" si="194"/>
        <v>-9.4369170255959034E-9</v>
      </c>
      <c r="G925">
        <f t="shared" si="195"/>
        <v>4.6609784476459026E-8</v>
      </c>
      <c r="L925" s="7">
        <f t="shared" si="189"/>
        <v>4.9720262030229161E-2</v>
      </c>
      <c r="M925" s="7">
        <f t="shared" si="190"/>
        <v>4.9720262030229168E-2</v>
      </c>
      <c r="N925" s="20">
        <f t="shared" si="184"/>
        <v>4.9720262030229168E-2</v>
      </c>
      <c r="O925">
        <f t="shared" si="191"/>
        <v>5.8207660913467407E-10</v>
      </c>
      <c r="P925">
        <f t="shared" si="192"/>
        <v>-3.4924596548080444E-10</v>
      </c>
      <c r="Q925">
        <f t="shared" si="193"/>
        <v>-3.4924596548080444E-10</v>
      </c>
    </row>
    <row r="926" spans="2:17" x14ac:dyDescent="0.25">
      <c r="B926" s="18">
        <f t="shared" si="185"/>
        <v>1.584452641983925E-4</v>
      </c>
      <c r="C926" s="18">
        <f t="shared" si="186"/>
        <v>1.5844526419839253E-4</v>
      </c>
      <c r="D926" s="18">
        <f t="shared" si="187"/>
        <v>1.584452641983925E-4</v>
      </c>
      <c r="E926">
        <f t="shared" si="188"/>
        <v>4.6609784476459026E-8</v>
      </c>
      <c r="F926">
        <f t="shared" si="194"/>
        <v>-9.4369170255959034E-9</v>
      </c>
      <c r="G926">
        <f t="shared" si="195"/>
        <v>4.6609784476459026E-8</v>
      </c>
      <c r="L926" s="7">
        <f t="shared" si="189"/>
        <v>4.9720262030229161E-2</v>
      </c>
      <c r="M926" s="7">
        <f t="shared" si="190"/>
        <v>4.9720262030229168E-2</v>
      </c>
      <c r="N926" s="20">
        <f t="shared" si="184"/>
        <v>4.9720262030229168E-2</v>
      </c>
      <c r="O926">
        <f t="shared" si="191"/>
        <v>5.8207660913467407E-10</v>
      </c>
      <c r="P926">
        <f t="shared" si="192"/>
        <v>-3.4924596548080444E-10</v>
      </c>
      <c r="Q926">
        <f t="shared" si="193"/>
        <v>-3.4924596548080444E-10</v>
      </c>
    </row>
    <row r="927" spans="2:17" x14ac:dyDescent="0.25">
      <c r="B927" s="18">
        <f t="shared" si="185"/>
        <v>1.584452641983925E-4</v>
      </c>
      <c r="C927" s="18">
        <f t="shared" si="186"/>
        <v>1.5844526419839253E-4</v>
      </c>
      <c r="D927" s="18">
        <f t="shared" si="187"/>
        <v>1.584452641983925E-4</v>
      </c>
      <c r="E927">
        <f t="shared" si="188"/>
        <v>4.6609784476459026E-8</v>
      </c>
      <c r="F927">
        <f t="shared" si="194"/>
        <v>-9.4369170255959034E-9</v>
      </c>
      <c r="G927">
        <f t="shared" si="195"/>
        <v>4.6609784476459026E-8</v>
      </c>
      <c r="L927" s="7">
        <f t="shared" si="189"/>
        <v>4.9720262030229161E-2</v>
      </c>
      <c r="M927" s="7">
        <f t="shared" si="190"/>
        <v>4.9720262030229168E-2</v>
      </c>
      <c r="N927" s="20">
        <f t="shared" si="184"/>
        <v>4.9720262030229168E-2</v>
      </c>
      <c r="O927">
        <f t="shared" si="191"/>
        <v>5.8207660913467407E-10</v>
      </c>
      <c r="P927">
        <f t="shared" si="192"/>
        <v>-3.4924596548080444E-10</v>
      </c>
      <c r="Q927">
        <f t="shared" si="193"/>
        <v>-3.4924596548080444E-10</v>
      </c>
    </row>
    <row r="928" spans="2:17" x14ac:dyDescent="0.25">
      <c r="B928" s="18">
        <f t="shared" si="185"/>
        <v>1.584452641983925E-4</v>
      </c>
      <c r="C928" s="18">
        <f t="shared" si="186"/>
        <v>1.5844526419839253E-4</v>
      </c>
      <c r="D928" s="18">
        <f t="shared" si="187"/>
        <v>1.584452641983925E-4</v>
      </c>
      <c r="E928">
        <f t="shared" si="188"/>
        <v>4.6609784476459026E-8</v>
      </c>
      <c r="F928">
        <f t="shared" si="194"/>
        <v>-9.4369170255959034E-9</v>
      </c>
      <c r="G928">
        <f t="shared" si="195"/>
        <v>4.6609784476459026E-8</v>
      </c>
      <c r="L928" s="7">
        <f t="shared" si="189"/>
        <v>4.9720262030229161E-2</v>
      </c>
      <c r="M928" s="7">
        <f t="shared" si="190"/>
        <v>4.9720262030229168E-2</v>
      </c>
      <c r="N928" s="20">
        <f t="shared" si="184"/>
        <v>4.9720262030229168E-2</v>
      </c>
      <c r="O928">
        <f t="shared" si="191"/>
        <v>5.8207660913467407E-10</v>
      </c>
      <c r="P928">
        <f t="shared" si="192"/>
        <v>-3.4924596548080444E-10</v>
      </c>
      <c r="Q928">
        <f t="shared" si="193"/>
        <v>-3.4924596548080444E-10</v>
      </c>
    </row>
    <row r="929" spans="2:17" x14ac:dyDescent="0.25">
      <c r="B929" s="18">
        <f t="shared" si="185"/>
        <v>1.584452641983925E-4</v>
      </c>
      <c r="C929" s="18">
        <f t="shared" si="186"/>
        <v>1.5844526419839253E-4</v>
      </c>
      <c r="D929" s="18">
        <f t="shared" si="187"/>
        <v>1.584452641983925E-4</v>
      </c>
      <c r="E929">
        <f t="shared" si="188"/>
        <v>4.6609784476459026E-8</v>
      </c>
      <c r="F929">
        <f t="shared" si="194"/>
        <v>-9.4369170255959034E-9</v>
      </c>
      <c r="G929">
        <f t="shared" si="195"/>
        <v>4.6609784476459026E-8</v>
      </c>
      <c r="L929" s="7">
        <f t="shared" si="189"/>
        <v>4.9720262030229161E-2</v>
      </c>
      <c r="M929" s="7">
        <f t="shared" si="190"/>
        <v>4.9720262030229168E-2</v>
      </c>
      <c r="N929" s="20">
        <f t="shared" si="184"/>
        <v>4.9720262030229168E-2</v>
      </c>
      <c r="O929">
        <f t="shared" si="191"/>
        <v>5.8207660913467407E-10</v>
      </c>
      <c r="P929">
        <f t="shared" si="192"/>
        <v>-3.4924596548080444E-10</v>
      </c>
      <c r="Q929">
        <f t="shared" si="193"/>
        <v>-3.4924596548080444E-10</v>
      </c>
    </row>
    <row r="930" spans="2:17" x14ac:dyDescent="0.25">
      <c r="B930" s="18">
        <f t="shared" si="185"/>
        <v>1.584452641983925E-4</v>
      </c>
      <c r="C930" s="18">
        <f t="shared" si="186"/>
        <v>1.5844526419839253E-4</v>
      </c>
      <c r="D930" s="18">
        <f t="shared" si="187"/>
        <v>1.584452641983925E-4</v>
      </c>
      <c r="E930">
        <f t="shared" si="188"/>
        <v>4.6609784476459026E-8</v>
      </c>
      <c r="F930">
        <f t="shared" si="194"/>
        <v>-9.4369170255959034E-9</v>
      </c>
      <c r="G930">
        <f t="shared" si="195"/>
        <v>4.6609784476459026E-8</v>
      </c>
      <c r="L930" s="7">
        <f t="shared" si="189"/>
        <v>4.9720262030229161E-2</v>
      </c>
      <c r="M930" s="7">
        <f t="shared" si="190"/>
        <v>4.9720262030229168E-2</v>
      </c>
      <c r="N930" s="20">
        <f t="shared" si="184"/>
        <v>4.9720262030229168E-2</v>
      </c>
      <c r="O930">
        <f t="shared" si="191"/>
        <v>5.8207660913467407E-10</v>
      </c>
      <c r="P930">
        <f t="shared" si="192"/>
        <v>-3.4924596548080444E-10</v>
      </c>
      <c r="Q930">
        <f t="shared" si="193"/>
        <v>-3.4924596548080444E-10</v>
      </c>
    </row>
    <row r="931" spans="2:17" x14ac:dyDescent="0.25">
      <c r="B931" s="18">
        <f t="shared" si="185"/>
        <v>1.584452641983925E-4</v>
      </c>
      <c r="C931" s="18">
        <f t="shared" si="186"/>
        <v>1.5844526419839253E-4</v>
      </c>
      <c r="D931" s="18">
        <f t="shared" si="187"/>
        <v>1.584452641983925E-4</v>
      </c>
      <c r="E931">
        <f t="shared" si="188"/>
        <v>4.6609784476459026E-8</v>
      </c>
      <c r="F931">
        <f t="shared" si="194"/>
        <v>-9.4369170255959034E-9</v>
      </c>
      <c r="G931">
        <f t="shared" si="195"/>
        <v>4.6609784476459026E-8</v>
      </c>
      <c r="L931" s="7">
        <f t="shared" si="189"/>
        <v>4.9720262030229161E-2</v>
      </c>
      <c r="M931" s="7">
        <f t="shared" si="190"/>
        <v>4.9720262030229168E-2</v>
      </c>
      <c r="N931" s="20">
        <f t="shared" si="184"/>
        <v>4.9720262030229168E-2</v>
      </c>
      <c r="O931">
        <f t="shared" si="191"/>
        <v>5.8207660913467407E-10</v>
      </c>
      <c r="P931">
        <f t="shared" si="192"/>
        <v>-3.4924596548080444E-10</v>
      </c>
      <c r="Q931">
        <f t="shared" si="193"/>
        <v>-3.4924596548080444E-10</v>
      </c>
    </row>
    <row r="932" spans="2:17" x14ac:dyDescent="0.25">
      <c r="B932" s="18">
        <f t="shared" si="185"/>
        <v>1.584452641983925E-4</v>
      </c>
      <c r="C932" s="18">
        <f t="shared" si="186"/>
        <v>1.5844526419839253E-4</v>
      </c>
      <c r="D932" s="18">
        <f t="shared" si="187"/>
        <v>1.584452641983925E-4</v>
      </c>
      <c r="E932">
        <f t="shared" si="188"/>
        <v>4.6609784476459026E-8</v>
      </c>
      <c r="F932">
        <f t="shared" si="194"/>
        <v>-9.4369170255959034E-9</v>
      </c>
      <c r="G932">
        <f t="shared" si="195"/>
        <v>4.6609784476459026E-8</v>
      </c>
      <c r="L932" s="7">
        <f t="shared" si="189"/>
        <v>4.9720262030229161E-2</v>
      </c>
      <c r="M932" s="7">
        <f t="shared" si="190"/>
        <v>4.9720262030229168E-2</v>
      </c>
      <c r="N932" s="20">
        <f t="shared" si="184"/>
        <v>4.9720262030229168E-2</v>
      </c>
      <c r="O932">
        <f t="shared" si="191"/>
        <v>5.8207660913467407E-10</v>
      </c>
      <c r="P932">
        <f t="shared" si="192"/>
        <v>-3.4924596548080444E-10</v>
      </c>
      <c r="Q932">
        <f t="shared" si="193"/>
        <v>-3.4924596548080444E-10</v>
      </c>
    </row>
    <row r="933" spans="2:17" x14ac:dyDescent="0.25">
      <c r="B933" s="18">
        <f t="shared" si="185"/>
        <v>1.584452641983925E-4</v>
      </c>
      <c r="C933" s="18">
        <f t="shared" si="186"/>
        <v>1.5844526419839253E-4</v>
      </c>
      <c r="D933" s="18">
        <f t="shared" si="187"/>
        <v>1.584452641983925E-4</v>
      </c>
      <c r="E933">
        <f t="shared" si="188"/>
        <v>4.6609784476459026E-8</v>
      </c>
      <c r="F933">
        <f t="shared" si="194"/>
        <v>-9.4369170255959034E-9</v>
      </c>
      <c r="G933">
        <f t="shared" si="195"/>
        <v>4.6609784476459026E-8</v>
      </c>
      <c r="L933" s="7">
        <f t="shared" si="189"/>
        <v>4.9720262030229161E-2</v>
      </c>
      <c r="M933" s="7">
        <f t="shared" si="190"/>
        <v>4.9720262030229168E-2</v>
      </c>
      <c r="N933" s="20">
        <f t="shared" si="184"/>
        <v>4.9720262030229168E-2</v>
      </c>
      <c r="O933">
        <f t="shared" si="191"/>
        <v>5.8207660913467407E-10</v>
      </c>
      <c r="P933">
        <f t="shared" si="192"/>
        <v>-3.4924596548080444E-10</v>
      </c>
      <c r="Q933">
        <f t="shared" si="193"/>
        <v>-3.4924596548080444E-10</v>
      </c>
    </row>
    <row r="934" spans="2:17" x14ac:dyDescent="0.25">
      <c r="B934" s="18">
        <f t="shared" si="185"/>
        <v>1.584452641983925E-4</v>
      </c>
      <c r="C934" s="18">
        <f t="shared" si="186"/>
        <v>1.5844526419839253E-4</v>
      </c>
      <c r="D934" s="18">
        <f t="shared" si="187"/>
        <v>1.584452641983925E-4</v>
      </c>
      <c r="E934">
        <f t="shared" si="188"/>
        <v>4.6609784476459026E-8</v>
      </c>
      <c r="F934">
        <f t="shared" si="194"/>
        <v>-9.4369170255959034E-9</v>
      </c>
      <c r="G934">
        <f t="shared" si="195"/>
        <v>4.6609784476459026E-8</v>
      </c>
      <c r="L934" s="7">
        <f t="shared" si="189"/>
        <v>4.9720262030229161E-2</v>
      </c>
      <c r="M934" s="7">
        <f t="shared" si="190"/>
        <v>4.9720262030229168E-2</v>
      </c>
      <c r="N934" s="20">
        <f t="shared" si="184"/>
        <v>4.9720262030229168E-2</v>
      </c>
      <c r="O934">
        <f t="shared" si="191"/>
        <v>5.8207660913467407E-10</v>
      </c>
      <c r="P934">
        <f t="shared" si="192"/>
        <v>-3.4924596548080444E-10</v>
      </c>
      <c r="Q934">
        <f t="shared" si="193"/>
        <v>-3.4924596548080444E-10</v>
      </c>
    </row>
    <row r="935" spans="2:17" x14ac:dyDescent="0.25">
      <c r="B935" s="18">
        <f t="shared" si="185"/>
        <v>1.584452641983925E-4</v>
      </c>
      <c r="C935" s="18">
        <f t="shared" si="186"/>
        <v>1.5844526419839253E-4</v>
      </c>
      <c r="D935" s="18">
        <f t="shared" si="187"/>
        <v>1.584452641983925E-4</v>
      </c>
      <c r="E935">
        <f t="shared" si="188"/>
        <v>4.6609784476459026E-8</v>
      </c>
      <c r="F935">
        <f t="shared" si="194"/>
        <v>-9.4369170255959034E-9</v>
      </c>
      <c r="G935">
        <f t="shared" si="195"/>
        <v>4.6609784476459026E-8</v>
      </c>
      <c r="L935" s="7">
        <f t="shared" si="189"/>
        <v>4.9720262030229161E-2</v>
      </c>
      <c r="M935" s="7">
        <f t="shared" si="190"/>
        <v>4.9720262030229168E-2</v>
      </c>
      <c r="N935" s="20">
        <f t="shared" si="184"/>
        <v>4.9720262030229168E-2</v>
      </c>
      <c r="O935">
        <f t="shared" si="191"/>
        <v>5.8207660913467407E-10</v>
      </c>
      <c r="P935">
        <f t="shared" si="192"/>
        <v>-3.4924596548080444E-10</v>
      </c>
      <c r="Q935">
        <f t="shared" si="193"/>
        <v>-3.4924596548080444E-10</v>
      </c>
    </row>
    <row r="936" spans="2:17" x14ac:dyDescent="0.25">
      <c r="B936" s="18">
        <f t="shared" si="185"/>
        <v>1.584452641983925E-4</v>
      </c>
      <c r="C936" s="18">
        <f t="shared" si="186"/>
        <v>1.5844526419839253E-4</v>
      </c>
      <c r="D936" s="18">
        <f t="shared" si="187"/>
        <v>1.584452641983925E-4</v>
      </c>
      <c r="E936">
        <f t="shared" si="188"/>
        <v>4.6609784476459026E-8</v>
      </c>
      <c r="F936">
        <f t="shared" si="194"/>
        <v>-9.4369170255959034E-9</v>
      </c>
      <c r="G936">
        <f t="shared" si="195"/>
        <v>4.6609784476459026E-8</v>
      </c>
      <c r="L936" s="7">
        <f t="shared" si="189"/>
        <v>4.9720262030229161E-2</v>
      </c>
      <c r="M936" s="7">
        <f t="shared" si="190"/>
        <v>4.9720262030229168E-2</v>
      </c>
      <c r="N936" s="20">
        <f t="shared" si="184"/>
        <v>4.9720262030229168E-2</v>
      </c>
      <c r="O936">
        <f t="shared" si="191"/>
        <v>5.8207660913467407E-10</v>
      </c>
      <c r="P936">
        <f t="shared" si="192"/>
        <v>-3.4924596548080444E-10</v>
      </c>
      <c r="Q936">
        <f t="shared" si="193"/>
        <v>-3.4924596548080444E-10</v>
      </c>
    </row>
    <row r="937" spans="2:17" x14ac:dyDescent="0.25">
      <c r="B937" s="18">
        <f t="shared" si="185"/>
        <v>1.584452641983925E-4</v>
      </c>
      <c r="C937" s="18">
        <f t="shared" si="186"/>
        <v>1.5844526419839253E-4</v>
      </c>
      <c r="D937" s="18">
        <f t="shared" si="187"/>
        <v>1.584452641983925E-4</v>
      </c>
      <c r="E937">
        <f t="shared" si="188"/>
        <v>4.6609784476459026E-8</v>
      </c>
      <c r="F937">
        <f t="shared" si="194"/>
        <v>-9.4369170255959034E-9</v>
      </c>
      <c r="G937">
        <f t="shared" si="195"/>
        <v>4.6609784476459026E-8</v>
      </c>
      <c r="L937" s="7">
        <f t="shared" si="189"/>
        <v>4.9720262030229161E-2</v>
      </c>
      <c r="M937" s="7">
        <f t="shared" si="190"/>
        <v>4.9720262030229168E-2</v>
      </c>
      <c r="N937" s="20">
        <f t="shared" si="184"/>
        <v>4.9720262030229168E-2</v>
      </c>
      <c r="O937">
        <f t="shared" si="191"/>
        <v>5.8207660913467407E-10</v>
      </c>
      <c r="P937">
        <f t="shared" si="192"/>
        <v>-3.4924596548080444E-10</v>
      </c>
      <c r="Q937">
        <f t="shared" si="193"/>
        <v>-3.4924596548080444E-10</v>
      </c>
    </row>
    <row r="938" spans="2:17" x14ac:dyDescent="0.25">
      <c r="B938" s="18">
        <f t="shared" si="185"/>
        <v>1.584452641983925E-4</v>
      </c>
      <c r="C938" s="18">
        <f t="shared" si="186"/>
        <v>1.5844526419839253E-4</v>
      </c>
      <c r="D938" s="18">
        <f t="shared" si="187"/>
        <v>1.584452641983925E-4</v>
      </c>
      <c r="E938">
        <f t="shared" si="188"/>
        <v>4.6609784476459026E-8</v>
      </c>
      <c r="F938">
        <f t="shared" si="194"/>
        <v>-9.4369170255959034E-9</v>
      </c>
      <c r="G938">
        <f t="shared" si="195"/>
        <v>4.6609784476459026E-8</v>
      </c>
      <c r="L938" s="7">
        <f t="shared" si="189"/>
        <v>4.9720262030229161E-2</v>
      </c>
      <c r="M938" s="7">
        <f t="shared" si="190"/>
        <v>4.9720262030229168E-2</v>
      </c>
      <c r="N938" s="20">
        <f t="shared" si="184"/>
        <v>4.9720262030229168E-2</v>
      </c>
      <c r="O938">
        <f t="shared" si="191"/>
        <v>5.8207660913467407E-10</v>
      </c>
      <c r="P938">
        <f t="shared" si="192"/>
        <v>-3.4924596548080444E-10</v>
      </c>
      <c r="Q938">
        <f t="shared" si="193"/>
        <v>-3.4924596548080444E-10</v>
      </c>
    </row>
    <row r="939" spans="2:17" x14ac:dyDescent="0.25">
      <c r="B939" s="18">
        <f t="shared" si="185"/>
        <v>1.584452641983925E-4</v>
      </c>
      <c r="C939" s="18">
        <f t="shared" si="186"/>
        <v>1.5844526419839253E-4</v>
      </c>
      <c r="D939" s="18">
        <f t="shared" si="187"/>
        <v>1.584452641983925E-4</v>
      </c>
      <c r="E939">
        <f t="shared" si="188"/>
        <v>4.6609784476459026E-8</v>
      </c>
      <c r="F939">
        <f t="shared" si="194"/>
        <v>-9.4369170255959034E-9</v>
      </c>
      <c r="G939">
        <f t="shared" si="195"/>
        <v>4.6609784476459026E-8</v>
      </c>
      <c r="L939" s="7">
        <f t="shared" si="189"/>
        <v>4.9720262030229161E-2</v>
      </c>
      <c r="M939" s="7">
        <f t="shared" si="190"/>
        <v>4.9720262030229168E-2</v>
      </c>
      <c r="N939" s="20">
        <f t="shared" si="184"/>
        <v>4.9720262030229168E-2</v>
      </c>
      <c r="O939">
        <f t="shared" si="191"/>
        <v>5.8207660913467407E-10</v>
      </c>
      <c r="P939">
        <f t="shared" si="192"/>
        <v>-3.4924596548080444E-10</v>
      </c>
      <c r="Q939">
        <f t="shared" si="193"/>
        <v>-3.4924596548080444E-10</v>
      </c>
    </row>
    <row r="940" spans="2:17" x14ac:dyDescent="0.25">
      <c r="B940" s="18">
        <f t="shared" si="185"/>
        <v>1.584452641983925E-4</v>
      </c>
      <c r="C940" s="18">
        <f t="shared" si="186"/>
        <v>1.5844526419839253E-4</v>
      </c>
      <c r="D940" s="18">
        <f t="shared" si="187"/>
        <v>1.584452641983925E-4</v>
      </c>
      <c r="E940">
        <f t="shared" si="188"/>
        <v>4.6609784476459026E-8</v>
      </c>
      <c r="F940">
        <f t="shared" si="194"/>
        <v>-9.4369170255959034E-9</v>
      </c>
      <c r="G940">
        <f t="shared" si="195"/>
        <v>4.6609784476459026E-8</v>
      </c>
      <c r="L940" s="7">
        <f t="shared" si="189"/>
        <v>4.9720262030229161E-2</v>
      </c>
      <c r="M940" s="7">
        <f t="shared" si="190"/>
        <v>4.9720262030229168E-2</v>
      </c>
      <c r="N940" s="20">
        <f t="shared" si="184"/>
        <v>4.9720262030229168E-2</v>
      </c>
      <c r="O940">
        <f t="shared" si="191"/>
        <v>5.8207660913467407E-10</v>
      </c>
      <c r="P940">
        <f t="shared" si="192"/>
        <v>-3.4924596548080444E-10</v>
      </c>
      <c r="Q940">
        <f t="shared" si="193"/>
        <v>-3.4924596548080444E-10</v>
      </c>
    </row>
    <row r="941" spans="2:17" x14ac:dyDescent="0.25">
      <c r="B941" s="18">
        <f t="shared" si="185"/>
        <v>1.584452641983925E-4</v>
      </c>
      <c r="C941" s="18">
        <f t="shared" si="186"/>
        <v>1.5844526419839253E-4</v>
      </c>
      <c r="D941" s="18">
        <f t="shared" si="187"/>
        <v>1.584452641983925E-4</v>
      </c>
      <c r="E941">
        <f t="shared" si="188"/>
        <v>4.6609784476459026E-8</v>
      </c>
      <c r="F941">
        <f t="shared" si="194"/>
        <v>-9.4369170255959034E-9</v>
      </c>
      <c r="G941">
        <f t="shared" si="195"/>
        <v>4.6609784476459026E-8</v>
      </c>
      <c r="L941" s="7">
        <f t="shared" si="189"/>
        <v>4.9720262030229161E-2</v>
      </c>
      <c r="M941" s="7">
        <f t="shared" si="190"/>
        <v>4.9720262030229168E-2</v>
      </c>
      <c r="N941" s="20">
        <f t="shared" si="184"/>
        <v>4.9720262030229168E-2</v>
      </c>
      <c r="O941">
        <f t="shared" si="191"/>
        <v>5.8207660913467407E-10</v>
      </c>
      <c r="P941">
        <f t="shared" si="192"/>
        <v>-3.4924596548080444E-10</v>
      </c>
      <c r="Q941">
        <f t="shared" si="193"/>
        <v>-3.4924596548080444E-10</v>
      </c>
    </row>
    <row r="942" spans="2:17" x14ac:dyDescent="0.25">
      <c r="B942" s="18">
        <f t="shared" si="185"/>
        <v>1.584452641983925E-4</v>
      </c>
      <c r="C942" s="18">
        <f t="shared" si="186"/>
        <v>1.5844526419839253E-4</v>
      </c>
      <c r="D942" s="18">
        <f t="shared" si="187"/>
        <v>1.584452641983925E-4</v>
      </c>
      <c r="E942">
        <f t="shared" si="188"/>
        <v>4.6609784476459026E-8</v>
      </c>
      <c r="F942">
        <f t="shared" si="194"/>
        <v>-9.4369170255959034E-9</v>
      </c>
      <c r="G942">
        <f t="shared" si="195"/>
        <v>4.6609784476459026E-8</v>
      </c>
      <c r="L942" s="7">
        <f t="shared" si="189"/>
        <v>4.9720262030229161E-2</v>
      </c>
      <c r="M942" s="7">
        <f t="shared" si="190"/>
        <v>4.9720262030229168E-2</v>
      </c>
      <c r="N942" s="20">
        <f t="shared" si="184"/>
        <v>4.9720262030229168E-2</v>
      </c>
      <c r="O942">
        <f t="shared" si="191"/>
        <v>5.8207660913467407E-10</v>
      </c>
      <c r="P942">
        <f t="shared" si="192"/>
        <v>-3.4924596548080444E-10</v>
      </c>
      <c r="Q942">
        <f t="shared" si="193"/>
        <v>-3.4924596548080444E-10</v>
      </c>
    </row>
    <row r="943" spans="2:17" x14ac:dyDescent="0.25">
      <c r="B943" s="18">
        <f t="shared" si="185"/>
        <v>1.584452641983925E-4</v>
      </c>
      <c r="C943" s="18">
        <f t="shared" si="186"/>
        <v>1.5844526419839253E-4</v>
      </c>
      <c r="D943" s="18">
        <f t="shared" si="187"/>
        <v>1.584452641983925E-4</v>
      </c>
      <c r="E943">
        <f t="shared" si="188"/>
        <v>4.6609784476459026E-8</v>
      </c>
      <c r="F943">
        <f t="shared" si="194"/>
        <v>-9.4369170255959034E-9</v>
      </c>
      <c r="G943">
        <f t="shared" si="195"/>
        <v>4.6609784476459026E-8</v>
      </c>
      <c r="L943" s="7">
        <f t="shared" si="189"/>
        <v>4.9720262030229161E-2</v>
      </c>
      <c r="M943" s="7">
        <f t="shared" si="190"/>
        <v>4.9720262030229168E-2</v>
      </c>
      <c r="N943" s="20">
        <f t="shared" si="184"/>
        <v>4.9720262030229168E-2</v>
      </c>
      <c r="O943">
        <f t="shared" si="191"/>
        <v>5.8207660913467407E-10</v>
      </c>
      <c r="P943">
        <f t="shared" si="192"/>
        <v>-3.4924596548080444E-10</v>
      </c>
      <c r="Q943">
        <f t="shared" si="193"/>
        <v>-3.4924596548080444E-10</v>
      </c>
    </row>
    <row r="944" spans="2:17" x14ac:dyDescent="0.25">
      <c r="B944" s="18">
        <f t="shared" si="185"/>
        <v>1.584452641983925E-4</v>
      </c>
      <c r="C944" s="18">
        <f t="shared" si="186"/>
        <v>1.5844526419839253E-4</v>
      </c>
      <c r="D944" s="18">
        <f t="shared" si="187"/>
        <v>1.584452641983925E-4</v>
      </c>
      <c r="E944">
        <f t="shared" si="188"/>
        <v>4.6609784476459026E-8</v>
      </c>
      <c r="F944">
        <f t="shared" si="194"/>
        <v>-9.4369170255959034E-9</v>
      </c>
      <c r="G944">
        <f t="shared" si="195"/>
        <v>4.6609784476459026E-8</v>
      </c>
      <c r="L944" s="7">
        <f t="shared" si="189"/>
        <v>4.9720262030229161E-2</v>
      </c>
      <c r="M944" s="7">
        <f t="shared" si="190"/>
        <v>4.9720262030229168E-2</v>
      </c>
      <c r="N944" s="20">
        <f t="shared" si="184"/>
        <v>4.9720262030229168E-2</v>
      </c>
      <c r="O944">
        <f t="shared" si="191"/>
        <v>5.8207660913467407E-10</v>
      </c>
      <c r="P944">
        <f t="shared" si="192"/>
        <v>-3.4924596548080444E-10</v>
      </c>
      <c r="Q944">
        <f t="shared" si="193"/>
        <v>-3.4924596548080444E-10</v>
      </c>
    </row>
    <row r="945" spans="2:17" x14ac:dyDescent="0.25">
      <c r="B945" s="18">
        <f t="shared" si="185"/>
        <v>1.584452641983925E-4</v>
      </c>
      <c r="C945" s="18">
        <f t="shared" si="186"/>
        <v>1.5844526419839253E-4</v>
      </c>
      <c r="D945" s="18">
        <f t="shared" si="187"/>
        <v>1.584452641983925E-4</v>
      </c>
      <c r="E945">
        <f t="shared" si="188"/>
        <v>4.6609784476459026E-8</v>
      </c>
      <c r="F945">
        <f t="shared" si="194"/>
        <v>-9.4369170255959034E-9</v>
      </c>
      <c r="G945">
        <f t="shared" si="195"/>
        <v>4.6609784476459026E-8</v>
      </c>
      <c r="L945" s="7">
        <f t="shared" si="189"/>
        <v>4.9720262030229161E-2</v>
      </c>
      <c r="M945" s="7">
        <f t="shared" si="190"/>
        <v>4.9720262030229168E-2</v>
      </c>
      <c r="N945" s="20">
        <f t="shared" si="184"/>
        <v>4.9720262030229168E-2</v>
      </c>
      <c r="O945">
        <f t="shared" si="191"/>
        <v>5.8207660913467407E-10</v>
      </c>
      <c r="P945">
        <f t="shared" si="192"/>
        <v>-3.4924596548080444E-10</v>
      </c>
      <c r="Q945">
        <f t="shared" si="193"/>
        <v>-3.4924596548080444E-10</v>
      </c>
    </row>
    <row r="946" spans="2:17" x14ac:dyDescent="0.25">
      <c r="B946" s="18">
        <f t="shared" si="185"/>
        <v>1.584452641983925E-4</v>
      </c>
      <c r="C946" s="18">
        <f t="shared" si="186"/>
        <v>1.5844526419839253E-4</v>
      </c>
      <c r="D946" s="18">
        <f t="shared" si="187"/>
        <v>1.584452641983925E-4</v>
      </c>
      <c r="E946">
        <f t="shared" si="188"/>
        <v>4.6609784476459026E-8</v>
      </c>
      <c r="F946">
        <f t="shared" si="194"/>
        <v>-9.4369170255959034E-9</v>
      </c>
      <c r="G946">
        <f t="shared" si="195"/>
        <v>4.6609784476459026E-8</v>
      </c>
      <c r="L946" s="7">
        <f t="shared" si="189"/>
        <v>4.9720262030229161E-2</v>
      </c>
      <c r="M946" s="7">
        <f t="shared" si="190"/>
        <v>4.9720262030229168E-2</v>
      </c>
      <c r="N946" s="20">
        <f t="shared" si="184"/>
        <v>4.9720262030229168E-2</v>
      </c>
      <c r="O946">
        <f t="shared" si="191"/>
        <v>5.8207660913467407E-10</v>
      </c>
      <c r="P946">
        <f t="shared" si="192"/>
        <v>-3.4924596548080444E-10</v>
      </c>
      <c r="Q946">
        <f t="shared" si="193"/>
        <v>-3.4924596548080444E-10</v>
      </c>
    </row>
    <row r="947" spans="2:17" x14ac:dyDescent="0.25">
      <c r="B947" s="18">
        <f t="shared" si="185"/>
        <v>1.584452641983925E-4</v>
      </c>
      <c r="C947" s="18">
        <f t="shared" si="186"/>
        <v>1.5844526419839253E-4</v>
      </c>
      <c r="D947" s="18">
        <f t="shared" si="187"/>
        <v>1.584452641983925E-4</v>
      </c>
      <c r="E947">
        <f t="shared" si="188"/>
        <v>4.6609784476459026E-8</v>
      </c>
      <c r="F947">
        <f t="shared" si="194"/>
        <v>-9.4369170255959034E-9</v>
      </c>
      <c r="G947">
        <f t="shared" si="195"/>
        <v>4.6609784476459026E-8</v>
      </c>
      <c r="L947" s="7">
        <f t="shared" si="189"/>
        <v>4.9720262030229161E-2</v>
      </c>
      <c r="M947" s="7">
        <f t="shared" si="190"/>
        <v>4.9720262030229168E-2</v>
      </c>
      <c r="N947" s="20">
        <f t="shared" si="184"/>
        <v>4.9720262030229168E-2</v>
      </c>
      <c r="O947">
        <f t="shared" si="191"/>
        <v>5.8207660913467407E-10</v>
      </c>
      <c r="P947">
        <f t="shared" si="192"/>
        <v>-3.4924596548080444E-10</v>
      </c>
      <c r="Q947">
        <f t="shared" si="193"/>
        <v>-3.4924596548080444E-10</v>
      </c>
    </row>
    <row r="948" spans="2:17" x14ac:dyDescent="0.25">
      <c r="B948" s="18">
        <f t="shared" si="185"/>
        <v>1.584452641983925E-4</v>
      </c>
      <c r="C948" s="18">
        <f t="shared" si="186"/>
        <v>1.5844526419839253E-4</v>
      </c>
      <c r="D948" s="18">
        <f t="shared" si="187"/>
        <v>1.584452641983925E-4</v>
      </c>
      <c r="E948">
        <f t="shared" si="188"/>
        <v>4.6609784476459026E-8</v>
      </c>
      <c r="F948">
        <f t="shared" si="194"/>
        <v>-9.4369170255959034E-9</v>
      </c>
      <c r="G948">
        <f t="shared" si="195"/>
        <v>4.6609784476459026E-8</v>
      </c>
      <c r="L948" s="7">
        <f t="shared" si="189"/>
        <v>4.9720262030229161E-2</v>
      </c>
      <c r="M948" s="7">
        <f t="shared" si="190"/>
        <v>4.9720262030229168E-2</v>
      </c>
      <c r="N948" s="20">
        <f t="shared" si="184"/>
        <v>4.9720262030229168E-2</v>
      </c>
      <c r="O948">
        <f t="shared" si="191"/>
        <v>5.8207660913467407E-10</v>
      </c>
      <c r="P948">
        <f t="shared" si="192"/>
        <v>-3.4924596548080444E-10</v>
      </c>
      <c r="Q948">
        <f t="shared" si="193"/>
        <v>-3.4924596548080444E-10</v>
      </c>
    </row>
    <row r="949" spans="2:17" x14ac:dyDescent="0.25">
      <c r="B949" s="18">
        <f t="shared" si="185"/>
        <v>1.584452641983925E-4</v>
      </c>
      <c r="C949" s="18">
        <f t="shared" si="186"/>
        <v>1.5844526419839253E-4</v>
      </c>
      <c r="D949" s="18">
        <f t="shared" si="187"/>
        <v>1.584452641983925E-4</v>
      </c>
      <c r="E949">
        <f t="shared" si="188"/>
        <v>4.6609784476459026E-8</v>
      </c>
      <c r="F949">
        <f t="shared" si="194"/>
        <v>-9.4369170255959034E-9</v>
      </c>
      <c r="G949">
        <f t="shared" si="195"/>
        <v>4.6609784476459026E-8</v>
      </c>
      <c r="L949" s="7">
        <f t="shared" si="189"/>
        <v>4.9720262030229161E-2</v>
      </c>
      <c r="M949" s="7">
        <f t="shared" si="190"/>
        <v>4.9720262030229168E-2</v>
      </c>
      <c r="N949" s="20">
        <f t="shared" si="184"/>
        <v>4.9720262030229168E-2</v>
      </c>
      <c r="O949">
        <f t="shared" si="191"/>
        <v>5.8207660913467407E-10</v>
      </c>
      <c r="P949">
        <f t="shared" si="192"/>
        <v>-3.4924596548080444E-10</v>
      </c>
      <c r="Q949">
        <f t="shared" si="193"/>
        <v>-3.4924596548080444E-10</v>
      </c>
    </row>
    <row r="950" spans="2:17" x14ac:dyDescent="0.25">
      <c r="B950" s="18">
        <f t="shared" si="185"/>
        <v>1.584452641983925E-4</v>
      </c>
      <c r="C950" s="18">
        <f t="shared" si="186"/>
        <v>1.5844526419839253E-4</v>
      </c>
      <c r="D950" s="18">
        <f t="shared" si="187"/>
        <v>1.584452641983925E-4</v>
      </c>
      <c r="E950">
        <f t="shared" si="188"/>
        <v>4.6609784476459026E-8</v>
      </c>
      <c r="F950">
        <f t="shared" si="194"/>
        <v>-9.4369170255959034E-9</v>
      </c>
      <c r="G950">
        <f t="shared" si="195"/>
        <v>4.6609784476459026E-8</v>
      </c>
      <c r="L950" s="7">
        <f t="shared" si="189"/>
        <v>4.9720262030229161E-2</v>
      </c>
      <c r="M950" s="7">
        <f t="shared" si="190"/>
        <v>4.9720262030229168E-2</v>
      </c>
      <c r="N950" s="20">
        <f t="shared" si="184"/>
        <v>4.9720262030229168E-2</v>
      </c>
      <c r="O950">
        <f t="shared" si="191"/>
        <v>5.8207660913467407E-10</v>
      </c>
      <c r="P950">
        <f t="shared" si="192"/>
        <v>-3.4924596548080444E-10</v>
      </c>
      <c r="Q950">
        <f t="shared" si="193"/>
        <v>-3.4924596548080444E-10</v>
      </c>
    </row>
    <row r="951" spans="2:17" x14ac:dyDescent="0.25">
      <c r="B951" s="18">
        <f t="shared" si="185"/>
        <v>1.584452641983925E-4</v>
      </c>
      <c r="C951" s="18">
        <f t="shared" si="186"/>
        <v>1.5844526419839253E-4</v>
      </c>
      <c r="D951" s="18">
        <f t="shared" si="187"/>
        <v>1.584452641983925E-4</v>
      </c>
      <c r="E951">
        <f t="shared" si="188"/>
        <v>4.6609784476459026E-8</v>
      </c>
      <c r="F951">
        <f t="shared" si="194"/>
        <v>-9.4369170255959034E-9</v>
      </c>
      <c r="G951">
        <f t="shared" si="195"/>
        <v>4.6609784476459026E-8</v>
      </c>
      <c r="L951" s="7">
        <f t="shared" si="189"/>
        <v>4.9720262030229161E-2</v>
      </c>
      <c r="M951" s="7">
        <f t="shared" si="190"/>
        <v>4.9720262030229168E-2</v>
      </c>
      <c r="N951" s="20">
        <f t="shared" si="184"/>
        <v>4.9720262030229168E-2</v>
      </c>
      <c r="O951">
        <f t="shared" si="191"/>
        <v>5.8207660913467407E-10</v>
      </c>
      <c r="P951">
        <f t="shared" si="192"/>
        <v>-3.4924596548080444E-10</v>
      </c>
      <c r="Q951">
        <f t="shared" si="193"/>
        <v>-3.4924596548080444E-10</v>
      </c>
    </row>
    <row r="952" spans="2:17" x14ac:dyDescent="0.25">
      <c r="B952" s="18">
        <f t="shared" si="185"/>
        <v>1.584452641983925E-4</v>
      </c>
      <c r="C952" s="18">
        <f t="shared" si="186"/>
        <v>1.5844526419839253E-4</v>
      </c>
      <c r="D952" s="18">
        <f t="shared" si="187"/>
        <v>1.584452641983925E-4</v>
      </c>
      <c r="E952">
        <f t="shared" si="188"/>
        <v>4.6609784476459026E-8</v>
      </c>
      <c r="F952">
        <f t="shared" si="194"/>
        <v>-9.4369170255959034E-9</v>
      </c>
      <c r="G952">
        <f t="shared" si="195"/>
        <v>4.6609784476459026E-8</v>
      </c>
      <c r="L952" s="7">
        <f t="shared" si="189"/>
        <v>4.9720262030229161E-2</v>
      </c>
      <c r="M952" s="7">
        <f t="shared" si="190"/>
        <v>4.9720262030229168E-2</v>
      </c>
      <c r="N952" s="20">
        <f t="shared" si="184"/>
        <v>4.9720262030229168E-2</v>
      </c>
      <c r="O952">
        <f t="shared" si="191"/>
        <v>5.8207660913467407E-10</v>
      </c>
      <c r="P952">
        <f t="shared" si="192"/>
        <v>-3.4924596548080444E-10</v>
      </c>
      <c r="Q952">
        <f t="shared" si="193"/>
        <v>-3.4924596548080444E-10</v>
      </c>
    </row>
    <row r="953" spans="2:17" x14ac:dyDescent="0.25">
      <c r="B953" s="18">
        <f t="shared" si="185"/>
        <v>1.584452641983925E-4</v>
      </c>
      <c r="C953" s="18">
        <f t="shared" si="186"/>
        <v>1.5844526419839253E-4</v>
      </c>
      <c r="D953" s="18">
        <f t="shared" si="187"/>
        <v>1.584452641983925E-4</v>
      </c>
      <c r="E953">
        <f t="shared" si="188"/>
        <v>4.6609784476459026E-8</v>
      </c>
      <c r="F953">
        <f t="shared" si="194"/>
        <v>-9.4369170255959034E-9</v>
      </c>
      <c r="G953">
        <f t="shared" si="195"/>
        <v>4.6609784476459026E-8</v>
      </c>
      <c r="L953" s="7">
        <f t="shared" si="189"/>
        <v>4.9720262030229161E-2</v>
      </c>
      <c r="M953" s="7">
        <f t="shared" si="190"/>
        <v>4.9720262030229168E-2</v>
      </c>
      <c r="N953" s="20">
        <f t="shared" si="184"/>
        <v>4.9720262030229168E-2</v>
      </c>
      <c r="O953">
        <f t="shared" si="191"/>
        <v>5.8207660913467407E-10</v>
      </c>
      <c r="P953">
        <f t="shared" si="192"/>
        <v>-3.4924596548080444E-10</v>
      </c>
      <c r="Q953">
        <f t="shared" si="193"/>
        <v>-3.4924596548080444E-10</v>
      </c>
    </row>
    <row r="954" spans="2:17" x14ac:dyDescent="0.25">
      <c r="B954" s="18">
        <f t="shared" si="185"/>
        <v>1.584452641983925E-4</v>
      </c>
      <c r="C954" s="18">
        <f t="shared" si="186"/>
        <v>1.5844526419839253E-4</v>
      </c>
      <c r="D954" s="18">
        <f t="shared" si="187"/>
        <v>1.584452641983925E-4</v>
      </c>
      <c r="E954">
        <f t="shared" si="188"/>
        <v>4.6609784476459026E-8</v>
      </c>
      <c r="F954">
        <f t="shared" si="194"/>
        <v>-9.4369170255959034E-9</v>
      </c>
      <c r="G954">
        <f t="shared" si="195"/>
        <v>4.6609784476459026E-8</v>
      </c>
      <c r="L954" s="7">
        <f t="shared" si="189"/>
        <v>4.9720262030229161E-2</v>
      </c>
      <c r="M954" s="7">
        <f t="shared" si="190"/>
        <v>4.9720262030229168E-2</v>
      </c>
      <c r="N954" s="20">
        <f t="shared" si="184"/>
        <v>4.9720262030229168E-2</v>
      </c>
      <c r="O954">
        <f t="shared" si="191"/>
        <v>5.8207660913467407E-10</v>
      </c>
      <c r="P954">
        <f t="shared" si="192"/>
        <v>-3.4924596548080444E-10</v>
      </c>
      <c r="Q954">
        <f t="shared" si="193"/>
        <v>-3.4924596548080444E-10</v>
      </c>
    </row>
    <row r="955" spans="2:17" x14ac:dyDescent="0.25">
      <c r="B955" s="18">
        <f t="shared" si="185"/>
        <v>1.584452641983925E-4</v>
      </c>
      <c r="C955" s="18">
        <f t="shared" si="186"/>
        <v>1.5844526419839253E-4</v>
      </c>
      <c r="D955" s="18">
        <f t="shared" si="187"/>
        <v>1.584452641983925E-4</v>
      </c>
      <c r="E955">
        <f t="shared" si="188"/>
        <v>4.6609784476459026E-8</v>
      </c>
      <c r="F955">
        <f t="shared" si="194"/>
        <v>-9.4369170255959034E-9</v>
      </c>
      <c r="G955">
        <f t="shared" si="195"/>
        <v>4.6609784476459026E-8</v>
      </c>
      <c r="L955" s="7">
        <f t="shared" si="189"/>
        <v>4.9720262030229161E-2</v>
      </c>
      <c r="M955" s="7">
        <f t="shared" si="190"/>
        <v>4.9720262030229168E-2</v>
      </c>
      <c r="N955" s="20">
        <f t="shared" si="184"/>
        <v>4.9720262030229168E-2</v>
      </c>
      <c r="O955">
        <f t="shared" si="191"/>
        <v>5.8207660913467407E-10</v>
      </c>
      <c r="P955">
        <f t="shared" si="192"/>
        <v>-3.4924596548080444E-10</v>
      </c>
      <c r="Q955">
        <f t="shared" si="193"/>
        <v>-3.4924596548080444E-10</v>
      </c>
    </row>
    <row r="956" spans="2:17" x14ac:dyDescent="0.25">
      <c r="B956" s="18">
        <f t="shared" si="185"/>
        <v>1.584452641983925E-4</v>
      </c>
      <c r="C956" s="18">
        <f t="shared" si="186"/>
        <v>1.5844526419839253E-4</v>
      </c>
      <c r="D956" s="18">
        <f t="shared" si="187"/>
        <v>1.584452641983925E-4</v>
      </c>
      <c r="E956">
        <f t="shared" si="188"/>
        <v>4.6609784476459026E-8</v>
      </c>
      <c r="F956">
        <f t="shared" si="194"/>
        <v>-9.4369170255959034E-9</v>
      </c>
      <c r="G956">
        <f t="shared" si="195"/>
        <v>4.6609784476459026E-8</v>
      </c>
      <c r="L956" s="7">
        <f t="shared" si="189"/>
        <v>4.9720262030229161E-2</v>
      </c>
      <c r="M956" s="7">
        <f t="shared" si="190"/>
        <v>4.9720262030229168E-2</v>
      </c>
      <c r="N956" s="20">
        <f t="shared" si="184"/>
        <v>4.9720262030229168E-2</v>
      </c>
      <c r="O956">
        <f t="shared" si="191"/>
        <v>5.8207660913467407E-10</v>
      </c>
      <c r="P956">
        <f t="shared" si="192"/>
        <v>-3.4924596548080444E-10</v>
      </c>
      <c r="Q956">
        <f t="shared" si="193"/>
        <v>-3.4924596548080444E-10</v>
      </c>
    </row>
    <row r="957" spans="2:17" x14ac:dyDescent="0.25">
      <c r="B957" s="18">
        <f t="shared" si="185"/>
        <v>1.584452641983925E-4</v>
      </c>
      <c r="C957" s="18">
        <f t="shared" si="186"/>
        <v>1.5844526419839253E-4</v>
      </c>
      <c r="D957" s="18">
        <f t="shared" si="187"/>
        <v>1.584452641983925E-4</v>
      </c>
      <c r="E957">
        <f t="shared" si="188"/>
        <v>4.6609784476459026E-8</v>
      </c>
      <c r="F957">
        <f t="shared" si="194"/>
        <v>-9.4369170255959034E-9</v>
      </c>
      <c r="G957">
        <f t="shared" si="195"/>
        <v>4.6609784476459026E-8</v>
      </c>
      <c r="L957" s="7">
        <f t="shared" si="189"/>
        <v>4.9720262030229161E-2</v>
      </c>
      <c r="M957" s="7">
        <f t="shared" si="190"/>
        <v>4.9720262030229168E-2</v>
      </c>
      <c r="N957" s="20">
        <f t="shared" si="184"/>
        <v>4.9720262030229168E-2</v>
      </c>
      <c r="O957">
        <f t="shared" si="191"/>
        <v>5.8207660913467407E-10</v>
      </c>
      <c r="P957">
        <f t="shared" si="192"/>
        <v>-3.4924596548080444E-10</v>
      </c>
      <c r="Q957">
        <f t="shared" si="193"/>
        <v>-3.4924596548080444E-10</v>
      </c>
    </row>
    <row r="958" spans="2:17" x14ac:dyDescent="0.25">
      <c r="B958" s="18">
        <f t="shared" si="185"/>
        <v>1.584452641983925E-4</v>
      </c>
      <c r="C958" s="18">
        <f t="shared" si="186"/>
        <v>1.5844526419839253E-4</v>
      </c>
      <c r="D958" s="18">
        <f t="shared" si="187"/>
        <v>1.584452641983925E-4</v>
      </c>
      <c r="E958">
        <f t="shared" si="188"/>
        <v>4.6609784476459026E-8</v>
      </c>
      <c r="F958">
        <f t="shared" si="194"/>
        <v>-9.4369170255959034E-9</v>
      </c>
      <c r="G958">
        <f t="shared" si="195"/>
        <v>4.6609784476459026E-8</v>
      </c>
      <c r="L958" s="7">
        <f t="shared" si="189"/>
        <v>4.9720262030229161E-2</v>
      </c>
      <c r="M958" s="7">
        <f t="shared" si="190"/>
        <v>4.9720262030229168E-2</v>
      </c>
      <c r="N958" s="20">
        <f t="shared" si="184"/>
        <v>4.9720262030229168E-2</v>
      </c>
      <c r="O958">
        <f t="shared" si="191"/>
        <v>5.8207660913467407E-10</v>
      </c>
      <c r="P958">
        <f t="shared" si="192"/>
        <v>-3.4924596548080444E-10</v>
      </c>
      <c r="Q958">
        <f t="shared" si="193"/>
        <v>-3.4924596548080444E-10</v>
      </c>
    </row>
    <row r="959" spans="2:17" x14ac:dyDescent="0.25">
      <c r="B959" s="18">
        <f t="shared" si="185"/>
        <v>1.584452641983925E-4</v>
      </c>
      <c r="C959" s="18">
        <f t="shared" si="186"/>
        <v>1.5844526419839253E-4</v>
      </c>
      <c r="D959" s="18">
        <f t="shared" si="187"/>
        <v>1.584452641983925E-4</v>
      </c>
      <c r="E959">
        <f t="shared" si="188"/>
        <v>4.6609784476459026E-8</v>
      </c>
      <c r="F959">
        <f t="shared" si="194"/>
        <v>-9.4369170255959034E-9</v>
      </c>
      <c r="G959">
        <f t="shared" si="195"/>
        <v>4.6609784476459026E-8</v>
      </c>
      <c r="L959" s="7">
        <f t="shared" si="189"/>
        <v>4.9720262030229161E-2</v>
      </c>
      <c r="M959" s="7">
        <f t="shared" si="190"/>
        <v>4.9720262030229168E-2</v>
      </c>
      <c r="N959" s="20">
        <f t="shared" si="184"/>
        <v>4.9720262030229168E-2</v>
      </c>
      <c r="O959">
        <f t="shared" si="191"/>
        <v>5.8207660913467407E-10</v>
      </c>
      <c r="P959">
        <f t="shared" si="192"/>
        <v>-3.4924596548080444E-10</v>
      </c>
      <c r="Q959">
        <f t="shared" si="193"/>
        <v>-3.4924596548080444E-10</v>
      </c>
    </row>
    <row r="960" spans="2:17" x14ac:dyDescent="0.25">
      <c r="B960" s="18">
        <f t="shared" si="185"/>
        <v>1.584452641983925E-4</v>
      </c>
      <c r="C960" s="18">
        <f t="shared" si="186"/>
        <v>1.5844526419839253E-4</v>
      </c>
      <c r="D960" s="18">
        <f t="shared" si="187"/>
        <v>1.584452641983925E-4</v>
      </c>
      <c r="E960">
        <f t="shared" si="188"/>
        <v>4.6609784476459026E-8</v>
      </c>
      <c r="F960">
        <f t="shared" si="194"/>
        <v>-9.4369170255959034E-9</v>
      </c>
      <c r="G960">
        <f t="shared" si="195"/>
        <v>4.6609784476459026E-8</v>
      </c>
      <c r="L960" s="7">
        <f t="shared" si="189"/>
        <v>4.9720262030229161E-2</v>
      </c>
      <c r="M960" s="7">
        <f t="shared" si="190"/>
        <v>4.9720262030229168E-2</v>
      </c>
      <c r="N960" s="20">
        <f t="shared" si="184"/>
        <v>4.9720262030229168E-2</v>
      </c>
      <c r="O960">
        <f t="shared" si="191"/>
        <v>5.8207660913467407E-10</v>
      </c>
      <c r="P960">
        <f t="shared" si="192"/>
        <v>-3.4924596548080444E-10</v>
      </c>
      <c r="Q960">
        <f t="shared" si="193"/>
        <v>-3.4924596548080444E-10</v>
      </c>
    </row>
    <row r="961" spans="2:17" x14ac:dyDescent="0.25">
      <c r="B961" s="18">
        <f t="shared" si="185"/>
        <v>1.584452641983925E-4</v>
      </c>
      <c r="C961" s="18">
        <f t="shared" si="186"/>
        <v>1.5844526419839253E-4</v>
      </c>
      <c r="D961" s="18">
        <f t="shared" si="187"/>
        <v>1.584452641983925E-4</v>
      </c>
      <c r="E961">
        <f t="shared" si="188"/>
        <v>4.6609784476459026E-8</v>
      </c>
      <c r="F961">
        <f t="shared" si="194"/>
        <v>-9.4369170255959034E-9</v>
      </c>
      <c r="G961">
        <f t="shared" si="195"/>
        <v>4.6609784476459026E-8</v>
      </c>
      <c r="L961" s="7">
        <f t="shared" si="189"/>
        <v>4.9720262030229161E-2</v>
      </c>
      <c r="M961" s="7">
        <f t="shared" si="190"/>
        <v>4.9720262030229168E-2</v>
      </c>
      <c r="N961" s="20">
        <f t="shared" si="184"/>
        <v>4.9720262030229168E-2</v>
      </c>
      <c r="O961">
        <f t="shared" si="191"/>
        <v>5.8207660913467407E-10</v>
      </c>
      <c r="P961">
        <f t="shared" si="192"/>
        <v>-3.4924596548080444E-10</v>
      </c>
      <c r="Q961">
        <f t="shared" si="193"/>
        <v>-3.4924596548080444E-10</v>
      </c>
    </row>
    <row r="962" spans="2:17" x14ac:dyDescent="0.25">
      <c r="B962" s="18">
        <f t="shared" si="185"/>
        <v>1.584452641983925E-4</v>
      </c>
      <c r="C962" s="18">
        <f t="shared" si="186"/>
        <v>1.5844526419839253E-4</v>
      </c>
      <c r="D962" s="18">
        <f t="shared" si="187"/>
        <v>1.584452641983925E-4</v>
      </c>
      <c r="E962">
        <f t="shared" si="188"/>
        <v>4.6609784476459026E-8</v>
      </c>
      <c r="F962">
        <f t="shared" si="194"/>
        <v>-9.4369170255959034E-9</v>
      </c>
      <c r="G962">
        <f t="shared" si="195"/>
        <v>4.6609784476459026E-8</v>
      </c>
      <c r="L962" s="7">
        <f t="shared" si="189"/>
        <v>4.9720262030229161E-2</v>
      </c>
      <c r="M962" s="7">
        <f t="shared" si="190"/>
        <v>4.9720262030229168E-2</v>
      </c>
      <c r="N962" s="20">
        <f t="shared" si="184"/>
        <v>4.9720262030229168E-2</v>
      </c>
      <c r="O962">
        <f t="shared" si="191"/>
        <v>5.8207660913467407E-10</v>
      </c>
      <c r="P962">
        <f t="shared" si="192"/>
        <v>-3.4924596548080444E-10</v>
      </c>
      <c r="Q962">
        <f t="shared" si="193"/>
        <v>-3.4924596548080444E-10</v>
      </c>
    </row>
    <row r="963" spans="2:17" x14ac:dyDescent="0.25">
      <c r="B963" s="18">
        <f t="shared" si="185"/>
        <v>1.584452641983925E-4</v>
      </c>
      <c r="C963" s="18">
        <f t="shared" si="186"/>
        <v>1.5844526419839253E-4</v>
      </c>
      <c r="D963" s="18">
        <f t="shared" si="187"/>
        <v>1.584452641983925E-4</v>
      </c>
      <c r="E963">
        <f t="shared" si="188"/>
        <v>4.6609784476459026E-8</v>
      </c>
      <c r="F963">
        <f t="shared" si="194"/>
        <v>-9.4369170255959034E-9</v>
      </c>
      <c r="G963">
        <f t="shared" si="195"/>
        <v>4.6609784476459026E-8</v>
      </c>
      <c r="L963" s="7">
        <f t="shared" si="189"/>
        <v>4.9720262030229161E-2</v>
      </c>
      <c r="M963" s="7">
        <f t="shared" si="190"/>
        <v>4.9720262030229168E-2</v>
      </c>
      <c r="N963" s="20">
        <f t="shared" si="184"/>
        <v>4.9720262030229168E-2</v>
      </c>
      <c r="O963">
        <f t="shared" si="191"/>
        <v>5.8207660913467407E-10</v>
      </c>
      <c r="P963">
        <f t="shared" si="192"/>
        <v>-3.4924596548080444E-10</v>
      </c>
      <c r="Q963">
        <f t="shared" si="193"/>
        <v>-3.4924596548080444E-10</v>
      </c>
    </row>
    <row r="964" spans="2:17" x14ac:dyDescent="0.25">
      <c r="B964" s="18">
        <f t="shared" si="185"/>
        <v>1.584452641983925E-4</v>
      </c>
      <c r="C964" s="18">
        <f t="shared" si="186"/>
        <v>1.5844526419839253E-4</v>
      </c>
      <c r="D964" s="18">
        <f t="shared" si="187"/>
        <v>1.584452641983925E-4</v>
      </c>
      <c r="E964">
        <f t="shared" si="188"/>
        <v>4.6609784476459026E-8</v>
      </c>
      <c r="F964">
        <f t="shared" si="194"/>
        <v>-9.4369170255959034E-9</v>
      </c>
      <c r="G964">
        <f t="shared" si="195"/>
        <v>4.6609784476459026E-8</v>
      </c>
      <c r="L964" s="7">
        <f t="shared" si="189"/>
        <v>4.9720262030229161E-2</v>
      </c>
      <c r="M964" s="7">
        <f t="shared" si="190"/>
        <v>4.9720262030229168E-2</v>
      </c>
      <c r="N964" s="20">
        <f t="shared" si="184"/>
        <v>4.9720262030229168E-2</v>
      </c>
      <c r="O964">
        <f t="shared" si="191"/>
        <v>5.8207660913467407E-10</v>
      </c>
      <c r="P964">
        <f t="shared" si="192"/>
        <v>-3.4924596548080444E-10</v>
      </c>
      <c r="Q964">
        <f t="shared" si="193"/>
        <v>-3.4924596548080444E-10</v>
      </c>
    </row>
    <row r="965" spans="2:17" x14ac:dyDescent="0.25">
      <c r="B965" s="18">
        <f t="shared" si="185"/>
        <v>1.584452641983925E-4</v>
      </c>
      <c r="C965" s="18">
        <f t="shared" si="186"/>
        <v>1.5844526419839253E-4</v>
      </c>
      <c r="D965" s="18">
        <f t="shared" si="187"/>
        <v>1.584452641983925E-4</v>
      </c>
      <c r="E965">
        <f t="shared" si="188"/>
        <v>4.6609784476459026E-8</v>
      </c>
      <c r="F965">
        <f t="shared" si="194"/>
        <v>-9.4369170255959034E-9</v>
      </c>
      <c r="G965">
        <f t="shared" si="195"/>
        <v>4.6609784476459026E-8</v>
      </c>
      <c r="L965" s="7">
        <f t="shared" si="189"/>
        <v>4.9720262030229161E-2</v>
      </c>
      <c r="M965" s="7">
        <f t="shared" si="190"/>
        <v>4.9720262030229168E-2</v>
      </c>
      <c r="N965" s="20">
        <f t="shared" si="184"/>
        <v>4.9720262030229168E-2</v>
      </c>
      <c r="O965">
        <f t="shared" si="191"/>
        <v>5.8207660913467407E-10</v>
      </c>
      <c r="P965">
        <f t="shared" si="192"/>
        <v>-3.4924596548080444E-10</v>
      </c>
      <c r="Q965">
        <f t="shared" si="193"/>
        <v>-3.4924596548080444E-10</v>
      </c>
    </row>
    <row r="966" spans="2:17" x14ac:dyDescent="0.25">
      <c r="B966" s="18">
        <f t="shared" si="185"/>
        <v>1.584452641983925E-4</v>
      </c>
      <c r="C966" s="18">
        <f t="shared" si="186"/>
        <v>1.5844526419839253E-4</v>
      </c>
      <c r="D966" s="18">
        <f t="shared" si="187"/>
        <v>1.584452641983925E-4</v>
      </c>
      <c r="E966">
        <f t="shared" si="188"/>
        <v>4.6609784476459026E-8</v>
      </c>
      <c r="F966">
        <f t="shared" si="194"/>
        <v>-9.4369170255959034E-9</v>
      </c>
      <c r="G966">
        <f t="shared" si="195"/>
        <v>4.6609784476459026E-8</v>
      </c>
      <c r="L966" s="7">
        <f t="shared" si="189"/>
        <v>4.9720262030229161E-2</v>
      </c>
      <c r="M966" s="7">
        <f t="shared" si="190"/>
        <v>4.9720262030229168E-2</v>
      </c>
      <c r="N966" s="20">
        <f t="shared" si="184"/>
        <v>4.9720262030229168E-2</v>
      </c>
      <c r="O966">
        <f t="shared" si="191"/>
        <v>5.8207660913467407E-10</v>
      </c>
      <c r="P966">
        <f t="shared" si="192"/>
        <v>-3.4924596548080444E-10</v>
      </c>
      <c r="Q966">
        <f t="shared" si="193"/>
        <v>-3.4924596548080444E-10</v>
      </c>
    </row>
    <row r="967" spans="2:17" x14ac:dyDescent="0.25">
      <c r="B967" s="18">
        <f t="shared" si="185"/>
        <v>1.584452641983925E-4</v>
      </c>
      <c r="C967" s="18">
        <f t="shared" si="186"/>
        <v>1.5844526419839253E-4</v>
      </c>
      <c r="D967" s="18">
        <f t="shared" si="187"/>
        <v>1.584452641983925E-4</v>
      </c>
      <c r="E967">
        <f t="shared" si="188"/>
        <v>4.6609784476459026E-8</v>
      </c>
      <c r="F967">
        <f t="shared" si="194"/>
        <v>-9.4369170255959034E-9</v>
      </c>
      <c r="G967">
        <f t="shared" si="195"/>
        <v>4.6609784476459026E-8</v>
      </c>
      <c r="L967" s="7">
        <f t="shared" si="189"/>
        <v>4.9720262030229161E-2</v>
      </c>
      <c r="M967" s="7">
        <f t="shared" si="190"/>
        <v>4.9720262030229168E-2</v>
      </c>
      <c r="N967" s="20">
        <f t="shared" si="184"/>
        <v>4.9720262030229168E-2</v>
      </c>
      <c r="O967">
        <f t="shared" si="191"/>
        <v>5.8207660913467407E-10</v>
      </c>
      <c r="P967">
        <f t="shared" si="192"/>
        <v>-3.4924596548080444E-10</v>
      </c>
      <c r="Q967">
        <f t="shared" si="193"/>
        <v>-3.4924596548080444E-10</v>
      </c>
    </row>
    <row r="968" spans="2:17" x14ac:dyDescent="0.25">
      <c r="B968" s="18">
        <f t="shared" si="185"/>
        <v>1.584452641983925E-4</v>
      </c>
      <c r="C968" s="18">
        <f t="shared" si="186"/>
        <v>1.5844526419839253E-4</v>
      </c>
      <c r="D968" s="18">
        <f t="shared" si="187"/>
        <v>1.584452641983925E-4</v>
      </c>
      <c r="E968">
        <f t="shared" si="188"/>
        <v>4.6609784476459026E-8</v>
      </c>
      <c r="F968">
        <f t="shared" si="194"/>
        <v>-9.4369170255959034E-9</v>
      </c>
      <c r="G968">
        <f t="shared" si="195"/>
        <v>4.6609784476459026E-8</v>
      </c>
      <c r="L968" s="7">
        <f t="shared" si="189"/>
        <v>4.9720262030229161E-2</v>
      </c>
      <c r="M968" s="7">
        <f t="shared" si="190"/>
        <v>4.9720262030229168E-2</v>
      </c>
      <c r="N968" s="20">
        <f t="shared" si="184"/>
        <v>4.9720262030229168E-2</v>
      </c>
      <c r="O968">
        <f t="shared" si="191"/>
        <v>5.8207660913467407E-10</v>
      </c>
      <c r="P968">
        <f t="shared" si="192"/>
        <v>-3.4924596548080444E-10</v>
      </c>
      <c r="Q968">
        <f t="shared" si="193"/>
        <v>-3.4924596548080444E-10</v>
      </c>
    </row>
    <row r="969" spans="2:17" x14ac:dyDescent="0.25">
      <c r="B969" s="18">
        <f t="shared" si="185"/>
        <v>1.584452641983925E-4</v>
      </c>
      <c r="C969" s="18">
        <f t="shared" si="186"/>
        <v>1.5844526419839253E-4</v>
      </c>
      <c r="D969" s="18">
        <f t="shared" si="187"/>
        <v>1.584452641983925E-4</v>
      </c>
      <c r="E969">
        <f t="shared" si="188"/>
        <v>4.6609784476459026E-8</v>
      </c>
      <c r="F969">
        <f t="shared" si="194"/>
        <v>-9.4369170255959034E-9</v>
      </c>
      <c r="G969">
        <f t="shared" si="195"/>
        <v>4.6609784476459026E-8</v>
      </c>
      <c r="L969" s="7">
        <f t="shared" si="189"/>
        <v>4.9720262030229161E-2</v>
      </c>
      <c r="M969" s="7">
        <f t="shared" si="190"/>
        <v>4.9720262030229168E-2</v>
      </c>
      <c r="N969" s="20">
        <f t="shared" si="184"/>
        <v>4.9720262030229168E-2</v>
      </c>
      <c r="O969">
        <f t="shared" si="191"/>
        <v>5.8207660913467407E-10</v>
      </c>
      <c r="P969">
        <f t="shared" si="192"/>
        <v>-3.4924596548080444E-10</v>
      </c>
      <c r="Q969">
        <f t="shared" si="193"/>
        <v>-3.4924596548080444E-10</v>
      </c>
    </row>
    <row r="970" spans="2:17" x14ac:dyDescent="0.25">
      <c r="B970" s="18">
        <f t="shared" si="185"/>
        <v>1.584452641983925E-4</v>
      </c>
      <c r="C970" s="18">
        <f t="shared" si="186"/>
        <v>1.5844526419839253E-4</v>
      </c>
      <c r="D970" s="18">
        <f t="shared" si="187"/>
        <v>1.584452641983925E-4</v>
      </c>
      <c r="E970">
        <f t="shared" si="188"/>
        <v>4.6609784476459026E-8</v>
      </c>
      <c r="F970">
        <f t="shared" si="194"/>
        <v>-9.4369170255959034E-9</v>
      </c>
      <c r="G970">
        <f t="shared" si="195"/>
        <v>4.6609784476459026E-8</v>
      </c>
      <c r="L970" s="7">
        <f t="shared" si="189"/>
        <v>4.9720262030229161E-2</v>
      </c>
      <c r="M970" s="7">
        <f t="shared" si="190"/>
        <v>4.9720262030229168E-2</v>
      </c>
      <c r="N970" s="20">
        <f t="shared" si="184"/>
        <v>4.9720262030229168E-2</v>
      </c>
      <c r="O970">
        <f t="shared" si="191"/>
        <v>5.8207660913467407E-10</v>
      </c>
      <c r="P970">
        <f t="shared" si="192"/>
        <v>-3.4924596548080444E-10</v>
      </c>
      <c r="Q970">
        <f t="shared" si="193"/>
        <v>-3.4924596548080444E-10</v>
      </c>
    </row>
    <row r="971" spans="2:17" x14ac:dyDescent="0.25">
      <c r="B971" s="18">
        <f t="shared" si="185"/>
        <v>1.584452641983925E-4</v>
      </c>
      <c r="C971" s="18">
        <f t="shared" si="186"/>
        <v>1.5844526419839253E-4</v>
      </c>
      <c r="D971" s="18">
        <f t="shared" si="187"/>
        <v>1.584452641983925E-4</v>
      </c>
      <c r="E971">
        <f t="shared" si="188"/>
        <v>4.6609784476459026E-8</v>
      </c>
      <c r="F971">
        <f t="shared" si="194"/>
        <v>-9.4369170255959034E-9</v>
      </c>
      <c r="G971">
        <f t="shared" si="195"/>
        <v>4.6609784476459026E-8</v>
      </c>
      <c r="L971" s="7">
        <f t="shared" si="189"/>
        <v>4.9720262030229161E-2</v>
      </c>
      <c r="M971" s="7">
        <f t="shared" si="190"/>
        <v>4.9720262030229168E-2</v>
      </c>
      <c r="N971" s="20">
        <f t="shared" si="184"/>
        <v>4.9720262030229168E-2</v>
      </c>
      <c r="O971">
        <f t="shared" si="191"/>
        <v>5.8207660913467407E-10</v>
      </c>
      <c r="P971">
        <f t="shared" si="192"/>
        <v>-3.4924596548080444E-10</v>
      </c>
      <c r="Q971">
        <f t="shared" si="193"/>
        <v>-3.4924596548080444E-10</v>
      </c>
    </row>
    <row r="972" spans="2:17" x14ac:dyDescent="0.25">
      <c r="B972" s="18">
        <f t="shared" si="185"/>
        <v>1.584452641983925E-4</v>
      </c>
      <c r="C972" s="18">
        <f t="shared" si="186"/>
        <v>1.5844526419839253E-4</v>
      </c>
      <c r="D972" s="18">
        <f t="shared" si="187"/>
        <v>1.584452641983925E-4</v>
      </c>
      <c r="E972">
        <f t="shared" si="188"/>
        <v>4.6609784476459026E-8</v>
      </c>
      <c r="F972">
        <f t="shared" si="194"/>
        <v>-9.4369170255959034E-9</v>
      </c>
      <c r="G972">
        <f t="shared" si="195"/>
        <v>4.6609784476459026E-8</v>
      </c>
      <c r="L972" s="7">
        <f t="shared" si="189"/>
        <v>4.9720262030229161E-2</v>
      </c>
      <c r="M972" s="7">
        <f t="shared" si="190"/>
        <v>4.9720262030229168E-2</v>
      </c>
      <c r="N972" s="20">
        <f t="shared" si="184"/>
        <v>4.9720262030229168E-2</v>
      </c>
      <c r="O972">
        <f t="shared" si="191"/>
        <v>5.8207660913467407E-10</v>
      </c>
      <c r="P972">
        <f t="shared" si="192"/>
        <v>-3.4924596548080444E-10</v>
      </c>
      <c r="Q972">
        <f t="shared" si="193"/>
        <v>-3.4924596548080444E-10</v>
      </c>
    </row>
    <row r="973" spans="2:17" x14ac:dyDescent="0.25">
      <c r="B973" s="18">
        <f t="shared" si="185"/>
        <v>1.584452641983925E-4</v>
      </c>
      <c r="C973" s="18">
        <f t="shared" si="186"/>
        <v>1.5844526419839253E-4</v>
      </c>
      <c r="D973" s="18">
        <f t="shared" si="187"/>
        <v>1.584452641983925E-4</v>
      </c>
      <c r="E973">
        <f t="shared" si="188"/>
        <v>4.6609784476459026E-8</v>
      </c>
      <c r="F973">
        <f t="shared" si="194"/>
        <v>-9.4369170255959034E-9</v>
      </c>
      <c r="G973">
        <f t="shared" si="195"/>
        <v>4.6609784476459026E-8</v>
      </c>
      <c r="L973" s="7">
        <f t="shared" si="189"/>
        <v>4.9720262030229161E-2</v>
      </c>
      <c r="M973" s="7">
        <f t="shared" si="190"/>
        <v>4.9720262030229168E-2</v>
      </c>
      <c r="N973" s="20">
        <f t="shared" si="184"/>
        <v>4.9720262030229168E-2</v>
      </c>
      <c r="O973">
        <f t="shared" si="191"/>
        <v>5.8207660913467407E-10</v>
      </c>
      <c r="P973">
        <f t="shared" si="192"/>
        <v>-3.4924596548080444E-10</v>
      </c>
      <c r="Q973">
        <f t="shared" si="193"/>
        <v>-3.4924596548080444E-10</v>
      </c>
    </row>
    <row r="974" spans="2:17" x14ac:dyDescent="0.25">
      <c r="B974" s="18">
        <f t="shared" si="185"/>
        <v>1.584452641983925E-4</v>
      </c>
      <c r="C974" s="18">
        <f t="shared" si="186"/>
        <v>1.5844526419839253E-4</v>
      </c>
      <c r="D974" s="18">
        <f t="shared" si="187"/>
        <v>1.584452641983925E-4</v>
      </c>
      <c r="E974">
        <f t="shared" si="188"/>
        <v>4.6609784476459026E-8</v>
      </c>
      <c r="F974">
        <f t="shared" si="194"/>
        <v>-9.4369170255959034E-9</v>
      </c>
      <c r="G974">
        <f t="shared" si="195"/>
        <v>4.6609784476459026E-8</v>
      </c>
      <c r="L974" s="7">
        <f t="shared" si="189"/>
        <v>4.9720262030229161E-2</v>
      </c>
      <c r="M974" s="7">
        <f t="shared" si="190"/>
        <v>4.9720262030229168E-2</v>
      </c>
      <c r="N974" s="20">
        <f t="shared" si="184"/>
        <v>4.9720262030229168E-2</v>
      </c>
      <c r="O974">
        <f t="shared" si="191"/>
        <v>5.8207660913467407E-10</v>
      </c>
      <c r="P974">
        <f t="shared" si="192"/>
        <v>-3.4924596548080444E-10</v>
      </c>
      <c r="Q974">
        <f t="shared" si="193"/>
        <v>-3.4924596548080444E-10</v>
      </c>
    </row>
    <row r="975" spans="2:17" x14ac:dyDescent="0.25">
      <c r="B975" s="18">
        <f t="shared" si="185"/>
        <v>1.584452641983925E-4</v>
      </c>
      <c r="C975" s="18">
        <f t="shared" si="186"/>
        <v>1.5844526419839253E-4</v>
      </c>
      <c r="D975" s="18">
        <f t="shared" si="187"/>
        <v>1.584452641983925E-4</v>
      </c>
      <c r="E975">
        <f t="shared" si="188"/>
        <v>4.6609784476459026E-8</v>
      </c>
      <c r="F975">
        <f t="shared" si="194"/>
        <v>-9.4369170255959034E-9</v>
      </c>
      <c r="G975">
        <f t="shared" si="195"/>
        <v>4.6609784476459026E-8</v>
      </c>
      <c r="L975" s="7">
        <f t="shared" si="189"/>
        <v>4.9720262030229161E-2</v>
      </c>
      <c r="M975" s="7">
        <f t="shared" si="190"/>
        <v>4.9720262030229168E-2</v>
      </c>
      <c r="N975" s="20">
        <f t="shared" si="184"/>
        <v>4.9720262030229168E-2</v>
      </c>
      <c r="O975">
        <f t="shared" si="191"/>
        <v>5.8207660913467407E-10</v>
      </c>
      <c r="P975">
        <f t="shared" si="192"/>
        <v>-3.4924596548080444E-10</v>
      </c>
      <c r="Q975">
        <f t="shared" si="193"/>
        <v>-3.4924596548080444E-10</v>
      </c>
    </row>
    <row r="976" spans="2:17" x14ac:dyDescent="0.25">
      <c r="B976" s="18">
        <f t="shared" si="185"/>
        <v>1.584452641983925E-4</v>
      </c>
      <c r="C976" s="18">
        <f t="shared" si="186"/>
        <v>1.5844526419839253E-4</v>
      </c>
      <c r="D976" s="18">
        <f t="shared" si="187"/>
        <v>1.584452641983925E-4</v>
      </c>
      <c r="E976">
        <f t="shared" si="188"/>
        <v>4.6609784476459026E-8</v>
      </c>
      <c r="F976">
        <f t="shared" si="194"/>
        <v>-9.4369170255959034E-9</v>
      </c>
      <c r="G976">
        <f t="shared" si="195"/>
        <v>4.6609784476459026E-8</v>
      </c>
      <c r="L976" s="7">
        <f t="shared" si="189"/>
        <v>4.9720262030229161E-2</v>
      </c>
      <c r="M976" s="7">
        <f t="shared" si="190"/>
        <v>4.9720262030229168E-2</v>
      </c>
      <c r="N976" s="20">
        <f t="shared" si="184"/>
        <v>4.9720262030229168E-2</v>
      </c>
      <c r="O976">
        <f t="shared" si="191"/>
        <v>5.8207660913467407E-10</v>
      </c>
      <c r="P976">
        <f t="shared" si="192"/>
        <v>-3.4924596548080444E-10</v>
      </c>
      <c r="Q976">
        <f t="shared" si="193"/>
        <v>-3.4924596548080444E-10</v>
      </c>
    </row>
    <row r="977" spans="2:17" x14ac:dyDescent="0.25">
      <c r="B977" s="18">
        <f t="shared" si="185"/>
        <v>1.584452641983925E-4</v>
      </c>
      <c r="C977" s="18">
        <f t="shared" si="186"/>
        <v>1.5844526419839253E-4</v>
      </c>
      <c r="D977" s="18">
        <f t="shared" si="187"/>
        <v>1.584452641983925E-4</v>
      </c>
      <c r="E977">
        <f t="shared" si="188"/>
        <v>4.6609784476459026E-8</v>
      </c>
      <c r="F977">
        <f t="shared" si="194"/>
        <v>-9.4369170255959034E-9</v>
      </c>
      <c r="G977">
        <f t="shared" si="195"/>
        <v>4.6609784476459026E-8</v>
      </c>
      <c r="L977" s="7">
        <f t="shared" si="189"/>
        <v>4.9720262030229161E-2</v>
      </c>
      <c r="M977" s="7">
        <f t="shared" si="190"/>
        <v>4.9720262030229168E-2</v>
      </c>
      <c r="N977" s="20">
        <f t="shared" si="184"/>
        <v>4.9720262030229168E-2</v>
      </c>
      <c r="O977">
        <f t="shared" si="191"/>
        <v>5.8207660913467407E-10</v>
      </c>
      <c r="P977">
        <f t="shared" si="192"/>
        <v>-3.4924596548080444E-10</v>
      </c>
      <c r="Q977">
        <f t="shared" si="193"/>
        <v>-3.4924596548080444E-10</v>
      </c>
    </row>
    <row r="978" spans="2:17" x14ac:dyDescent="0.25">
      <c r="B978" s="18">
        <f t="shared" si="185"/>
        <v>1.584452641983925E-4</v>
      </c>
      <c r="C978" s="18">
        <f t="shared" si="186"/>
        <v>1.5844526419839253E-4</v>
      </c>
      <c r="D978" s="18">
        <f t="shared" si="187"/>
        <v>1.584452641983925E-4</v>
      </c>
      <c r="E978">
        <f t="shared" si="188"/>
        <v>4.6609784476459026E-8</v>
      </c>
      <c r="F978">
        <f t="shared" si="194"/>
        <v>-9.4369170255959034E-9</v>
      </c>
      <c r="G978">
        <f t="shared" si="195"/>
        <v>4.6609784476459026E-8</v>
      </c>
      <c r="L978" s="7">
        <f t="shared" si="189"/>
        <v>4.9720262030229161E-2</v>
      </c>
      <c r="M978" s="7">
        <f t="shared" si="190"/>
        <v>4.9720262030229168E-2</v>
      </c>
      <c r="N978" s="20">
        <f t="shared" si="184"/>
        <v>4.9720262030229168E-2</v>
      </c>
      <c r="O978">
        <f t="shared" si="191"/>
        <v>5.8207660913467407E-10</v>
      </c>
      <c r="P978">
        <f t="shared" si="192"/>
        <v>-3.4924596548080444E-10</v>
      </c>
      <c r="Q978">
        <f t="shared" si="193"/>
        <v>-3.4924596548080444E-10</v>
      </c>
    </row>
    <row r="979" spans="2:17" x14ac:dyDescent="0.25">
      <c r="B979" s="18">
        <f t="shared" si="185"/>
        <v>1.584452641983925E-4</v>
      </c>
      <c r="C979" s="18">
        <f t="shared" si="186"/>
        <v>1.5844526419839253E-4</v>
      </c>
      <c r="D979" s="18">
        <f t="shared" si="187"/>
        <v>1.584452641983925E-4</v>
      </c>
      <c r="E979">
        <f t="shared" si="188"/>
        <v>4.6609784476459026E-8</v>
      </c>
      <c r="F979">
        <f t="shared" si="194"/>
        <v>-9.4369170255959034E-9</v>
      </c>
      <c r="G979">
        <f t="shared" si="195"/>
        <v>4.6609784476459026E-8</v>
      </c>
      <c r="L979" s="7">
        <f t="shared" si="189"/>
        <v>4.9720262030229161E-2</v>
      </c>
      <c r="M979" s="7">
        <f t="shared" si="190"/>
        <v>4.9720262030229168E-2</v>
      </c>
      <c r="N979" s="20">
        <f t="shared" si="184"/>
        <v>4.9720262030229168E-2</v>
      </c>
      <c r="O979">
        <f t="shared" si="191"/>
        <v>5.8207660913467407E-10</v>
      </c>
      <c r="P979">
        <f t="shared" si="192"/>
        <v>-3.4924596548080444E-10</v>
      </c>
      <c r="Q979">
        <f t="shared" si="193"/>
        <v>-3.4924596548080444E-10</v>
      </c>
    </row>
    <row r="980" spans="2:17" x14ac:dyDescent="0.25">
      <c r="B980" s="18">
        <f t="shared" si="185"/>
        <v>1.584452641983925E-4</v>
      </c>
      <c r="C980" s="18">
        <f t="shared" si="186"/>
        <v>1.5844526419839253E-4</v>
      </c>
      <c r="D980" s="18">
        <f t="shared" si="187"/>
        <v>1.584452641983925E-4</v>
      </c>
      <c r="E980">
        <f t="shared" si="188"/>
        <v>4.6609784476459026E-8</v>
      </c>
      <c r="F980">
        <f t="shared" si="194"/>
        <v>-9.4369170255959034E-9</v>
      </c>
      <c r="G980">
        <f t="shared" si="195"/>
        <v>4.6609784476459026E-8</v>
      </c>
      <c r="L980" s="7">
        <f t="shared" si="189"/>
        <v>4.9720262030229161E-2</v>
      </c>
      <c r="M980" s="7">
        <f t="shared" si="190"/>
        <v>4.9720262030229168E-2</v>
      </c>
      <c r="N980" s="20">
        <f t="shared" si="184"/>
        <v>4.9720262030229168E-2</v>
      </c>
      <c r="O980">
        <f t="shared" si="191"/>
        <v>5.8207660913467407E-10</v>
      </c>
      <c r="P980">
        <f t="shared" si="192"/>
        <v>-3.4924596548080444E-10</v>
      </c>
      <c r="Q980">
        <f t="shared" si="193"/>
        <v>-3.4924596548080444E-10</v>
      </c>
    </row>
    <row r="981" spans="2:17" x14ac:dyDescent="0.25">
      <c r="B981" s="18">
        <f t="shared" si="185"/>
        <v>1.584452641983925E-4</v>
      </c>
      <c r="C981" s="18">
        <f t="shared" si="186"/>
        <v>1.5844526419839253E-4</v>
      </c>
      <c r="D981" s="18">
        <f t="shared" si="187"/>
        <v>1.584452641983925E-4</v>
      </c>
      <c r="E981">
        <f t="shared" si="188"/>
        <v>4.6609784476459026E-8</v>
      </c>
      <c r="F981">
        <f t="shared" si="194"/>
        <v>-9.4369170255959034E-9</v>
      </c>
      <c r="G981">
        <f t="shared" si="195"/>
        <v>4.6609784476459026E-8</v>
      </c>
      <c r="L981" s="7">
        <f t="shared" si="189"/>
        <v>4.9720262030229161E-2</v>
      </c>
      <c r="M981" s="7">
        <f t="shared" si="190"/>
        <v>4.9720262030229168E-2</v>
      </c>
      <c r="N981" s="20">
        <f t="shared" si="184"/>
        <v>4.9720262030229168E-2</v>
      </c>
      <c r="O981">
        <f t="shared" si="191"/>
        <v>5.8207660913467407E-10</v>
      </c>
      <c r="P981">
        <f t="shared" si="192"/>
        <v>-3.4924596548080444E-10</v>
      </c>
      <c r="Q981">
        <f t="shared" si="193"/>
        <v>-3.4924596548080444E-10</v>
      </c>
    </row>
    <row r="982" spans="2:17" x14ac:dyDescent="0.25">
      <c r="B982" s="18">
        <f t="shared" si="185"/>
        <v>1.584452641983925E-4</v>
      </c>
      <c r="C982" s="18">
        <f t="shared" si="186"/>
        <v>1.5844526419839253E-4</v>
      </c>
      <c r="D982" s="18">
        <f t="shared" si="187"/>
        <v>1.584452641983925E-4</v>
      </c>
      <c r="E982">
        <f t="shared" si="188"/>
        <v>4.6609784476459026E-8</v>
      </c>
      <c r="F982">
        <f t="shared" si="194"/>
        <v>-9.4369170255959034E-9</v>
      </c>
      <c r="G982">
        <f t="shared" si="195"/>
        <v>4.6609784476459026E-8</v>
      </c>
      <c r="L982" s="7">
        <f t="shared" si="189"/>
        <v>4.9720262030229161E-2</v>
      </c>
      <c r="M982" s="7">
        <f t="shared" si="190"/>
        <v>4.9720262030229168E-2</v>
      </c>
      <c r="N982" s="20">
        <f t="shared" si="184"/>
        <v>4.9720262030229168E-2</v>
      </c>
      <c r="O982">
        <f t="shared" si="191"/>
        <v>5.8207660913467407E-10</v>
      </c>
      <c r="P982">
        <f t="shared" si="192"/>
        <v>-3.4924596548080444E-10</v>
      </c>
      <c r="Q982">
        <f t="shared" si="193"/>
        <v>-3.4924596548080444E-10</v>
      </c>
    </row>
    <row r="983" spans="2:17" x14ac:dyDescent="0.25">
      <c r="B983" s="18">
        <f t="shared" si="185"/>
        <v>1.584452641983925E-4</v>
      </c>
      <c r="C983" s="18">
        <f t="shared" si="186"/>
        <v>1.5844526419839253E-4</v>
      </c>
      <c r="D983" s="18">
        <f t="shared" si="187"/>
        <v>1.584452641983925E-4</v>
      </c>
      <c r="E983">
        <f t="shared" si="188"/>
        <v>4.6609784476459026E-8</v>
      </c>
      <c r="F983">
        <f t="shared" si="194"/>
        <v>-9.4369170255959034E-9</v>
      </c>
      <c r="G983">
        <f t="shared" si="195"/>
        <v>4.6609784476459026E-8</v>
      </c>
      <c r="L983" s="7">
        <f t="shared" si="189"/>
        <v>4.9720262030229161E-2</v>
      </c>
      <c r="M983" s="7">
        <f t="shared" si="190"/>
        <v>4.9720262030229168E-2</v>
      </c>
      <c r="N983" s="20">
        <f t="shared" si="184"/>
        <v>4.9720262030229168E-2</v>
      </c>
      <c r="O983">
        <f t="shared" si="191"/>
        <v>5.8207660913467407E-10</v>
      </c>
      <c r="P983">
        <f t="shared" si="192"/>
        <v>-3.4924596548080444E-10</v>
      </c>
      <c r="Q983">
        <f t="shared" si="193"/>
        <v>-3.4924596548080444E-10</v>
      </c>
    </row>
    <row r="984" spans="2:17" x14ac:dyDescent="0.25">
      <c r="B984" s="18">
        <f t="shared" si="185"/>
        <v>1.584452641983925E-4</v>
      </c>
      <c r="C984" s="18">
        <f t="shared" si="186"/>
        <v>1.5844526419839253E-4</v>
      </c>
      <c r="D984" s="18">
        <f t="shared" si="187"/>
        <v>1.584452641983925E-4</v>
      </c>
      <c r="E984">
        <f t="shared" si="188"/>
        <v>4.6609784476459026E-8</v>
      </c>
      <c r="F984">
        <f t="shared" si="194"/>
        <v>-9.4369170255959034E-9</v>
      </c>
      <c r="G984">
        <f t="shared" si="195"/>
        <v>4.6609784476459026E-8</v>
      </c>
      <c r="L984" s="7">
        <f t="shared" si="189"/>
        <v>4.9720262030229161E-2</v>
      </c>
      <c r="M984" s="7">
        <f t="shared" si="190"/>
        <v>4.9720262030229168E-2</v>
      </c>
      <c r="N984" s="20">
        <f t="shared" si="184"/>
        <v>4.9720262030229168E-2</v>
      </c>
      <c r="O984">
        <f t="shared" si="191"/>
        <v>5.8207660913467407E-10</v>
      </c>
      <c r="P984">
        <f t="shared" si="192"/>
        <v>-3.4924596548080444E-10</v>
      </c>
      <c r="Q984">
        <f t="shared" si="193"/>
        <v>-3.4924596548080444E-10</v>
      </c>
    </row>
    <row r="985" spans="2:17" x14ac:dyDescent="0.25">
      <c r="B985" s="18">
        <f t="shared" si="185"/>
        <v>1.584452641983925E-4</v>
      </c>
      <c r="C985" s="18">
        <f t="shared" si="186"/>
        <v>1.5844526419839253E-4</v>
      </c>
      <c r="D985" s="18">
        <f t="shared" si="187"/>
        <v>1.584452641983925E-4</v>
      </c>
      <c r="E985">
        <f t="shared" si="188"/>
        <v>4.6609784476459026E-8</v>
      </c>
      <c r="F985">
        <f t="shared" si="194"/>
        <v>-9.4369170255959034E-9</v>
      </c>
      <c r="G985">
        <f t="shared" si="195"/>
        <v>4.6609784476459026E-8</v>
      </c>
      <c r="L985" s="7">
        <f t="shared" si="189"/>
        <v>4.9720262030229161E-2</v>
      </c>
      <c r="M985" s="7">
        <f t="shared" si="190"/>
        <v>4.9720262030229168E-2</v>
      </c>
      <c r="N985" s="20">
        <f t="shared" ref="N985:N999" si="196">(L985+M985)/2</f>
        <v>4.9720262030229168E-2</v>
      </c>
      <c r="O985">
        <f t="shared" si="191"/>
        <v>5.8207660913467407E-10</v>
      </c>
      <c r="P985">
        <f t="shared" si="192"/>
        <v>-3.4924596548080444E-10</v>
      </c>
      <c r="Q985">
        <f t="shared" si="193"/>
        <v>-3.4924596548080444E-10</v>
      </c>
    </row>
    <row r="986" spans="2:17" x14ac:dyDescent="0.25">
      <c r="B986" s="18">
        <f t="shared" ref="B986:B999" si="197">IF(E985*G985&lt;0,B985,D985)</f>
        <v>1.584452641983925E-4</v>
      </c>
      <c r="C986" s="18">
        <f t="shared" ref="C986:C999" si="198">IF(F985*G985&lt;0,C985,D985)</f>
        <v>1.5844526419839253E-4</v>
      </c>
      <c r="D986" s="18">
        <f t="shared" ref="D986:D999" si="199">(B986+C986)/2</f>
        <v>1.584452641983925E-4</v>
      </c>
      <c r="E986">
        <f t="shared" ref="E986:E999" si="200">IF($G$8 = "Future Value",$C$5-($D$5*(((1+B986)^($F$5*$G$5)-1)/B986)),$H$5-$D$5*((1-(1+B986)^(-1*$F$5*$G$5))/B986))</f>
        <v>4.6609784476459026E-8</v>
      </c>
      <c r="F986">
        <f t="shared" si="194"/>
        <v>-9.4369170255959034E-9</v>
      </c>
      <c r="G986">
        <f t="shared" si="195"/>
        <v>4.6609784476459026E-8</v>
      </c>
      <c r="L986" s="7">
        <f t="shared" ref="L986:L999" si="201">IF(O985*Q985&lt;0,L985,N985)</f>
        <v>4.9720262030229161E-2</v>
      </c>
      <c r="M986" s="7">
        <f t="shared" ref="M986:M999" si="202">IF(P985*Q985&lt;0,M985,N985)</f>
        <v>4.9720262030229168E-2</v>
      </c>
      <c r="N986" s="20">
        <f t="shared" si="196"/>
        <v>4.9720262030229168E-2</v>
      </c>
      <c r="O986">
        <f t="shared" ref="O986:O999" si="203">IF($Q$8 = "Future Value",$M$5-($N$5*(1+L986)*(((1+L986)^($P$5*$Q$5)-1)/L986)),$R$5-$N$5*(1+L986)*((1-(1+L986)^(-1*$P$5*$Q$5))/L986))</f>
        <v>5.8207660913467407E-10</v>
      </c>
      <c r="P986">
        <f t="shared" ref="P986:P999" si="204">IF($Q$8 = "Future Value",$M$5-($N$5*(1+M986)*(((1+M986)^($P$5*$Q$5)-1)/M986)),$R$5-$N$5*(1+M986)*((1-(1+M986)^(-1*$P$5*$Q$5))/M986))</f>
        <v>-3.4924596548080444E-10</v>
      </c>
      <c r="Q986">
        <f t="shared" ref="Q986:Q999" si="205">IF($Q$8 = "Future Value",$M$5-($N$5*(1+N986)*(((1+N986)^($P$5*$Q$5)-1)/N986)),$R$5-$N$5*(1+N986)*((1-(1+N986)^(-1*$P$5*$Q$5))/N986))</f>
        <v>-3.4924596548080444E-10</v>
      </c>
    </row>
    <row r="987" spans="2:17" x14ac:dyDescent="0.25">
      <c r="B987" s="18">
        <f t="shared" si="197"/>
        <v>1.584452641983925E-4</v>
      </c>
      <c r="C987" s="18">
        <f t="shared" si="198"/>
        <v>1.5844526419839253E-4</v>
      </c>
      <c r="D987" s="18">
        <f t="shared" si="199"/>
        <v>1.584452641983925E-4</v>
      </c>
      <c r="E987">
        <f t="shared" si="200"/>
        <v>4.6609784476459026E-8</v>
      </c>
      <c r="F987">
        <f t="shared" ref="F987:F999" si="206">IF($G$8 = "Future Value",$C$5-($D$5*(((1+C987)^($F$5*$G$5)-1)/C987)),$H$5-$D$5*((1-(1+C987)^(-1*$F$5*$G$5))/C987))</f>
        <v>-9.4369170255959034E-9</v>
      </c>
      <c r="G987">
        <f t="shared" ref="G987:G999" si="207">IF($G$8 = "Future Value",$C$5-($D$5*(((1+D987)^($F$5*$G$5)-1)/D987)),$H$5-$D$5*((1-(1+D987)^(-1*$F$5*$G$5))/D987))</f>
        <v>4.6609784476459026E-8</v>
      </c>
      <c r="L987" s="7">
        <f t="shared" si="201"/>
        <v>4.9720262030229161E-2</v>
      </c>
      <c r="M987" s="7">
        <f t="shared" si="202"/>
        <v>4.9720262030229168E-2</v>
      </c>
      <c r="N987" s="20">
        <f t="shared" si="196"/>
        <v>4.9720262030229168E-2</v>
      </c>
      <c r="O987">
        <f t="shared" si="203"/>
        <v>5.8207660913467407E-10</v>
      </c>
      <c r="P987">
        <f t="shared" si="204"/>
        <v>-3.4924596548080444E-10</v>
      </c>
      <c r="Q987">
        <f t="shared" si="205"/>
        <v>-3.4924596548080444E-10</v>
      </c>
    </row>
    <row r="988" spans="2:17" x14ac:dyDescent="0.25">
      <c r="B988" s="18">
        <f t="shared" si="197"/>
        <v>1.584452641983925E-4</v>
      </c>
      <c r="C988" s="18">
        <f t="shared" si="198"/>
        <v>1.5844526419839253E-4</v>
      </c>
      <c r="D988" s="18">
        <f t="shared" si="199"/>
        <v>1.584452641983925E-4</v>
      </c>
      <c r="E988">
        <f t="shared" si="200"/>
        <v>4.6609784476459026E-8</v>
      </c>
      <c r="F988">
        <f t="shared" si="206"/>
        <v>-9.4369170255959034E-9</v>
      </c>
      <c r="G988">
        <f t="shared" si="207"/>
        <v>4.6609784476459026E-8</v>
      </c>
      <c r="L988" s="7">
        <f t="shared" si="201"/>
        <v>4.9720262030229161E-2</v>
      </c>
      <c r="M988" s="7">
        <f t="shared" si="202"/>
        <v>4.9720262030229168E-2</v>
      </c>
      <c r="N988" s="20">
        <f t="shared" si="196"/>
        <v>4.9720262030229168E-2</v>
      </c>
      <c r="O988">
        <f t="shared" si="203"/>
        <v>5.8207660913467407E-10</v>
      </c>
      <c r="P988">
        <f t="shared" si="204"/>
        <v>-3.4924596548080444E-10</v>
      </c>
      <c r="Q988">
        <f t="shared" si="205"/>
        <v>-3.4924596548080444E-10</v>
      </c>
    </row>
    <row r="989" spans="2:17" x14ac:dyDescent="0.25">
      <c r="B989" s="18">
        <f t="shared" si="197"/>
        <v>1.584452641983925E-4</v>
      </c>
      <c r="C989" s="18">
        <f t="shared" si="198"/>
        <v>1.5844526419839253E-4</v>
      </c>
      <c r="D989" s="18">
        <f t="shared" si="199"/>
        <v>1.584452641983925E-4</v>
      </c>
      <c r="E989">
        <f t="shared" si="200"/>
        <v>4.6609784476459026E-8</v>
      </c>
      <c r="F989">
        <f t="shared" si="206"/>
        <v>-9.4369170255959034E-9</v>
      </c>
      <c r="G989">
        <f t="shared" si="207"/>
        <v>4.6609784476459026E-8</v>
      </c>
      <c r="L989" s="7">
        <f t="shared" si="201"/>
        <v>4.9720262030229161E-2</v>
      </c>
      <c r="M989" s="7">
        <f t="shared" si="202"/>
        <v>4.9720262030229168E-2</v>
      </c>
      <c r="N989" s="20">
        <f t="shared" si="196"/>
        <v>4.9720262030229168E-2</v>
      </c>
      <c r="O989">
        <f t="shared" si="203"/>
        <v>5.8207660913467407E-10</v>
      </c>
      <c r="P989">
        <f t="shared" si="204"/>
        <v>-3.4924596548080444E-10</v>
      </c>
      <c r="Q989">
        <f t="shared" si="205"/>
        <v>-3.4924596548080444E-10</v>
      </c>
    </row>
    <row r="990" spans="2:17" x14ac:dyDescent="0.25">
      <c r="B990" s="18">
        <f t="shared" si="197"/>
        <v>1.584452641983925E-4</v>
      </c>
      <c r="C990" s="18">
        <f t="shared" si="198"/>
        <v>1.5844526419839253E-4</v>
      </c>
      <c r="D990" s="18">
        <f t="shared" si="199"/>
        <v>1.584452641983925E-4</v>
      </c>
      <c r="E990">
        <f t="shared" si="200"/>
        <v>4.6609784476459026E-8</v>
      </c>
      <c r="F990">
        <f t="shared" si="206"/>
        <v>-9.4369170255959034E-9</v>
      </c>
      <c r="G990">
        <f t="shared" si="207"/>
        <v>4.6609784476459026E-8</v>
      </c>
      <c r="L990" s="7">
        <f t="shared" si="201"/>
        <v>4.9720262030229161E-2</v>
      </c>
      <c r="M990" s="7">
        <f t="shared" si="202"/>
        <v>4.9720262030229168E-2</v>
      </c>
      <c r="N990" s="20">
        <f t="shared" si="196"/>
        <v>4.9720262030229168E-2</v>
      </c>
      <c r="O990">
        <f t="shared" si="203"/>
        <v>5.8207660913467407E-10</v>
      </c>
      <c r="P990">
        <f t="shared" si="204"/>
        <v>-3.4924596548080444E-10</v>
      </c>
      <c r="Q990">
        <f t="shared" si="205"/>
        <v>-3.4924596548080444E-10</v>
      </c>
    </row>
    <row r="991" spans="2:17" x14ac:dyDescent="0.25">
      <c r="B991" s="18">
        <f t="shared" si="197"/>
        <v>1.584452641983925E-4</v>
      </c>
      <c r="C991" s="18">
        <f t="shared" si="198"/>
        <v>1.5844526419839253E-4</v>
      </c>
      <c r="D991" s="18">
        <f t="shared" si="199"/>
        <v>1.584452641983925E-4</v>
      </c>
      <c r="E991">
        <f t="shared" si="200"/>
        <v>4.6609784476459026E-8</v>
      </c>
      <c r="F991">
        <f t="shared" si="206"/>
        <v>-9.4369170255959034E-9</v>
      </c>
      <c r="G991">
        <f t="shared" si="207"/>
        <v>4.6609784476459026E-8</v>
      </c>
      <c r="L991" s="7">
        <f t="shared" si="201"/>
        <v>4.9720262030229161E-2</v>
      </c>
      <c r="M991" s="7">
        <f t="shared" si="202"/>
        <v>4.9720262030229168E-2</v>
      </c>
      <c r="N991" s="20">
        <f t="shared" si="196"/>
        <v>4.9720262030229168E-2</v>
      </c>
      <c r="O991">
        <f t="shared" si="203"/>
        <v>5.8207660913467407E-10</v>
      </c>
      <c r="P991">
        <f t="shared" si="204"/>
        <v>-3.4924596548080444E-10</v>
      </c>
      <c r="Q991">
        <f t="shared" si="205"/>
        <v>-3.4924596548080444E-10</v>
      </c>
    </row>
    <row r="992" spans="2:17" x14ac:dyDescent="0.25">
      <c r="B992" s="18">
        <f t="shared" si="197"/>
        <v>1.584452641983925E-4</v>
      </c>
      <c r="C992" s="18">
        <f t="shared" si="198"/>
        <v>1.5844526419839253E-4</v>
      </c>
      <c r="D992" s="18">
        <f t="shared" si="199"/>
        <v>1.584452641983925E-4</v>
      </c>
      <c r="E992">
        <f t="shared" si="200"/>
        <v>4.6609784476459026E-8</v>
      </c>
      <c r="F992">
        <f t="shared" si="206"/>
        <v>-9.4369170255959034E-9</v>
      </c>
      <c r="G992">
        <f t="shared" si="207"/>
        <v>4.6609784476459026E-8</v>
      </c>
      <c r="L992" s="7">
        <f t="shared" si="201"/>
        <v>4.9720262030229161E-2</v>
      </c>
      <c r="M992" s="7">
        <f t="shared" si="202"/>
        <v>4.9720262030229168E-2</v>
      </c>
      <c r="N992" s="20">
        <f t="shared" si="196"/>
        <v>4.9720262030229168E-2</v>
      </c>
      <c r="O992">
        <f t="shared" si="203"/>
        <v>5.8207660913467407E-10</v>
      </c>
      <c r="P992">
        <f t="shared" si="204"/>
        <v>-3.4924596548080444E-10</v>
      </c>
      <c r="Q992">
        <f t="shared" si="205"/>
        <v>-3.4924596548080444E-10</v>
      </c>
    </row>
    <row r="993" spans="2:17" x14ac:dyDescent="0.25">
      <c r="B993" s="18">
        <f t="shared" si="197"/>
        <v>1.584452641983925E-4</v>
      </c>
      <c r="C993" s="18">
        <f t="shared" si="198"/>
        <v>1.5844526419839253E-4</v>
      </c>
      <c r="D993" s="18">
        <f t="shared" si="199"/>
        <v>1.584452641983925E-4</v>
      </c>
      <c r="E993">
        <f t="shared" si="200"/>
        <v>4.6609784476459026E-8</v>
      </c>
      <c r="F993">
        <f t="shared" si="206"/>
        <v>-9.4369170255959034E-9</v>
      </c>
      <c r="G993">
        <f t="shared" si="207"/>
        <v>4.6609784476459026E-8</v>
      </c>
      <c r="L993" s="7">
        <f t="shared" si="201"/>
        <v>4.9720262030229161E-2</v>
      </c>
      <c r="M993" s="7">
        <f t="shared" si="202"/>
        <v>4.9720262030229168E-2</v>
      </c>
      <c r="N993" s="20">
        <f t="shared" si="196"/>
        <v>4.9720262030229168E-2</v>
      </c>
      <c r="O993">
        <f t="shared" si="203"/>
        <v>5.8207660913467407E-10</v>
      </c>
      <c r="P993">
        <f t="shared" si="204"/>
        <v>-3.4924596548080444E-10</v>
      </c>
      <c r="Q993">
        <f t="shared" si="205"/>
        <v>-3.4924596548080444E-10</v>
      </c>
    </row>
    <row r="994" spans="2:17" x14ac:dyDescent="0.25">
      <c r="B994" s="18">
        <f t="shared" si="197"/>
        <v>1.584452641983925E-4</v>
      </c>
      <c r="C994" s="18">
        <f t="shared" si="198"/>
        <v>1.5844526419839253E-4</v>
      </c>
      <c r="D994" s="18">
        <f t="shared" si="199"/>
        <v>1.584452641983925E-4</v>
      </c>
      <c r="E994">
        <f t="shared" si="200"/>
        <v>4.6609784476459026E-8</v>
      </c>
      <c r="F994">
        <f t="shared" si="206"/>
        <v>-9.4369170255959034E-9</v>
      </c>
      <c r="G994">
        <f t="shared" si="207"/>
        <v>4.6609784476459026E-8</v>
      </c>
      <c r="L994" s="7">
        <f t="shared" si="201"/>
        <v>4.9720262030229161E-2</v>
      </c>
      <c r="M994" s="7">
        <f t="shared" si="202"/>
        <v>4.9720262030229168E-2</v>
      </c>
      <c r="N994" s="20">
        <f t="shared" si="196"/>
        <v>4.9720262030229168E-2</v>
      </c>
      <c r="O994">
        <f t="shared" si="203"/>
        <v>5.8207660913467407E-10</v>
      </c>
      <c r="P994">
        <f t="shared" si="204"/>
        <v>-3.4924596548080444E-10</v>
      </c>
      <c r="Q994">
        <f t="shared" si="205"/>
        <v>-3.4924596548080444E-10</v>
      </c>
    </row>
    <row r="995" spans="2:17" x14ac:dyDescent="0.25">
      <c r="B995" s="18">
        <f t="shared" si="197"/>
        <v>1.584452641983925E-4</v>
      </c>
      <c r="C995" s="18">
        <f t="shared" si="198"/>
        <v>1.5844526419839253E-4</v>
      </c>
      <c r="D995" s="18">
        <f t="shared" si="199"/>
        <v>1.584452641983925E-4</v>
      </c>
      <c r="E995">
        <f t="shared" si="200"/>
        <v>4.6609784476459026E-8</v>
      </c>
      <c r="F995">
        <f t="shared" si="206"/>
        <v>-9.4369170255959034E-9</v>
      </c>
      <c r="G995">
        <f t="shared" si="207"/>
        <v>4.6609784476459026E-8</v>
      </c>
      <c r="L995" s="7">
        <f t="shared" si="201"/>
        <v>4.9720262030229161E-2</v>
      </c>
      <c r="M995" s="7">
        <f t="shared" si="202"/>
        <v>4.9720262030229168E-2</v>
      </c>
      <c r="N995" s="20">
        <f t="shared" si="196"/>
        <v>4.9720262030229168E-2</v>
      </c>
      <c r="O995">
        <f t="shared" si="203"/>
        <v>5.8207660913467407E-10</v>
      </c>
      <c r="P995">
        <f t="shared" si="204"/>
        <v>-3.4924596548080444E-10</v>
      </c>
      <c r="Q995">
        <f t="shared" si="205"/>
        <v>-3.4924596548080444E-10</v>
      </c>
    </row>
    <row r="996" spans="2:17" x14ac:dyDescent="0.25">
      <c r="B996" s="18">
        <f t="shared" si="197"/>
        <v>1.584452641983925E-4</v>
      </c>
      <c r="C996" s="18">
        <f t="shared" si="198"/>
        <v>1.5844526419839253E-4</v>
      </c>
      <c r="D996" s="18">
        <f t="shared" si="199"/>
        <v>1.584452641983925E-4</v>
      </c>
      <c r="E996">
        <f t="shared" si="200"/>
        <v>4.6609784476459026E-8</v>
      </c>
      <c r="F996">
        <f t="shared" si="206"/>
        <v>-9.4369170255959034E-9</v>
      </c>
      <c r="G996">
        <f t="shared" si="207"/>
        <v>4.6609784476459026E-8</v>
      </c>
      <c r="L996" s="7">
        <f t="shared" si="201"/>
        <v>4.9720262030229161E-2</v>
      </c>
      <c r="M996" s="7">
        <f t="shared" si="202"/>
        <v>4.9720262030229168E-2</v>
      </c>
      <c r="N996" s="20">
        <f t="shared" si="196"/>
        <v>4.9720262030229168E-2</v>
      </c>
      <c r="O996">
        <f t="shared" si="203"/>
        <v>5.8207660913467407E-10</v>
      </c>
      <c r="P996">
        <f t="shared" si="204"/>
        <v>-3.4924596548080444E-10</v>
      </c>
      <c r="Q996">
        <f t="shared" si="205"/>
        <v>-3.4924596548080444E-10</v>
      </c>
    </row>
    <row r="997" spans="2:17" x14ac:dyDescent="0.25">
      <c r="B997" s="18">
        <f t="shared" si="197"/>
        <v>1.584452641983925E-4</v>
      </c>
      <c r="C997" s="18">
        <f t="shared" si="198"/>
        <v>1.5844526419839253E-4</v>
      </c>
      <c r="D997" s="18">
        <f t="shared" si="199"/>
        <v>1.584452641983925E-4</v>
      </c>
      <c r="E997">
        <f t="shared" si="200"/>
        <v>4.6609784476459026E-8</v>
      </c>
      <c r="F997">
        <f t="shared" si="206"/>
        <v>-9.4369170255959034E-9</v>
      </c>
      <c r="G997">
        <f t="shared" si="207"/>
        <v>4.6609784476459026E-8</v>
      </c>
      <c r="L997" s="7">
        <f t="shared" si="201"/>
        <v>4.9720262030229161E-2</v>
      </c>
      <c r="M997" s="7">
        <f t="shared" si="202"/>
        <v>4.9720262030229168E-2</v>
      </c>
      <c r="N997" s="20">
        <f t="shared" si="196"/>
        <v>4.9720262030229168E-2</v>
      </c>
      <c r="O997">
        <f t="shared" si="203"/>
        <v>5.8207660913467407E-10</v>
      </c>
      <c r="P997">
        <f t="shared" si="204"/>
        <v>-3.4924596548080444E-10</v>
      </c>
      <c r="Q997">
        <f t="shared" si="205"/>
        <v>-3.4924596548080444E-10</v>
      </c>
    </row>
    <row r="998" spans="2:17" x14ac:dyDescent="0.25">
      <c r="B998" s="18">
        <f t="shared" si="197"/>
        <v>1.584452641983925E-4</v>
      </c>
      <c r="C998" s="18">
        <f t="shared" si="198"/>
        <v>1.5844526419839253E-4</v>
      </c>
      <c r="D998" s="18">
        <f t="shared" si="199"/>
        <v>1.584452641983925E-4</v>
      </c>
      <c r="E998">
        <f t="shared" si="200"/>
        <v>4.6609784476459026E-8</v>
      </c>
      <c r="F998">
        <f t="shared" si="206"/>
        <v>-9.4369170255959034E-9</v>
      </c>
      <c r="G998">
        <f t="shared" si="207"/>
        <v>4.6609784476459026E-8</v>
      </c>
      <c r="L998" s="7">
        <f t="shared" si="201"/>
        <v>4.9720262030229161E-2</v>
      </c>
      <c r="M998" s="7">
        <f t="shared" si="202"/>
        <v>4.9720262030229168E-2</v>
      </c>
      <c r="N998" s="20">
        <f t="shared" si="196"/>
        <v>4.9720262030229168E-2</v>
      </c>
      <c r="O998">
        <f t="shared" si="203"/>
        <v>5.8207660913467407E-10</v>
      </c>
      <c r="P998">
        <f t="shared" si="204"/>
        <v>-3.4924596548080444E-10</v>
      </c>
      <c r="Q998">
        <f t="shared" si="205"/>
        <v>-3.4924596548080444E-10</v>
      </c>
    </row>
    <row r="999" spans="2:17" x14ac:dyDescent="0.25">
      <c r="B999" s="18">
        <f t="shared" si="197"/>
        <v>1.584452641983925E-4</v>
      </c>
      <c r="C999" s="18">
        <f t="shared" si="198"/>
        <v>1.5844526419839253E-4</v>
      </c>
      <c r="D999" s="20">
        <f t="shared" si="199"/>
        <v>1.584452641983925E-4</v>
      </c>
      <c r="E999">
        <f t="shared" si="200"/>
        <v>4.6609784476459026E-8</v>
      </c>
      <c r="F999">
        <f t="shared" si="206"/>
        <v>-9.4369170255959034E-9</v>
      </c>
      <c r="G999">
        <f t="shared" si="207"/>
        <v>4.6609784476459026E-8</v>
      </c>
      <c r="L999" s="7">
        <f t="shared" si="201"/>
        <v>4.9720262030229161E-2</v>
      </c>
      <c r="M999" s="7">
        <f t="shared" si="202"/>
        <v>4.9720262030229168E-2</v>
      </c>
      <c r="N999" s="20">
        <f t="shared" si="196"/>
        <v>4.9720262030229168E-2</v>
      </c>
      <c r="O999">
        <f t="shared" si="203"/>
        <v>5.8207660913467407E-10</v>
      </c>
      <c r="P999">
        <f t="shared" si="204"/>
        <v>-3.4924596548080444E-10</v>
      </c>
      <c r="Q999">
        <f t="shared" si="205"/>
        <v>-3.4924596548080444E-10</v>
      </c>
    </row>
  </sheetData>
  <mergeCells count="5">
    <mergeCell ref="L18:U20"/>
    <mergeCell ref="M1:R3"/>
    <mergeCell ref="B18:H20"/>
    <mergeCell ref="C1:H3"/>
    <mergeCell ref="V22:Z22"/>
  </mergeCells>
  <pageMargins left="0.7" right="0.7" top="0.75" bottom="0.75" header="0.3" footer="0.3"/>
  <pageSetup orientation="portrait" horizontalDpi="300" verticalDpi="0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636E6-4E83-4B4A-8DCA-166DE2AD9B6D}">
  <sheetPr codeName="Sheet4"/>
  <dimension ref="A1:W14"/>
  <sheetViews>
    <sheetView workbookViewId="0">
      <selection activeCell="J13" sqref="J13"/>
    </sheetView>
  </sheetViews>
  <sheetFormatPr defaultRowHeight="13.8" x14ac:dyDescent="0.25"/>
  <cols>
    <col min="1" max="1" width="18.19921875" customWidth="1"/>
    <col min="18" max="18" width="11.59765625" customWidth="1"/>
  </cols>
  <sheetData>
    <row r="1" spans="1:23" x14ac:dyDescent="0.25">
      <c r="A1" s="1" t="s">
        <v>2</v>
      </c>
      <c r="C1" t="s">
        <v>14</v>
      </c>
      <c r="E1" t="s">
        <v>16</v>
      </c>
      <c r="G1" t="s">
        <v>31</v>
      </c>
      <c r="J1" t="s">
        <v>34</v>
      </c>
      <c r="M1" t="s">
        <v>5</v>
      </c>
      <c r="O1" t="s">
        <v>31</v>
      </c>
      <c r="R1" t="s">
        <v>130</v>
      </c>
      <c r="U1" t="str">
        <f>"@ time"</f>
        <v>@ time</v>
      </c>
      <c r="W1" t="s">
        <v>134</v>
      </c>
    </row>
    <row r="2" spans="1:23" x14ac:dyDescent="0.25">
      <c r="A2" s="1" t="s">
        <v>6</v>
      </c>
      <c r="C2" t="s">
        <v>15</v>
      </c>
      <c r="E2" t="s">
        <v>17</v>
      </c>
      <c r="G2" t="s">
        <v>32</v>
      </c>
      <c r="J2" t="s">
        <v>37</v>
      </c>
      <c r="M2" t="s">
        <v>42</v>
      </c>
      <c r="O2" t="s">
        <v>32</v>
      </c>
      <c r="R2" t="s">
        <v>88</v>
      </c>
      <c r="U2" t="s">
        <v>132</v>
      </c>
      <c r="W2" t="s">
        <v>135</v>
      </c>
    </row>
    <row r="3" spans="1:23" x14ac:dyDescent="0.25">
      <c r="A3" s="1" t="s">
        <v>4</v>
      </c>
      <c r="G3" t="s">
        <v>33</v>
      </c>
      <c r="O3" t="s">
        <v>89</v>
      </c>
      <c r="R3" t="s">
        <v>116</v>
      </c>
      <c r="U3" t="s">
        <v>133</v>
      </c>
    </row>
    <row r="4" spans="1:23" x14ac:dyDescent="0.25">
      <c r="A4" s="1" t="s">
        <v>5</v>
      </c>
      <c r="G4" t="s">
        <v>34</v>
      </c>
      <c r="R4" t="s">
        <v>114</v>
      </c>
    </row>
    <row r="5" spans="1:23" x14ac:dyDescent="0.25">
      <c r="A5" s="1" t="s">
        <v>201</v>
      </c>
      <c r="G5" t="s">
        <v>62</v>
      </c>
      <c r="R5" t="s">
        <v>82</v>
      </c>
    </row>
    <row r="6" spans="1:23" x14ac:dyDescent="0.25">
      <c r="A6" s="1" t="s">
        <v>137</v>
      </c>
      <c r="G6" t="s">
        <v>88</v>
      </c>
      <c r="R6" t="s">
        <v>33</v>
      </c>
    </row>
    <row r="7" spans="1:23" x14ac:dyDescent="0.25">
      <c r="J7" t="s">
        <v>207</v>
      </c>
      <c r="M7" t="s">
        <v>274</v>
      </c>
      <c r="R7" t="s">
        <v>131</v>
      </c>
    </row>
    <row r="8" spans="1:23" x14ac:dyDescent="0.25">
      <c r="A8" s="70" t="s">
        <v>44</v>
      </c>
      <c r="D8" t="s">
        <v>189</v>
      </c>
      <c r="J8" t="s">
        <v>206</v>
      </c>
      <c r="M8" t="s">
        <v>275</v>
      </c>
    </row>
    <row r="9" spans="1:23" x14ac:dyDescent="0.25">
      <c r="D9" t="s">
        <v>34</v>
      </c>
    </row>
    <row r="10" spans="1:23" x14ac:dyDescent="0.25">
      <c r="A10" s="71" t="s">
        <v>44</v>
      </c>
      <c r="F10" t="s">
        <v>262</v>
      </c>
    </row>
    <row r="11" spans="1:23" x14ac:dyDescent="0.25">
      <c r="F11" t="s">
        <v>261</v>
      </c>
      <c r="J11" t="s">
        <v>52</v>
      </c>
    </row>
    <row r="12" spans="1:23" x14ac:dyDescent="0.25">
      <c r="F12" t="s">
        <v>88</v>
      </c>
      <c r="J12" t="s">
        <v>88</v>
      </c>
    </row>
    <row r="13" spans="1:23" x14ac:dyDescent="0.25">
      <c r="A13" t="s">
        <v>279</v>
      </c>
    </row>
    <row r="14" spans="1:23" x14ac:dyDescent="0.25">
      <c r="A14" t="s">
        <v>280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364549B-B4E5-4B92-862D-16DF62ADCC1E}">
            <xm:f>'Annuity-In advance'!$D$11:$K$12="Interest"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14:cfRule type="expression" priority="2" id="{45B04870-0088-4BFA-BBA2-A0B49979F4AE}">
            <xm:f>'Single Investment'!J19="No"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86FD6-80E4-4175-8CF3-AD9FAEFD3FDA}">
  <sheetPr codeName="Sheet5"/>
  <dimension ref="A1:AI31"/>
  <sheetViews>
    <sheetView zoomScale="92" zoomScaleNormal="150" workbookViewId="0">
      <selection activeCell="F7" sqref="F7"/>
    </sheetView>
  </sheetViews>
  <sheetFormatPr defaultRowHeight="13.8" x14ac:dyDescent="0.25"/>
  <cols>
    <col min="1" max="1" width="25.19921875" customWidth="1"/>
    <col min="2" max="2" width="15.09765625" customWidth="1"/>
    <col min="3" max="3" width="16.59765625" bestFit="1" customWidth="1"/>
    <col min="4" max="4" width="11" customWidth="1"/>
    <col min="5" max="5" width="11.69921875" customWidth="1"/>
    <col min="6" max="6" width="11.19921875" customWidth="1"/>
    <col min="10" max="10" width="15.296875" customWidth="1"/>
    <col min="17" max="17" width="14.69921875" bestFit="1" customWidth="1"/>
    <col min="24" max="24" width="9.09765625" bestFit="1" customWidth="1"/>
    <col min="25" max="25" width="8.8984375" bestFit="1" customWidth="1"/>
    <col min="26" max="26" width="9.09765625" bestFit="1" customWidth="1"/>
    <col min="27" max="27" width="8.8984375" bestFit="1" customWidth="1"/>
    <col min="28" max="28" width="9.09765625" bestFit="1" customWidth="1"/>
    <col min="30" max="30" width="8.8984375" bestFit="1" customWidth="1"/>
    <col min="31" max="31" width="11.09765625" bestFit="1" customWidth="1"/>
    <col min="32" max="32" width="9.09765625" bestFit="1" customWidth="1"/>
    <col min="33" max="33" width="10.09765625" bestFit="1" customWidth="1"/>
    <col min="34" max="34" width="9.09765625" bestFit="1" customWidth="1"/>
    <col min="35" max="35" width="10.09765625" bestFit="1" customWidth="1"/>
  </cols>
  <sheetData>
    <row r="1" spans="1:35" ht="19.8" thickBot="1" x14ac:dyDescent="0.4">
      <c r="A1" s="1"/>
      <c r="B1" s="1"/>
      <c r="C1" s="127" t="s">
        <v>0</v>
      </c>
      <c r="D1" s="1"/>
      <c r="E1" s="1"/>
      <c r="H1" s="189"/>
      <c r="I1" s="1">
        <v>1</v>
      </c>
      <c r="J1" s="1"/>
      <c r="K1" s="127" t="s">
        <v>0</v>
      </c>
      <c r="L1" s="1"/>
      <c r="M1" s="1"/>
      <c r="O1" s="189"/>
      <c r="P1" s="1">
        <v>2</v>
      </c>
      <c r="Q1" s="1"/>
      <c r="R1" s="127" t="s">
        <v>0</v>
      </c>
      <c r="S1" s="1"/>
      <c r="T1" s="1"/>
      <c r="V1" s="189"/>
      <c r="W1" s="1">
        <v>3</v>
      </c>
      <c r="X1" s="1"/>
      <c r="Y1" s="127" t="s">
        <v>0</v>
      </c>
      <c r="Z1" s="1"/>
      <c r="AA1" s="1"/>
      <c r="AC1" s="189"/>
      <c r="AD1" s="1">
        <v>4</v>
      </c>
      <c r="AE1" s="1"/>
      <c r="AF1" s="127" t="s">
        <v>0</v>
      </c>
      <c r="AG1" s="1"/>
      <c r="AH1" s="1"/>
    </row>
    <row r="2" spans="1:35" ht="14.4" thickTop="1" x14ac:dyDescent="0.25">
      <c r="A2" s="125" t="s">
        <v>8</v>
      </c>
      <c r="B2" s="1"/>
      <c r="C2" s="1"/>
      <c r="D2" s="126" t="s">
        <v>7</v>
      </c>
      <c r="E2" s="1"/>
      <c r="H2" s="189"/>
      <c r="I2" s="125" t="s">
        <v>8</v>
      </c>
      <c r="J2" s="1"/>
      <c r="K2" s="1"/>
      <c r="L2" s="126" t="s">
        <v>7</v>
      </c>
      <c r="M2" s="1"/>
      <c r="O2" s="189"/>
      <c r="P2" s="125" t="s">
        <v>8</v>
      </c>
      <c r="Q2" s="1"/>
      <c r="R2" s="1"/>
      <c r="S2" s="126" t="s">
        <v>7</v>
      </c>
      <c r="T2" s="1"/>
      <c r="V2" s="189"/>
      <c r="W2" s="125" t="s">
        <v>8</v>
      </c>
      <c r="X2" s="1"/>
      <c r="Y2" s="1"/>
      <c r="Z2" s="126" t="s">
        <v>7</v>
      </c>
      <c r="AA2" s="1"/>
      <c r="AC2" s="189"/>
      <c r="AD2" s="125" t="s">
        <v>8</v>
      </c>
      <c r="AE2" s="1"/>
      <c r="AF2" s="1"/>
      <c r="AG2" s="126" t="s">
        <v>7</v>
      </c>
      <c r="AH2" s="1"/>
    </row>
    <row r="3" spans="1:35" x14ac:dyDescent="0.25">
      <c r="A3" s="124" t="s">
        <v>9</v>
      </c>
      <c r="B3" s="128">
        <f>Converter!F9</f>
        <v>4.65E-2</v>
      </c>
      <c r="C3" s="1"/>
      <c r="D3" s="126"/>
      <c r="E3" s="1"/>
      <c r="H3" s="189"/>
      <c r="I3" s="124" t="s">
        <v>9</v>
      </c>
      <c r="J3" s="128">
        <f>'Convert changing interests'!D23</f>
        <v>0.01</v>
      </c>
      <c r="K3" s="1"/>
      <c r="L3" s="126"/>
      <c r="M3" s="1">
        <f>'Convert changing interests'!G23</f>
        <v>0.02</v>
      </c>
      <c r="O3" s="189"/>
      <c r="P3" s="124" t="s">
        <v>9</v>
      </c>
      <c r="Q3" s="128">
        <f>'Convert changing interests'!G23</f>
        <v>0.02</v>
      </c>
      <c r="R3" s="1"/>
      <c r="S3" s="126"/>
      <c r="T3" s="1"/>
      <c r="V3" s="189"/>
      <c r="W3" s="124" t="s">
        <v>9</v>
      </c>
      <c r="X3" s="128">
        <f>'Convert changing interests'!D30</f>
        <v>0.08</v>
      </c>
      <c r="Y3" s="1"/>
      <c r="Z3" s="126"/>
      <c r="AA3" s="1"/>
      <c r="AC3" s="189"/>
      <c r="AD3" s="124" t="s">
        <v>9</v>
      </c>
      <c r="AE3" s="128">
        <f>'Convert changing interests'!G30</f>
        <v>0.89</v>
      </c>
      <c r="AF3" s="1"/>
      <c r="AG3" s="126"/>
      <c r="AH3" s="1"/>
    </row>
    <row r="4" spans="1:35" x14ac:dyDescent="0.25">
      <c r="A4" s="124" t="s">
        <v>10</v>
      </c>
      <c r="B4" s="129">
        <f>Converter!F12</f>
        <v>2</v>
      </c>
      <c r="C4" s="1"/>
      <c r="D4" s="126" t="s">
        <v>10</v>
      </c>
      <c r="E4" s="129">
        <f>Converter!T14</f>
        <v>4</v>
      </c>
      <c r="H4" s="189"/>
      <c r="I4" s="124" t="s">
        <v>10</v>
      </c>
      <c r="J4" s="129">
        <f>'Convert changing interests'!D25</f>
        <v>12</v>
      </c>
      <c r="K4" s="1"/>
      <c r="L4" s="126" t="s">
        <v>10</v>
      </c>
      <c r="M4" s="129">
        <v>12</v>
      </c>
      <c r="O4" s="189"/>
      <c r="P4" s="124" t="s">
        <v>10</v>
      </c>
      <c r="Q4" s="129">
        <f>'Convert changing interests'!G25</f>
        <v>12</v>
      </c>
      <c r="R4" s="1"/>
      <c r="S4" s="126" t="s">
        <v>10</v>
      </c>
      <c r="T4" s="129">
        <v>12</v>
      </c>
      <c r="V4" s="189"/>
      <c r="W4" s="124" t="s">
        <v>10</v>
      </c>
      <c r="X4" s="129">
        <f>'Convert changing interests'!D32</f>
        <v>4</v>
      </c>
      <c r="Y4" s="1"/>
      <c r="Z4" s="126" t="s">
        <v>10</v>
      </c>
      <c r="AA4" s="129">
        <v>12</v>
      </c>
      <c r="AC4" s="189"/>
      <c r="AD4" s="124" t="s">
        <v>10</v>
      </c>
      <c r="AE4" s="129">
        <f>'Convert changing interests'!G32</f>
        <v>4</v>
      </c>
      <c r="AF4" s="1"/>
      <c r="AG4" s="126" t="s">
        <v>10</v>
      </c>
      <c r="AH4" s="129">
        <v>12</v>
      </c>
    </row>
    <row r="5" spans="1:35" x14ac:dyDescent="0.25">
      <c r="A5" s="124" t="s">
        <v>11</v>
      </c>
      <c r="B5" s="129">
        <f>Converter!F19</f>
        <v>1</v>
      </c>
      <c r="C5" s="1"/>
      <c r="D5" s="126" t="s">
        <v>11</v>
      </c>
      <c r="E5" s="129">
        <f>Converter!T10</f>
        <v>1</v>
      </c>
      <c r="H5" s="189"/>
      <c r="I5" s="124" t="s">
        <v>11</v>
      </c>
      <c r="J5" s="129">
        <f>'Convert changing interests'!D26/12</f>
        <v>1</v>
      </c>
      <c r="K5" s="1"/>
      <c r="L5" s="126" t="s">
        <v>11</v>
      </c>
      <c r="M5" s="129">
        <f>J5</f>
        <v>1</v>
      </c>
      <c r="O5" s="189"/>
      <c r="P5" s="124" t="s">
        <v>11</v>
      </c>
      <c r="Q5" s="129">
        <f>'Convert changing interests'!G26/12</f>
        <v>0.33333333333333331</v>
      </c>
      <c r="R5" s="1"/>
      <c r="S5" s="126" t="s">
        <v>11</v>
      </c>
      <c r="T5" s="129">
        <f>Q5</f>
        <v>0.33333333333333331</v>
      </c>
      <c r="V5" s="189"/>
      <c r="W5" s="124" t="s">
        <v>11</v>
      </c>
      <c r="X5" s="129">
        <f>'Convert changing interests'!D33/12</f>
        <v>0.25</v>
      </c>
      <c r="Y5" s="1"/>
      <c r="Z5" s="126" t="s">
        <v>11</v>
      </c>
      <c r="AA5" s="129">
        <f>X5</f>
        <v>0.25</v>
      </c>
      <c r="AC5" s="189"/>
      <c r="AD5" s="124" t="s">
        <v>11</v>
      </c>
      <c r="AE5" s="129">
        <f>'Convert changing interests'!G33/12</f>
        <v>0.41666666666666669</v>
      </c>
      <c r="AF5" s="1"/>
      <c r="AG5" s="126" t="s">
        <v>11</v>
      </c>
      <c r="AH5" s="129">
        <f>AE5</f>
        <v>0.41666666666666669</v>
      </c>
    </row>
    <row r="6" spans="1:35" x14ac:dyDescent="0.25">
      <c r="A6" s="1"/>
      <c r="B6" s="1"/>
      <c r="C6" s="1"/>
      <c r="D6" s="1"/>
      <c r="E6" s="1"/>
      <c r="H6" s="189"/>
      <c r="I6" s="1"/>
      <c r="J6" s="1"/>
      <c r="K6" s="1"/>
      <c r="L6" s="1"/>
      <c r="M6" s="1"/>
      <c r="O6" s="189"/>
      <c r="P6" s="1"/>
      <c r="Q6" s="1"/>
      <c r="R6" s="1"/>
      <c r="S6" s="1"/>
      <c r="T6" s="1"/>
      <c r="V6" s="189"/>
      <c r="W6" s="1"/>
      <c r="X6" s="1"/>
      <c r="Y6" s="1"/>
      <c r="Z6" s="1"/>
      <c r="AA6" s="1"/>
      <c r="AC6" s="189"/>
      <c r="AD6" s="1"/>
      <c r="AE6" s="1"/>
      <c r="AF6" s="1"/>
      <c r="AG6" s="1"/>
      <c r="AH6" s="1"/>
    </row>
    <row r="7" spans="1:35" ht="19.8" thickBot="1" x14ac:dyDescent="0.4">
      <c r="A7" s="127" t="s">
        <v>1</v>
      </c>
      <c r="B7" s="121" t="s">
        <v>2</v>
      </c>
      <c r="C7" s="121" t="s">
        <v>6</v>
      </c>
      <c r="D7" s="122" t="s">
        <v>4</v>
      </c>
      <c r="E7" s="122" t="s">
        <v>5</v>
      </c>
      <c r="F7" s="123" t="s">
        <v>137</v>
      </c>
      <c r="H7" s="189"/>
      <c r="I7" s="127" t="s">
        <v>1</v>
      </c>
      <c r="J7" s="121" t="s">
        <v>2</v>
      </c>
      <c r="K7" s="121" t="s">
        <v>6</v>
      </c>
      <c r="L7" s="122" t="s">
        <v>4</v>
      </c>
      <c r="M7" s="122" t="s">
        <v>5</v>
      </c>
      <c r="N7" s="123" t="s">
        <v>137</v>
      </c>
      <c r="O7" s="189"/>
      <c r="P7" s="127" t="s">
        <v>1</v>
      </c>
      <c r="Q7" s="121" t="s">
        <v>2</v>
      </c>
      <c r="R7" s="121" t="s">
        <v>6</v>
      </c>
      <c r="S7" s="122" t="s">
        <v>4</v>
      </c>
      <c r="T7" s="122" t="s">
        <v>5</v>
      </c>
      <c r="U7" s="123" t="s">
        <v>137</v>
      </c>
      <c r="V7" s="189"/>
      <c r="W7" s="127" t="s">
        <v>1</v>
      </c>
      <c r="X7" s="121" t="s">
        <v>2</v>
      </c>
      <c r="Y7" s="121" t="s">
        <v>6</v>
      </c>
      <c r="Z7" s="122" t="s">
        <v>4</v>
      </c>
      <c r="AA7" s="122" t="s">
        <v>5</v>
      </c>
      <c r="AB7" s="123" t="s">
        <v>137</v>
      </c>
      <c r="AC7" s="189"/>
      <c r="AD7" s="127" t="s">
        <v>1</v>
      </c>
      <c r="AE7" s="121" t="s">
        <v>2</v>
      </c>
      <c r="AF7" s="121" t="s">
        <v>6</v>
      </c>
      <c r="AG7" s="122" t="s">
        <v>4</v>
      </c>
      <c r="AH7" s="122" t="s">
        <v>5</v>
      </c>
      <c r="AI7" s="123" t="s">
        <v>137</v>
      </c>
    </row>
    <row r="8" spans="1:35" ht="14.4" thickTop="1" x14ac:dyDescent="0.25">
      <c r="A8" s="124" t="s">
        <v>2</v>
      </c>
      <c r="B8" s="130">
        <f>B3</f>
        <v>4.65E-2</v>
      </c>
      <c r="C8" s="131">
        <f>((1+(B3))^(1/E4))-1</f>
        <v>1.1427617728407169E-2</v>
      </c>
      <c r="D8" s="131">
        <f>(((1+B3)^(1/E4))-1)*E4</f>
        <v>4.5710470913628676E-2</v>
      </c>
      <c r="E8" s="131">
        <f>((1+B3)^(B5)-1)/(E4*E5)</f>
        <v>1.1624999999999996E-2</v>
      </c>
      <c r="F8" s="132">
        <f>(B5*LN(1+B3))/E5</f>
        <v>4.5451262903917357E-2</v>
      </c>
      <c r="H8" s="189"/>
      <c r="I8" s="124" t="s">
        <v>2</v>
      </c>
      <c r="J8" s="130">
        <f>J3</f>
        <v>0.01</v>
      </c>
      <c r="K8" s="131">
        <f>((1+(J3))^(1/M4))-1</f>
        <v>8.295381143461622E-4</v>
      </c>
      <c r="L8" s="131">
        <f>(((1+J3)^(1/M4))-1)*M4</f>
        <v>9.9544573721539464E-3</v>
      </c>
      <c r="M8" s="131">
        <f>((1+J3)^(J5)-1)/(M4*M5)</f>
        <v>8.3333333333333404E-4</v>
      </c>
      <c r="N8" s="132">
        <f>(J5*LN(1+J3))/M5</f>
        <v>9.950330853168092E-3</v>
      </c>
      <c r="O8" s="189"/>
      <c r="P8" s="124" t="s">
        <v>2</v>
      </c>
      <c r="Q8" s="130">
        <f>Q3</f>
        <v>0.02</v>
      </c>
      <c r="R8" s="131">
        <f>((1+(Q3))^(1/T4))-1</f>
        <v>1.6515813019202241E-3</v>
      </c>
      <c r="S8" s="131">
        <f>(((1+Q3)^(1/T4))-1)*T4</f>
        <v>1.9818975623042689E-2</v>
      </c>
      <c r="T8" s="131">
        <f>((1+Q3)^(Q5)-1)/(T4*T5)</f>
        <v>1.655677390028254E-3</v>
      </c>
      <c r="U8" s="132">
        <f>(Q5*LN(1+Q3))/T5</f>
        <v>1.980262729617973E-2</v>
      </c>
      <c r="V8" s="189"/>
      <c r="W8" s="124" t="s">
        <v>2</v>
      </c>
      <c r="X8" s="130">
        <f>X3</f>
        <v>0.08</v>
      </c>
      <c r="Y8" s="131">
        <f>((1+(X3))^(1/AA4))-1</f>
        <v>6.4340301100034303E-3</v>
      </c>
      <c r="Z8" s="131">
        <f>(((1+X3)^(1/AA4))-1)*AA4</f>
        <v>7.7208361320041163E-2</v>
      </c>
      <c r="AA8" s="131">
        <f>((1+X3)^(X5)-1)/(AA4*AA5)</f>
        <v>6.475515636091167E-3</v>
      </c>
      <c r="AB8" s="132">
        <f>(X5*LN(1+X3))/AA5</f>
        <v>7.6961041136128394E-2</v>
      </c>
      <c r="AC8" s="189"/>
      <c r="AD8" s="124" t="s">
        <v>2</v>
      </c>
      <c r="AE8" s="130">
        <f>AE3</f>
        <v>0.89</v>
      </c>
      <c r="AF8" s="131">
        <f>((1+(AE3))^(1/AH4))-1</f>
        <v>5.4480331810345284E-2</v>
      </c>
      <c r="AG8" s="131">
        <f>(((1+AE3)^(1/AH4))-1)*AH4</f>
        <v>0.65376398172414341</v>
      </c>
      <c r="AH8" s="131">
        <f>((1+AE3)^(AE5)-1)/(AH4*AH5)</f>
        <v>6.0748857425633497E-2</v>
      </c>
      <c r="AI8" s="132">
        <f>(AE5*LN(1+AE3))/AH5</f>
        <v>0.63657682907155111</v>
      </c>
    </row>
    <row r="9" spans="1:35" x14ac:dyDescent="0.25">
      <c r="A9" s="124" t="s">
        <v>3</v>
      </c>
      <c r="B9" s="131">
        <f>((1+(B3))^(B4))-1</f>
        <v>9.5162250000000004E-2</v>
      </c>
      <c r="C9" s="131">
        <f>((1+(B3))^(B4/E4))-1</f>
        <v>2.298582590376097E-2</v>
      </c>
      <c r="D9" s="131">
        <f>(((1+B3)^(B4/E4))-1)*(E4)</f>
        <v>9.1943303615043881E-2</v>
      </c>
      <c r="E9" s="131">
        <f>((1+B3)^(B4*B5)-1)/(E4*E5)</f>
        <v>2.3790562500000001E-2</v>
      </c>
      <c r="F9" s="132">
        <f>(B5*B4*LN(1+B3))/E5</f>
        <v>9.0902525807834714E-2</v>
      </c>
      <c r="H9" s="189"/>
      <c r="I9" s="124" t="s">
        <v>3</v>
      </c>
      <c r="J9" s="131">
        <f>((1+(J3))^(J4))-1</f>
        <v>0.12682503013196977</v>
      </c>
      <c r="K9" s="131">
        <f>((1+(J3))^(J4/M4))-1</f>
        <v>1.0000000000000009E-2</v>
      </c>
      <c r="L9" s="131">
        <f>(((1+J3)^(J4/M4))-1)*(M4)</f>
        <v>0.12000000000000011</v>
      </c>
      <c r="M9" s="131">
        <f>((1+J3)^(J4*J5)-1)/(M4*M5)</f>
        <v>1.0568752510997481E-2</v>
      </c>
      <c r="N9" s="132">
        <f>(J5*J4*LN(1+J3))/M5</f>
        <v>0.1194039702380171</v>
      </c>
      <c r="O9" s="189"/>
      <c r="P9" s="124" t="s">
        <v>3</v>
      </c>
      <c r="Q9" s="131">
        <f>((1+(Q3))^(Q4))-1</f>
        <v>0.26824179456254527</v>
      </c>
      <c r="R9" s="131">
        <f>((1+(Q3))^(Q4/T4))-1</f>
        <v>2.0000000000000018E-2</v>
      </c>
      <c r="S9" s="131">
        <f>(((1+Q3)^(Q4/T4))-1)*(T4)</f>
        <v>0.24000000000000021</v>
      </c>
      <c r="T9" s="131">
        <f>((1+Q3)^(Q4*Q5)-1)/(T4*T5)</f>
        <v>2.0608039999999994E-2</v>
      </c>
      <c r="U9" s="132">
        <f>(Q5*Q4*LN(1+Q3))/T5</f>
        <v>0.23763152755415676</v>
      </c>
      <c r="V9" s="189"/>
      <c r="W9" s="124" t="s">
        <v>3</v>
      </c>
      <c r="X9" s="131">
        <f>((1+(X3))^(X4))-1</f>
        <v>0.3604889600000003</v>
      </c>
      <c r="Y9" s="131">
        <f>((1+(X3))^(X4/AA4))-1</f>
        <v>2.5985568006018145E-2</v>
      </c>
      <c r="Z9" s="131">
        <f>(((1+X3)^(X4/AA4))-1)*(AA4)</f>
        <v>0.31182681607221774</v>
      </c>
      <c r="AA9" s="131">
        <f>((1+X3)^(X4*X5)-1)/(AA4*AA5)</f>
        <v>2.6666666666666689E-2</v>
      </c>
      <c r="AB9" s="132">
        <f>(X5*X4*LN(1+X3))/AA5</f>
        <v>0.30784416454451358</v>
      </c>
      <c r="AC9" s="189"/>
      <c r="AD9" s="124" t="s">
        <v>3</v>
      </c>
      <c r="AE9" s="131">
        <f>((1+(AE3))^(AE4))-1</f>
        <v>11.759898410000002</v>
      </c>
      <c r="AF9" s="131">
        <f>((1+(AE3))^(AE4/AH4))-1</f>
        <v>0.23638558994256709</v>
      </c>
      <c r="AG9" s="131">
        <f>(((1+AE3)^(AE4/AH4))-1)*(AH4)</f>
        <v>2.836627079310805</v>
      </c>
      <c r="AH9" s="131">
        <f>((1+AE3)^(AE4*AE5)-1)/(AH4*AH5)</f>
        <v>0.37782944561266402</v>
      </c>
      <c r="AI9" s="132">
        <f>(AE5*AE4*LN(1+AE3))/AH5</f>
        <v>2.5463073162862044</v>
      </c>
    </row>
    <row r="10" spans="1:35" x14ac:dyDescent="0.25">
      <c r="A10" s="124" t="s">
        <v>4</v>
      </c>
      <c r="B10" s="131">
        <f>(((1+(B3/B4)))^(B4))-1</f>
        <v>4.7040562499999883E-2</v>
      </c>
      <c r="C10" s="131">
        <f>((1+(B3/B4))^(B4/E4))-1</f>
        <v>1.1558203960602587E-2</v>
      </c>
      <c r="D10" s="131">
        <f>E4*((1+(B3/B4))^(B4/E4)-1)</f>
        <v>4.6232815842410346E-2</v>
      </c>
      <c r="E10" s="131">
        <f>((1+(B3/B4))^(B4*B5)-1)/(E4*E5)</f>
        <v>1.1760140624999971E-2</v>
      </c>
      <c r="F10" s="132">
        <f>(B5*B4*LN(1+B3/B4))/E5</f>
        <v>4.5967672780750646E-2</v>
      </c>
      <c r="H10" s="189"/>
      <c r="I10" s="124" t="s">
        <v>4</v>
      </c>
      <c r="J10" s="131">
        <f>(((1+(J3/J4)))^(J4))-1</f>
        <v>1.0045960887180572E-2</v>
      </c>
      <c r="K10" s="131">
        <f>((1+(J3/J4))^(J4/M4))-1</f>
        <v>8.3333333333324155E-4</v>
      </c>
      <c r="L10" s="131">
        <f>M4*((1+(J3/J4))^(J4/M4)-1)</f>
        <v>9.9999999999988987E-3</v>
      </c>
      <c r="M10" s="131">
        <f>((1+(J3/J4))^(J4*J5)-1)/(M4*M5)</f>
        <v>8.3716340726504768E-4</v>
      </c>
      <c r="N10" s="132">
        <f>(J5*J4*LN(1+J3/J4))/M5</f>
        <v>9.9958356467012514E-3</v>
      </c>
      <c r="O10" s="189"/>
      <c r="P10" s="124" t="s">
        <v>4</v>
      </c>
      <c r="Q10" s="131">
        <f>(((1+(Q3/Q4)))^(Q4))-1</f>
        <v>2.0184355681502009E-2</v>
      </c>
      <c r="R10" s="131">
        <f>((1+(Q3/Q4))^(Q4/T4))-1</f>
        <v>1.6666666666667052E-3</v>
      </c>
      <c r="S10" s="131">
        <f>T4*((1+(Q3/Q4))^(Q4/T4)-1)</f>
        <v>2.0000000000000462E-2</v>
      </c>
      <c r="T10" s="131">
        <f>((1+(Q3/Q4))^(Q4*Q5)-1)/(T4*T5)</f>
        <v>1.6708379648920357E-3</v>
      </c>
      <c r="U10" s="132">
        <f>(Q5*Q4*LN(1+Q3/Q4))/T5</f>
        <v>1.9983351828734987E-2</v>
      </c>
      <c r="V10" s="189"/>
      <c r="W10" s="124" t="s">
        <v>4</v>
      </c>
      <c r="X10" s="131">
        <f>(((1+(X3/X4)))^(X4))-1</f>
        <v>8.2432159999999977E-2</v>
      </c>
      <c r="Y10" s="131">
        <f>((1+(X3/X4))^(X4/AA4))-1</f>
        <v>6.6227095601130159E-3</v>
      </c>
      <c r="Z10" s="131">
        <f>AA4*((1+(X3/X4))^(X4/AA4)-1)</f>
        <v>7.9472514721356191E-2</v>
      </c>
      <c r="AA10" s="131">
        <f>((1+(X3/X4))^(X4*X5)-1)/(AA4*AA5)</f>
        <v>6.6666666666666723E-3</v>
      </c>
      <c r="AB10" s="132">
        <f>(X5*X4*LN(1+X3/X4))/AA5</f>
        <v>7.9210509184718919E-2</v>
      </c>
      <c r="AC10" s="189"/>
      <c r="AD10" s="124" t="s">
        <v>4</v>
      </c>
      <c r="AE10" s="131">
        <f>(((1+(AE3/AE4)))^(AE4))-1</f>
        <v>1.2335489312890617</v>
      </c>
      <c r="AF10" s="131">
        <f>((1+(AE3/AE4))^(AE4/AH4))-1</f>
        <v>6.9259102204811906E-2</v>
      </c>
      <c r="AG10" s="131">
        <f>AH4*((1+(AE3/AE4))^(AE4/AH4)-1)</f>
        <v>0.83110922645774288</v>
      </c>
      <c r="AH10" s="131">
        <f>((1+(AE3/AE4))^(AE4*AE5)-1)/(AH4*AH5)</f>
        <v>7.9540524259897036E-2</v>
      </c>
      <c r="AI10" s="132">
        <f>(AE5*AE4*LN(1+AE3/AE4))/AH5</f>
        <v>0.80359176946755995</v>
      </c>
    </row>
    <row r="11" spans="1:35" x14ac:dyDescent="0.25">
      <c r="A11" s="124" t="s">
        <v>5</v>
      </c>
      <c r="B11" s="131">
        <f>((1+(B3*B4*B5))^(1/B5))-1</f>
        <v>9.2999999999999972E-2</v>
      </c>
      <c r="C11" s="131">
        <f>((1+B3*B4*B5)^(1/E4*E5))-1</f>
        <v>2.2480514775127691E-2</v>
      </c>
      <c r="D11" s="131">
        <f>(((1+B3*B4*B5)^(1/E4*E5))-1)*E4</f>
        <v>8.9922059100510765E-2</v>
      </c>
      <c r="E11" s="131">
        <f>(B3*B4*B5)/(E4*E5)</f>
        <v>2.325E-2</v>
      </c>
      <c r="F11" s="132">
        <f>LN(1+B3*B4*B5)/(E5)</f>
        <v>8.8926209194401487E-2</v>
      </c>
      <c r="H11" s="189"/>
      <c r="I11" s="124" t="s">
        <v>5</v>
      </c>
      <c r="J11" s="131">
        <f>((1+(J3*J4*J5))^(1/J5))-1</f>
        <v>0.12000000000000011</v>
      </c>
      <c r="K11" s="131">
        <f>((1+J3*J4*J5)^(1/M4*M5))-1</f>
        <v>9.4887929345830457E-3</v>
      </c>
      <c r="L11" s="131">
        <f>(((1+J3*J4*J5)^(1/M4*M5))-1)*M4</f>
        <v>0.11386551521499655</v>
      </c>
      <c r="M11" s="131">
        <f>(J3*J4*J5)/(M4*M5)</f>
        <v>0.01</v>
      </c>
      <c r="N11" s="132">
        <f>LN(1+J3*J4*J5)/(M5)</f>
        <v>0.11332868530700327</v>
      </c>
      <c r="O11" s="189"/>
      <c r="P11" s="124" t="s">
        <v>5</v>
      </c>
      <c r="Q11" s="131">
        <f>((1+(Q3*Q4*Q5))^(1/Q5))-1</f>
        <v>0.25971200000000016</v>
      </c>
      <c r="R11" s="131">
        <f>((1+Q3*Q4*Q5)^(1/T4*T5))-1</f>
        <v>2.140093436209467E-3</v>
      </c>
      <c r="S11" s="131">
        <f>(((1+Q3*Q4*Q5)^(1/T4*T5))-1)*T4</f>
        <v>2.5681121234513604E-2</v>
      </c>
      <c r="T11" s="131">
        <f>(Q3*Q4*Q5)/(T4*T5)</f>
        <v>1.9999999999999997E-2</v>
      </c>
      <c r="U11" s="132">
        <f>LN(1+Q3*Q4*Q5)/(T5)</f>
        <v>0.23088312340838518</v>
      </c>
      <c r="V11" s="189"/>
      <c r="W11" s="124" t="s">
        <v>5</v>
      </c>
      <c r="X11" s="131">
        <f>((1+(X3*X4*X5))^(1/X5))-1</f>
        <v>0.3604889600000003</v>
      </c>
      <c r="Y11" s="131">
        <f>((1+X3*X4*X5)^(1/AA4*AA5))-1</f>
        <v>1.6046410845809156E-3</v>
      </c>
      <c r="Z11" s="131">
        <f>(((1+X3*X4*X5)^(1/AA4*AA5))-1)*AA4</f>
        <v>1.9255693014970987E-2</v>
      </c>
      <c r="AA11" s="131">
        <f>(X3*X4*X5)/(AA4*AA5)</f>
        <v>2.6666666666666668E-2</v>
      </c>
      <c r="AB11" s="132">
        <f>LN(1+X3*X4*X5)/(AA5)</f>
        <v>0.30784416454451358</v>
      </c>
      <c r="AC11" s="189"/>
      <c r="AD11" s="124" t="s">
        <v>5</v>
      </c>
      <c r="AE11" s="131">
        <f>((1+(AE3*AE4*AE5))^(1/AE5))-1</f>
        <v>7.8732770822324234</v>
      </c>
      <c r="AF11" s="131">
        <f>((1+AE3*AE4*AE5)^(1/AH4*AH5))-1</f>
        <v>3.2087441782429282E-2</v>
      </c>
      <c r="AG11" s="131">
        <f>(((1+AE3*AE4*AE5)^(1/AH4*AH5))-1)*AH4</f>
        <v>0.38504930138915139</v>
      </c>
      <c r="AH11" s="131">
        <f>(AE3*AE4*AE5)/(AH4*AH5)</f>
        <v>0.29666666666666669</v>
      </c>
      <c r="AI11" s="132">
        <f>LN(1+AE3*AE4*AE5)/(AH5)</f>
        <v>2.18304418493606</v>
      </c>
    </row>
    <row r="12" spans="1:35" x14ac:dyDescent="0.25">
      <c r="A12" s="124" t="s">
        <v>137</v>
      </c>
      <c r="B12" s="132">
        <f>EXP((B3*B5)/(E5))-1</f>
        <v>4.759807906853375E-2</v>
      </c>
      <c r="C12" s="132">
        <f>EXP((B3*B5)/(E4*E5))-1</f>
        <v>1.169283291019152E-2</v>
      </c>
      <c r="D12" s="132">
        <f>E4*(EXP((B3*B5)/(E4*E5))-1)</f>
        <v>4.6771331640766078E-2</v>
      </c>
      <c r="E12" s="132">
        <f>(EXP(B3*B5)-1)/(E4*E5)</f>
        <v>1.1899519767133437E-2</v>
      </c>
      <c r="F12" s="132">
        <f>(B3*B5)/E5</f>
        <v>4.65E-2</v>
      </c>
      <c r="H12" s="189"/>
      <c r="I12" s="124" t="s">
        <v>137</v>
      </c>
      <c r="J12" s="132">
        <f>EXP((J3*J5)/(M5))-1</f>
        <v>1.0050167084167949E-2</v>
      </c>
      <c r="K12" s="132">
        <f>EXP((J3*J5)/(M4*M5))-1</f>
        <v>8.3368065202638064E-4</v>
      </c>
      <c r="L12" s="132">
        <f>M4*(EXP((J3*J5)/(M4*M5))-1)</f>
        <v>1.0004167824316568E-2</v>
      </c>
      <c r="M12" s="132">
        <f>(EXP(J3*J5)-1)/(M4*M5)</f>
        <v>8.3751392368066246E-4</v>
      </c>
      <c r="N12" s="132">
        <f>(J3*J5)/M5</f>
        <v>0.01</v>
      </c>
      <c r="O12" s="189"/>
      <c r="P12" s="124" t="s">
        <v>137</v>
      </c>
      <c r="Q12" s="132">
        <f>EXP((Q3*Q5)/(T5))-1</f>
        <v>2.0201340026755776E-2</v>
      </c>
      <c r="R12" s="132">
        <f>EXP((Q3*Q5)/(T4*T5))-1</f>
        <v>1.6680563274820148E-3</v>
      </c>
      <c r="S12" s="132">
        <f>T4*(EXP((Q3*Q5)/(T4*T5))-1)</f>
        <v>2.0016675929784178E-2</v>
      </c>
      <c r="T12" s="132">
        <f>(EXP(Q3*Q5)-1)/(T4*T5)</f>
        <v>1.6722345885048506E-3</v>
      </c>
      <c r="U12" s="132">
        <f>(Q3*Q5)/T5</f>
        <v>0.02</v>
      </c>
      <c r="V12" s="189"/>
      <c r="W12" s="124" t="s">
        <v>137</v>
      </c>
      <c r="X12" s="132">
        <f>EXP((X3*X5)/(AA5))-1</f>
        <v>8.3287067674958637E-2</v>
      </c>
      <c r="Y12" s="132">
        <f>EXP((X3*X5)/(AA4*AA5))-1</f>
        <v>6.6889383540194025E-3</v>
      </c>
      <c r="Z12" s="132">
        <f>AA4*(EXP((X3*X5)/(AA4*AA5))-1)</f>
        <v>8.026726024823283E-2</v>
      </c>
      <c r="AA12" s="132">
        <f>(EXP(X3*X5)-1)/(AA4*AA5)</f>
        <v>6.7337800089185924E-3</v>
      </c>
      <c r="AB12" s="132">
        <f>(X3*X5)/AA5</f>
        <v>0.08</v>
      </c>
      <c r="AC12" s="189"/>
      <c r="AD12" s="124" t="s">
        <v>137</v>
      </c>
      <c r="AE12" s="132">
        <f>EXP((AE3*AE5)/(AH5))-1</f>
        <v>1.4351296512898744</v>
      </c>
      <c r="AF12" s="132">
        <f>EXP((AE3*AE5)/(AH4*AH5))-1</f>
        <v>7.6986288253616975E-2</v>
      </c>
      <c r="AG12" s="132">
        <f>AH4*(EXP((AE3*AE5)/(AH4*AH5))-1)</f>
        <v>0.9238354590434037</v>
      </c>
      <c r="AH12" s="132">
        <f>(EXP(AE3*AE5)-1)/(AH4*AH5)</f>
        <v>8.9788312600167591E-2</v>
      </c>
      <c r="AI12" s="132">
        <f>(AE3*AE5)/AH5</f>
        <v>0.89</v>
      </c>
    </row>
    <row r="13" spans="1:35" x14ac:dyDescent="0.25">
      <c r="H13" s="189"/>
      <c r="O13" s="189"/>
      <c r="V13" s="189"/>
      <c r="AC13" s="189"/>
    </row>
    <row r="14" spans="1:35" x14ac:dyDescent="0.25">
      <c r="H14" s="189"/>
      <c r="I14" s="190" t="s">
        <v>9</v>
      </c>
      <c r="J14" s="18">
        <f>IF('Convert changing interests'!$D$24="force of interest",'Convert-BE'!K12,IF('Convert changing interests'!$D$24="effective periodic",'Convert-BE'!K9,IF('Convert changing interests'!$D$24="nominal",'Convert-BE'!K10,IF('Convert changing interests'!$D$24="effective annual",'Convert-BE'!K8,IF('Convert changing interests'!$D$24="simple",'Convert-BE'!K11,"No value selected")))))</f>
        <v>1.0000000000000009E-2</v>
      </c>
      <c r="O14" s="189"/>
      <c r="P14" s="202" t="s">
        <v>9</v>
      </c>
      <c r="Q14" s="18">
        <f>IF('Convert changing interests'!$G$24="force of interest",'Convert-BE'!R12,IF('Convert changing interests'!$G$24="effective periodic",'Convert-BE'!R9,IF('Convert changing interests'!$G$24="nominal",'Convert-BE'!R10,IF('Convert changing interests'!$G$24="effective annual",'Convert-BE'!R8,IF('Convert changing interests'!$G$24="simple",'Convert-BE'!R11,"No value selected")))))</f>
        <v>1.6515813019202241E-3</v>
      </c>
      <c r="V14" s="189"/>
      <c r="W14" s="202" t="s">
        <v>9</v>
      </c>
      <c r="X14" s="18">
        <f>IF('Convert changing interests'!$D$31="force of interest",'Convert-BE'!Y12,IF('Convert changing interests'!$D$31="effective periodic",'Convert-BE'!Y9,IF('Convert changing interests'!$D$31="nominal",'Convert-BE'!Y10,IF('Convert changing interests'!$D$31="effective annual",'Convert-BE'!Y8,IF('Convert changing interests'!$D$31="simple",'Convert-BE'!Y11,"No value selected")))))</f>
        <v>6.6227095601130159E-3</v>
      </c>
      <c r="AC14" s="189"/>
      <c r="AD14" s="202" t="s">
        <v>9</v>
      </c>
      <c r="AE14" s="18">
        <f>IF('Convert changing interests'!$G$31="force of interest",'Convert-BE'!AF12,IF('Convert changing interests'!$G$31="effective periodic",'Convert-BE'!AF9,IF('Convert changing interests'!$G$31="nominal",'Convert-BE'!AF10,IF('Convert changing interests'!$G$31="effective annual",'Convert-BE'!AF8,IF('Convert changing interests'!$G$31="simple",'Convert-BE'!AF11,"No value selected")))))</f>
        <v>6.9259102204811906E-2</v>
      </c>
    </row>
    <row r="15" spans="1:35" x14ac:dyDescent="0.25">
      <c r="B15" s="470" t="s">
        <v>171</v>
      </c>
      <c r="C15" s="471"/>
      <c r="D15" s="471"/>
      <c r="E15" s="471"/>
      <c r="V15" s="189"/>
    </row>
    <row r="16" spans="1:35" ht="14.4" thickBot="1" x14ac:dyDescent="0.3">
      <c r="B16" s="472"/>
      <c r="C16" s="472"/>
      <c r="D16" s="472"/>
      <c r="E16" s="472"/>
      <c r="V16" s="189"/>
    </row>
    <row r="17" spans="1:22" ht="14.4" thickBot="1" x14ac:dyDescent="0.3">
      <c r="V17" s="189"/>
    </row>
    <row r="18" spans="1:22" ht="14.4" thickBot="1" x14ac:dyDescent="0.3">
      <c r="A18" s="172"/>
      <c r="B18" s="173" t="s">
        <v>172</v>
      </c>
      <c r="C18" s="174" t="s">
        <v>173</v>
      </c>
      <c r="D18" s="174" t="s">
        <v>174</v>
      </c>
      <c r="E18" s="180" t="s">
        <v>175</v>
      </c>
      <c r="F18" s="143"/>
      <c r="V18" s="189"/>
    </row>
    <row r="19" spans="1:22" x14ac:dyDescent="0.25">
      <c r="A19" s="175" t="s">
        <v>177</v>
      </c>
      <c r="B19" s="186">
        <f>J14</f>
        <v>1.0000000000000009E-2</v>
      </c>
      <c r="C19" s="187">
        <f>Q14</f>
        <v>1.6515813019202241E-3</v>
      </c>
      <c r="D19" s="187">
        <f>X14</f>
        <v>6.6227095601130159E-3</v>
      </c>
      <c r="E19" s="188">
        <f>AE14</f>
        <v>6.9259102204811906E-2</v>
      </c>
      <c r="F19" s="143"/>
      <c r="V19" s="189"/>
    </row>
    <row r="20" spans="1:22" x14ac:dyDescent="0.25">
      <c r="A20" s="176" t="s">
        <v>176</v>
      </c>
      <c r="B20" s="171">
        <v>1</v>
      </c>
      <c r="C20" s="170">
        <v>2</v>
      </c>
      <c r="D20" s="170">
        <v>12</v>
      </c>
      <c r="E20" s="181">
        <v>3</v>
      </c>
      <c r="F20" s="90" t="s">
        <v>212</v>
      </c>
      <c r="G20" s="206" t="s">
        <v>210</v>
      </c>
      <c r="H20" s="90"/>
    </row>
    <row r="21" spans="1:22" ht="14.4" thickBot="1" x14ac:dyDescent="0.3">
      <c r="A21" s="177" t="s">
        <v>178</v>
      </c>
      <c r="B21" s="178">
        <f>'Convert changing interests'!D26</f>
        <v>12</v>
      </c>
      <c r="C21" s="179">
        <f>'Convert changing interests'!G26</f>
        <v>4</v>
      </c>
      <c r="D21" s="179">
        <f>'Convert changing interests'!D33</f>
        <v>3</v>
      </c>
      <c r="E21" s="182">
        <f>'Convert changing interests'!G33</f>
        <v>5</v>
      </c>
      <c r="F21" s="90" t="s">
        <v>212</v>
      </c>
      <c r="G21" s="206">
        <f>B21+C21+D21+E21</f>
        <v>24</v>
      </c>
      <c r="H21" s="90" t="s">
        <v>211</v>
      </c>
    </row>
    <row r="22" spans="1:22" x14ac:dyDescent="0.25">
      <c r="F22" s="207" t="s">
        <v>212</v>
      </c>
      <c r="G22" s="90">
        <f>G21/12</f>
        <v>2</v>
      </c>
      <c r="H22" s="90" t="s">
        <v>28</v>
      </c>
    </row>
    <row r="23" spans="1:22" ht="14.4" thickBot="1" x14ac:dyDescent="0.3">
      <c r="A23" s="46" t="s">
        <v>179</v>
      </c>
      <c r="B23" s="183"/>
    </row>
    <row r="24" spans="1:22" ht="14.4" thickTop="1" x14ac:dyDescent="0.25"/>
    <row r="25" spans="1:22" x14ac:dyDescent="0.25">
      <c r="B25" t="s">
        <v>9</v>
      </c>
      <c r="C25" t="s">
        <v>184</v>
      </c>
    </row>
    <row r="26" spans="1:22" x14ac:dyDescent="0.25">
      <c r="A26" t="s">
        <v>180</v>
      </c>
      <c r="B26">
        <f>IF(C26="effective",(1+B19)^(B21),EXP(B19*B21))</f>
        <v>1.1268250301319698</v>
      </c>
      <c r="C26" s="185" t="s">
        <v>186</v>
      </c>
    </row>
    <row r="27" spans="1:22" x14ac:dyDescent="0.25">
      <c r="A27" t="s">
        <v>181</v>
      </c>
      <c r="B27">
        <f>IF(C27="effective",(1+C19)^(C21),EXP(C19*C21))</f>
        <v>1.006622709560113</v>
      </c>
      <c r="C27" s="185" t="s">
        <v>186</v>
      </c>
    </row>
    <row r="28" spans="1:22" x14ac:dyDescent="0.25">
      <c r="A28" t="s">
        <v>182</v>
      </c>
      <c r="B28">
        <f>IF(C28="effective",(1+D19)^(D21),EXP(D19*D21))</f>
        <v>1.0200000000000005</v>
      </c>
      <c r="C28" s="185" t="s">
        <v>186</v>
      </c>
    </row>
    <row r="29" spans="1:22" x14ac:dyDescent="0.25">
      <c r="A29" t="s">
        <v>183</v>
      </c>
      <c r="B29">
        <f>IF(C29="effective",(1+E19)^(E21),EXP(E19*E21))</f>
        <v>1.3977026212994843</v>
      </c>
      <c r="C29" s="185" t="s">
        <v>186</v>
      </c>
    </row>
    <row r="31" spans="1:22" x14ac:dyDescent="0.25">
      <c r="A31" t="s">
        <v>185</v>
      </c>
      <c r="B31" s="184">
        <f>(B26*B27*B28*B29)-1</f>
        <v>0.61710477957678544</v>
      </c>
    </row>
  </sheetData>
  <sheetProtection selectLockedCells="1" selectUnlockedCells="1"/>
  <mergeCells count="1">
    <mergeCell ref="B15:E16"/>
  </mergeCell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5B7743-51B5-4C9A-A296-67DE8B2AF778}">
          <x14:formula1>
            <xm:f>Dropdown!$A$1:$A$4</xm:f>
          </x14:formula1>
          <xm:sqref>A15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B4DFC-B397-44B8-BCD9-722C98BF8F7F}">
  <sheetPr codeName="Sheet2">
    <tabColor theme="2" tint="-0.749992370372631"/>
  </sheetPr>
  <dimension ref="A1:AE444"/>
  <sheetViews>
    <sheetView showGridLines="0" showRowColHeaders="0" tabSelected="1" zoomScale="56" zoomScaleNormal="80" workbookViewId="0">
      <selection activeCell="E23" sqref="E23"/>
    </sheetView>
  </sheetViews>
  <sheetFormatPr defaultRowHeight="13.8" x14ac:dyDescent="0.25"/>
  <cols>
    <col min="1" max="1" width="19.5" style="43" customWidth="1"/>
    <col min="2" max="2" width="13.09765625" style="43" customWidth="1"/>
    <col min="3" max="3" width="8.59765625" style="11" customWidth="1"/>
    <col min="4" max="4" width="16" style="11" customWidth="1"/>
    <col min="5" max="5" width="20.5" style="11" customWidth="1"/>
    <col min="6" max="6" width="6.59765625" style="11" customWidth="1"/>
    <col min="7" max="7" width="19.8984375" style="11" customWidth="1"/>
    <col min="8" max="8" width="19.69921875" style="11" customWidth="1"/>
    <col min="9" max="9" width="12" style="11" customWidth="1"/>
    <col min="10" max="10" width="12.69921875" style="11" customWidth="1"/>
    <col min="11" max="12" width="9" style="11"/>
    <col min="13" max="13" width="3.5" style="13" customWidth="1"/>
    <col min="14" max="15" width="9" style="11"/>
    <col min="16" max="16" width="9.8984375" style="11" customWidth="1"/>
    <col min="17" max="17" width="14.19921875" style="11" customWidth="1"/>
    <col min="18" max="18" width="16.3984375" style="11" customWidth="1"/>
    <col min="19" max="19" width="6.69921875" style="11" customWidth="1"/>
    <col min="20" max="20" width="9" style="11"/>
    <col min="21" max="21" width="9" style="11" customWidth="1"/>
    <col min="22" max="22" width="14.09765625" style="11" customWidth="1"/>
    <col min="23" max="23" width="9" style="11"/>
    <col min="24" max="24" width="17.19921875" style="11" customWidth="1"/>
    <col min="25" max="26" width="9" style="11"/>
    <col min="27" max="29" width="9" style="14"/>
    <col min="30" max="31" width="9" style="12"/>
  </cols>
  <sheetData>
    <row r="1" spans="1:31" s="43" customFormat="1" ht="14.25" customHeight="1" x14ac:dyDescent="0.25">
      <c r="A1" s="208"/>
      <c r="B1" s="208"/>
      <c r="C1" s="208"/>
      <c r="D1" s="208"/>
      <c r="H1" s="487" t="s">
        <v>265</v>
      </c>
      <c r="I1" s="487"/>
      <c r="J1" s="487"/>
      <c r="K1" s="487"/>
      <c r="L1" s="487"/>
      <c r="M1" s="487"/>
      <c r="N1" s="487"/>
      <c r="O1" s="487"/>
      <c r="P1" s="487"/>
      <c r="Q1" s="487"/>
      <c r="R1" s="487"/>
      <c r="S1" s="487"/>
      <c r="T1" s="209"/>
      <c r="U1" s="209"/>
      <c r="V1" s="209"/>
      <c r="W1" s="209"/>
      <c r="X1" s="209"/>
      <c r="Y1" s="209"/>
      <c r="Z1" s="209"/>
      <c r="AA1" s="210"/>
      <c r="AB1" s="210"/>
      <c r="AC1" s="210"/>
      <c r="AD1" s="210"/>
      <c r="AE1" s="210"/>
    </row>
    <row r="2" spans="1:31" s="43" customFormat="1" ht="14.25" customHeight="1" x14ac:dyDescent="0.25">
      <c r="A2" s="208"/>
      <c r="B2" s="208"/>
      <c r="C2" s="208"/>
      <c r="D2" s="208"/>
      <c r="H2" s="487"/>
      <c r="I2" s="487"/>
      <c r="J2" s="487"/>
      <c r="K2" s="487"/>
      <c r="L2" s="487"/>
      <c r="M2" s="487"/>
      <c r="N2" s="487"/>
      <c r="O2" s="487"/>
      <c r="P2" s="487"/>
      <c r="Q2" s="487"/>
      <c r="R2" s="487"/>
      <c r="S2" s="487"/>
      <c r="T2" s="209"/>
      <c r="U2" s="209"/>
      <c r="V2" s="209"/>
      <c r="W2" s="209"/>
      <c r="X2" s="209"/>
      <c r="Y2" s="209"/>
      <c r="Z2" s="209"/>
      <c r="AA2" s="210"/>
      <c r="AB2" s="210"/>
      <c r="AC2" s="210"/>
      <c r="AD2" s="210"/>
      <c r="AE2" s="210"/>
    </row>
    <row r="3" spans="1:31" s="43" customFormat="1" ht="58.95" customHeight="1" x14ac:dyDescent="0.25">
      <c r="A3" s="208"/>
      <c r="B3" s="208"/>
      <c r="C3" s="208"/>
      <c r="D3" s="208"/>
      <c r="H3" s="487"/>
      <c r="I3" s="487"/>
      <c r="J3" s="487"/>
      <c r="K3" s="487"/>
      <c r="L3" s="487"/>
      <c r="M3" s="487"/>
      <c r="N3" s="487"/>
      <c r="O3" s="487"/>
      <c r="P3" s="487"/>
      <c r="Q3" s="487"/>
      <c r="R3" s="487"/>
      <c r="S3" s="487"/>
      <c r="T3" s="209"/>
      <c r="U3" s="209"/>
      <c r="V3" s="209"/>
      <c r="W3" s="209"/>
      <c r="X3" s="209"/>
      <c r="Y3" s="209"/>
      <c r="Z3" s="209"/>
      <c r="AA3" s="210"/>
      <c r="AB3" s="210"/>
      <c r="AC3" s="210"/>
      <c r="AD3" s="210"/>
      <c r="AE3" s="210"/>
    </row>
    <row r="4" spans="1:31" s="15" customFormat="1" x14ac:dyDescent="0.25">
      <c r="A4" s="209"/>
      <c r="B4" s="209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1"/>
      <c r="Y4" s="211"/>
      <c r="Z4" s="211"/>
      <c r="AA4" s="12"/>
      <c r="AB4" s="12"/>
      <c r="AC4" s="12"/>
      <c r="AD4" s="12"/>
      <c r="AE4" s="12"/>
    </row>
    <row r="5" spans="1:31" s="15" customFormat="1" ht="17.399999999999999" x14ac:dyDescent="0.25">
      <c r="A5" s="488"/>
      <c r="B5" s="488"/>
      <c r="C5" s="489"/>
      <c r="D5" s="489"/>
      <c r="E5" s="490"/>
      <c r="F5" s="490"/>
      <c r="G5" s="211"/>
      <c r="H5" s="211"/>
      <c r="I5" s="211"/>
      <c r="J5" s="211"/>
      <c r="K5" s="211"/>
      <c r="L5" s="211"/>
      <c r="M5" s="211"/>
      <c r="N5" s="211"/>
      <c r="O5" s="211"/>
      <c r="P5" s="211"/>
      <c r="Q5" s="211"/>
      <c r="R5" s="476" t="s">
        <v>40</v>
      </c>
      <c r="S5" s="476"/>
      <c r="T5" s="476"/>
      <c r="U5" s="476"/>
      <c r="V5" s="211"/>
      <c r="W5" s="211"/>
      <c r="X5" s="211"/>
      <c r="Y5" s="211"/>
      <c r="Z5" s="211"/>
      <c r="AA5" s="12"/>
      <c r="AB5" s="12"/>
      <c r="AC5" s="12"/>
      <c r="AD5" s="12"/>
      <c r="AE5" s="12"/>
    </row>
    <row r="6" spans="1:31" s="15" customFormat="1" x14ac:dyDescent="0.25">
      <c r="A6" s="209"/>
      <c r="B6" s="209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  <c r="Q6" s="211"/>
      <c r="R6" s="476"/>
      <c r="S6" s="476"/>
      <c r="T6" s="476"/>
      <c r="U6" s="476"/>
      <c r="V6" s="211"/>
      <c r="W6" s="211"/>
      <c r="X6" s="211"/>
      <c r="Y6" s="211"/>
      <c r="Z6" s="211"/>
      <c r="AA6" s="12"/>
      <c r="AB6" s="12"/>
      <c r="AC6" s="12"/>
      <c r="AD6" s="12"/>
      <c r="AE6" s="12"/>
    </row>
    <row r="7" spans="1:31" s="15" customFormat="1" ht="17.399999999999999" x14ac:dyDescent="0.3">
      <c r="A7" s="491"/>
      <c r="B7" s="491"/>
      <c r="C7" s="211"/>
      <c r="D7" s="211"/>
      <c r="E7" s="490"/>
      <c r="F7" s="490"/>
      <c r="G7" s="212"/>
      <c r="H7" s="211"/>
      <c r="I7" s="211"/>
      <c r="J7" s="211"/>
      <c r="K7" s="211"/>
      <c r="L7" s="211"/>
      <c r="M7" s="228"/>
      <c r="N7" s="211"/>
      <c r="O7" s="211"/>
      <c r="P7" s="211"/>
      <c r="Q7" s="211"/>
      <c r="R7" s="476"/>
      <c r="S7" s="476"/>
      <c r="T7" s="476"/>
      <c r="U7" s="476"/>
      <c r="V7" s="211"/>
      <c r="W7" s="211"/>
      <c r="X7" s="211"/>
      <c r="Y7" s="211"/>
      <c r="Z7" s="211"/>
      <c r="AA7" s="12"/>
      <c r="AB7" s="12"/>
      <c r="AC7" s="12"/>
      <c r="AD7" s="12"/>
      <c r="AE7" s="12"/>
    </row>
    <row r="8" spans="1:31" s="15" customFormat="1" x14ac:dyDescent="0.25">
      <c r="A8" s="209"/>
      <c r="B8" s="209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228"/>
      <c r="N8" s="211"/>
      <c r="O8" s="211"/>
      <c r="P8" s="211"/>
      <c r="Q8" s="211"/>
      <c r="R8" s="476"/>
      <c r="S8" s="476"/>
      <c r="T8" s="476"/>
      <c r="U8" s="476"/>
      <c r="V8" s="211"/>
      <c r="W8" s="211"/>
      <c r="X8" s="211"/>
      <c r="Y8" s="211"/>
      <c r="Z8" s="211"/>
      <c r="AA8" s="12"/>
      <c r="AB8" s="12"/>
      <c r="AC8" s="12"/>
      <c r="AD8" s="12"/>
      <c r="AE8" s="12"/>
    </row>
    <row r="9" spans="1:31" s="15" customFormat="1" x14ac:dyDescent="0.25">
      <c r="A9" s="209"/>
      <c r="B9" s="209"/>
      <c r="C9" s="211"/>
      <c r="D9" s="211"/>
      <c r="E9" s="211"/>
      <c r="F9" s="211"/>
      <c r="G9" s="211"/>
      <c r="H9" s="211"/>
      <c r="I9" s="211"/>
      <c r="J9" s="211"/>
      <c r="K9" s="211"/>
      <c r="L9" s="213"/>
      <c r="M9" s="228"/>
      <c r="N9" s="211"/>
      <c r="O9" s="211"/>
      <c r="P9" s="211"/>
      <c r="Q9" s="224"/>
      <c r="R9" s="224"/>
      <c r="S9" s="224"/>
      <c r="T9" s="224"/>
      <c r="U9" s="224"/>
      <c r="V9" s="224"/>
      <c r="W9" s="211"/>
      <c r="X9" s="211"/>
      <c r="Y9" s="211"/>
      <c r="Z9" s="211"/>
      <c r="AA9" s="12"/>
      <c r="AB9" s="12"/>
      <c r="AC9" s="12"/>
      <c r="AD9" s="12"/>
      <c r="AE9" s="12"/>
    </row>
    <row r="10" spans="1:31" s="15" customFormat="1" ht="14.25" customHeight="1" x14ac:dyDescent="0.25">
      <c r="A10" s="209"/>
      <c r="B10" s="209"/>
      <c r="C10" s="211"/>
      <c r="D10" s="480" t="s">
        <v>30</v>
      </c>
      <c r="E10" s="480"/>
      <c r="F10" s="480"/>
      <c r="G10" s="480"/>
      <c r="H10" s="480"/>
      <c r="I10" s="225"/>
      <c r="J10" s="225"/>
      <c r="K10" s="211"/>
      <c r="L10" s="211"/>
      <c r="M10" s="228"/>
      <c r="N10" s="211"/>
      <c r="O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12"/>
      <c r="AB10" s="12"/>
      <c r="AC10" s="12"/>
      <c r="AD10" s="12"/>
      <c r="AE10" s="12"/>
    </row>
    <row r="11" spans="1:31" s="15" customFormat="1" ht="14.25" customHeight="1" x14ac:dyDescent="0.25">
      <c r="A11" s="209"/>
      <c r="B11" s="209"/>
      <c r="C11" s="211"/>
      <c r="D11" s="481"/>
      <c r="E11" s="481"/>
      <c r="F11" s="481"/>
      <c r="G11" s="481"/>
      <c r="H11" s="481"/>
      <c r="I11" s="211"/>
      <c r="J11" s="211"/>
      <c r="K11" s="211"/>
      <c r="L11" s="211"/>
      <c r="M11" s="228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12"/>
      <c r="AB11" s="12"/>
      <c r="AC11" s="12"/>
      <c r="AD11" s="12"/>
      <c r="AE11" s="12"/>
    </row>
    <row r="12" spans="1:31" s="15" customFormat="1" ht="13.95" customHeight="1" x14ac:dyDescent="0.25">
      <c r="A12" s="209"/>
      <c r="B12" s="209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28"/>
      <c r="N12" s="211"/>
      <c r="O12" s="211"/>
      <c r="P12" s="211"/>
      <c r="Q12" s="477" t="str">
        <f>D13</f>
        <v>Future Value</v>
      </c>
      <c r="R12" s="477"/>
      <c r="S12" s="478" t="s">
        <v>41</v>
      </c>
      <c r="T12" s="485" t="str">
        <f>IF(AND(D13="Future Value",J13="simple"),TEXT('Single-BE'!C8,"R#,00"),IF(AND(D13="Future Value",J13="compounded"),TEXT('Single-BE'!C9,"R#,00"),IF(AND(D13="Present Value",J13="simple"),TEXT('Single-BE'!D8,"R#,00"),IF(AND(D13="Present Value",J13="compounded"),TEXT('Single-BE'!D9,"R#,00"),IF(AND(D13="Interest",J13="simple"),TEXT('Single-BE'!$E$8,"0,00%"),IF(AND(D13="Interest",J13="compounded"),TEXT('Single-BE'!E9,"0,00%"),IF(AND(D13="Number of years",J13="simple"),TEXT('Single-BE'!F8,"#,00"),IF(AND(D13="Number of years",J13="compounded"),TEXT('Single-BE'!F9,"#,00"),"No value was chosen from 'Value I want'"))))))))</f>
        <v>R1486843,23</v>
      </c>
      <c r="U12" s="485"/>
      <c r="V12" s="223"/>
      <c r="W12" s="211"/>
      <c r="X12" s="211"/>
      <c r="Y12" s="211"/>
      <c r="Z12" s="211"/>
      <c r="AA12" s="12"/>
      <c r="AB12" s="12"/>
      <c r="AC12" s="12"/>
      <c r="AD12" s="12"/>
      <c r="AE12" s="12"/>
    </row>
    <row r="13" spans="1:31" s="15" customFormat="1" ht="13.95" customHeight="1" x14ac:dyDescent="0.25">
      <c r="A13" s="209"/>
      <c r="B13" s="209"/>
      <c r="C13" s="211"/>
      <c r="D13" s="482" t="s">
        <v>31</v>
      </c>
      <c r="E13" s="483"/>
      <c r="F13" s="483"/>
      <c r="G13" s="483"/>
      <c r="H13" s="484"/>
      <c r="I13" s="450"/>
      <c r="J13" s="451" t="s">
        <v>42</v>
      </c>
      <c r="K13" s="211"/>
      <c r="L13" s="211"/>
      <c r="M13" s="228"/>
      <c r="N13" s="211"/>
      <c r="O13" s="211"/>
      <c r="P13" s="211"/>
      <c r="Q13" s="477"/>
      <c r="R13" s="477"/>
      <c r="S13" s="478"/>
      <c r="T13" s="485"/>
      <c r="U13" s="485"/>
      <c r="V13" s="223"/>
      <c r="W13" s="211"/>
      <c r="X13" s="211"/>
      <c r="Y13" s="211"/>
      <c r="Z13" s="211"/>
      <c r="AA13" s="12"/>
      <c r="AB13" s="12"/>
      <c r="AC13" s="12"/>
      <c r="AD13" s="12"/>
      <c r="AE13" s="12"/>
    </row>
    <row r="14" spans="1:31" s="15" customFormat="1" x14ac:dyDescent="0.25">
      <c r="A14" s="209"/>
      <c r="B14" s="209"/>
      <c r="C14" s="211"/>
      <c r="D14" s="226"/>
      <c r="E14" s="227"/>
      <c r="F14" s="227"/>
      <c r="G14" s="227"/>
      <c r="H14" s="227"/>
      <c r="I14" s="227"/>
      <c r="J14" s="227"/>
      <c r="K14" s="211"/>
      <c r="L14" s="211"/>
      <c r="M14" s="228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12"/>
      <c r="AB14" s="12"/>
      <c r="AC14" s="12"/>
      <c r="AD14" s="12"/>
      <c r="AE14" s="12"/>
    </row>
    <row r="15" spans="1:31" s="15" customFormat="1" ht="14.25" customHeight="1" x14ac:dyDescent="0.25">
      <c r="A15" s="209"/>
      <c r="B15" s="209"/>
      <c r="C15" s="211"/>
      <c r="D15" s="479" t="s">
        <v>35</v>
      </c>
      <c r="E15" s="479"/>
      <c r="F15" s="479"/>
      <c r="G15" s="479"/>
      <c r="H15" s="479"/>
      <c r="I15" s="211"/>
      <c r="J15" s="211"/>
      <c r="K15" s="211"/>
      <c r="L15" s="211"/>
      <c r="M15" s="228"/>
      <c r="N15" s="211"/>
      <c r="O15" s="211"/>
      <c r="P15" s="211"/>
      <c r="Q15" s="211"/>
      <c r="R15" s="211"/>
      <c r="S15" s="211"/>
      <c r="T15" s="211"/>
      <c r="U15" s="211"/>
      <c r="V15" s="211"/>
      <c r="W15" s="211"/>
      <c r="X15" s="211"/>
      <c r="Y15" s="211"/>
      <c r="Z15" s="211"/>
      <c r="AA15" s="12"/>
      <c r="AB15" s="12"/>
      <c r="AC15" s="12"/>
      <c r="AD15" s="12"/>
      <c r="AE15" s="12"/>
    </row>
    <row r="16" spans="1:31" s="15" customFormat="1" ht="14.25" customHeight="1" x14ac:dyDescent="0.25">
      <c r="A16" s="209"/>
      <c r="B16" s="209"/>
      <c r="C16" s="211"/>
      <c r="D16" s="479"/>
      <c r="E16" s="479"/>
      <c r="F16" s="479"/>
      <c r="G16" s="479"/>
      <c r="H16" s="479"/>
      <c r="I16" s="211"/>
      <c r="J16" s="211"/>
      <c r="K16" s="211"/>
      <c r="L16" s="211"/>
      <c r="M16" s="228"/>
      <c r="N16" s="211"/>
      <c r="O16" s="211"/>
      <c r="P16" s="211"/>
      <c r="Q16" s="211"/>
      <c r="R16" s="211"/>
      <c r="S16" s="211"/>
      <c r="T16" s="211"/>
      <c r="U16" s="211"/>
      <c r="V16" s="211"/>
      <c r="W16" s="211"/>
      <c r="X16" s="211"/>
      <c r="Y16" s="211"/>
      <c r="Z16" s="211"/>
      <c r="AA16" s="12"/>
      <c r="AB16" s="12"/>
      <c r="AC16" s="12"/>
      <c r="AD16" s="12"/>
      <c r="AE16" s="12"/>
    </row>
    <row r="17" spans="1:31" s="15" customFormat="1" x14ac:dyDescent="0.25">
      <c r="A17" s="209"/>
      <c r="B17" s="209"/>
      <c r="C17" s="211"/>
      <c r="D17" s="211"/>
      <c r="E17" s="450"/>
      <c r="F17" s="211"/>
      <c r="G17" s="211"/>
      <c r="H17" s="211"/>
      <c r="I17" s="211"/>
      <c r="J17" s="211"/>
      <c r="K17" s="211"/>
      <c r="L17" s="211"/>
      <c r="M17" s="228"/>
      <c r="N17" s="211"/>
      <c r="O17" s="211"/>
      <c r="P17" s="211"/>
      <c r="Q17" s="211"/>
      <c r="R17" s="211"/>
      <c r="S17" s="211"/>
      <c r="T17" s="211"/>
      <c r="U17" s="211"/>
      <c r="V17" s="211"/>
      <c r="W17" s="211"/>
      <c r="X17" s="211"/>
      <c r="Y17" s="211"/>
      <c r="Z17" s="211"/>
      <c r="AA17" s="12"/>
      <c r="AB17" s="12"/>
      <c r="AC17" s="12"/>
      <c r="AD17" s="12"/>
      <c r="AE17" s="12"/>
    </row>
    <row r="18" spans="1:31" s="15" customFormat="1" ht="10.95" customHeight="1" x14ac:dyDescent="0.25">
      <c r="A18" s="209"/>
      <c r="B18" s="209"/>
      <c r="C18" s="211"/>
      <c r="E18" s="450"/>
      <c r="G18" s="211"/>
      <c r="H18" s="211"/>
      <c r="I18" s="211"/>
      <c r="J18" s="211"/>
      <c r="K18" s="211"/>
      <c r="L18" s="211"/>
      <c r="M18" s="228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  <c r="Z18" s="211"/>
      <c r="AA18" s="12"/>
      <c r="AB18" s="12"/>
      <c r="AC18" s="12"/>
      <c r="AD18" s="12"/>
      <c r="AE18" s="12"/>
    </row>
    <row r="19" spans="1:31" s="15" customFormat="1" ht="24" customHeight="1" x14ac:dyDescent="0.25">
      <c r="A19" s="209"/>
      <c r="B19" s="209"/>
      <c r="C19" s="211"/>
      <c r="D19" s="215" t="str">
        <f>IF(D13="Future Value","","Future value:")</f>
        <v/>
      </c>
      <c r="E19" s="452">
        <v>900</v>
      </c>
      <c r="F19" s="218"/>
      <c r="G19" s="216" t="str">
        <f>IF(D13="Interest","","Interest(effective):")</f>
        <v>Interest(effective):</v>
      </c>
      <c r="H19" s="233">
        <v>0.05</v>
      </c>
      <c r="I19" s="29" t="str">
        <f>IF(D13="Interest","","or convert")</f>
        <v>or convert</v>
      </c>
      <c r="J19" s="465" t="s">
        <v>14</v>
      </c>
      <c r="K19" s="211"/>
      <c r="L19" s="211"/>
      <c r="M19" s="228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  <c r="Z19" s="211"/>
      <c r="AA19" s="12"/>
      <c r="AB19" s="12"/>
      <c r="AC19" s="12"/>
      <c r="AD19" s="12"/>
      <c r="AE19" s="12"/>
    </row>
    <row r="20" spans="1:31" s="15" customFormat="1" ht="15.75" customHeight="1" x14ac:dyDescent="0.25">
      <c r="A20" s="209"/>
      <c r="B20" s="209"/>
      <c r="C20" s="211"/>
      <c r="D20" s="211"/>
      <c r="E20" s="450"/>
      <c r="F20" s="211"/>
      <c r="H20" s="217"/>
      <c r="I20" s="211"/>
      <c r="J20" s="211"/>
      <c r="K20" s="211"/>
      <c r="L20" s="211"/>
      <c r="M20" s="228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  <c r="Z20" s="211"/>
      <c r="AA20" s="12"/>
      <c r="AB20" s="12"/>
      <c r="AC20" s="12"/>
      <c r="AD20" s="12"/>
      <c r="AE20" s="12"/>
    </row>
    <row r="21" spans="1:31" s="15" customFormat="1" ht="13.95" customHeight="1" x14ac:dyDescent="0.25">
      <c r="A21" s="209"/>
      <c r="B21" s="209"/>
      <c r="C21" s="211"/>
      <c r="E21" s="450"/>
      <c r="G21" s="211"/>
      <c r="H21" s="211"/>
      <c r="I21" s="234"/>
      <c r="J21" s="234"/>
      <c r="K21" s="211"/>
      <c r="L21" s="211"/>
      <c r="M21" s="228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211"/>
      <c r="AA21" s="12"/>
      <c r="AB21" s="12"/>
      <c r="AC21" s="12"/>
      <c r="AD21" s="12"/>
      <c r="AE21" s="12"/>
    </row>
    <row r="22" spans="1:31" s="15" customFormat="1" ht="21" x14ac:dyDescent="0.25">
      <c r="A22" s="209"/>
      <c r="B22" s="209"/>
      <c r="C22" s="211"/>
      <c r="D22" s="215" t="str">
        <f>IF(D13="Present Value","","Present value:")</f>
        <v>Present value:</v>
      </c>
      <c r="E22" s="452">
        <v>30000</v>
      </c>
      <c r="F22" s="453"/>
      <c r="G22" s="454" t="s">
        <v>43</v>
      </c>
      <c r="H22" s="455">
        <f>IF(J19="Yes",Converter!$X$29,'Single Investment'!H19)</f>
        <v>9.0902525807834714E-2</v>
      </c>
      <c r="I22" s="234"/>
      <c r="J22" s="234"/>
      <c r="K22" s="211"/>
      <c r="L22" s="211"/>
      <c r="M22" s="228"/>
      <c r="N22" s="211"/>
      <c r="O22" s="211"/>
      <c r="P22" s="211"/>
      <c r="Q22" s="211"/>
      <c r="R22" s="211"/>
      <c r="S22" s="211"/>
      <c r="T22" s="211"/>
      <c r="U22" s="211"/>
      <c r="V22" s="211"/>
      <c r="W22" s="211"/>
      <c r="X22" s="211"/>
      <c r="Y22" s="211"/>
      <c r="Z22" s="211"/>
      <c r="AA22" s="12"/>
      <c r="AB22" s="12"/>
      <c r="AC22" s="12"/>
      <c r="AD22" s="12"/>
      <c r="AE22" s="12"/>
    </row>
    <row r="23" spans="1:31" s="15" customFormat="1" ht="21" x14ac:dyDescent="0.25">
      <c r="A23" s="209"/>
      <c r="B23" s="209"/>
      <c r="C23" s="211"/>
      <c r="D23" s="218"/>
      <c r="E23" s="464"/>
      <c r="F23" s="214"/>
      <c r="G23" s="229"/>
      <c r="H23" s="219"/>
      <c r="I23" s="234"/>
      <c r="J23" s="234"/>
      <c r="L23" s="211"/>
      <c r="M23" s="228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12"/>
      <c r="AB23" s="12"/>
      <c r="AC23" s="12"/>
      <c r="AD23" s="12"/>
      <c r="AE23" s="12"/>
    </row>
    <row r="24" spans="1:31" s="15" customFormat="1" ht="19.95" customHeight="1" x14ac:dyDescent="0.4">
      <c r="A24" s="209"/>
      <c r="B24" s="209"/>
      <c r="C24" s="211"/>
      <c r="D24" s="220"/>
      <c r="E24" s="464"/>
      <c r="F24" s="214"/>
      <c r="G24" s="230"/>
      <c r="H24" s="231"/>
      <c r="I24" s="234"/>
      <c r="J24" s="234"/>
      <c r="K24" s="211"/>
      <c r="L24" s="211"/>
      <c r="M24" s="228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  <c r="Z24" s="211"/>
      <c r="AA24" s="12"/>
      <c r="AB24" s="12"/>
      <c r="AC24" s="12"/>
      <c r="AD24" s="12"/>
      <c r="AE24" s="12"/>
    </row>
    <row r="25" spans="1:31" s="15" customFormat="1" ht="13.95" customHeight="1" x14ac:dyDescent="0.25">
      <c r="A25" s="209"/>
      <c r="B25" s="209"/>
      <c r="C25" s="211"/>
      <c r="D25" s="211"/>
      <c r="E25" s="450"/>
      <c r="F25" s="211"/>
      <c r="G25" s="211"/>
      <c r="H25" s="221"/>
      <c r="I25" s="221"/>
      <c r="J25" s="221"/>
      <c r="K25" s="211"/>
      <c r="L25" s="211"/>
      <c r="M25" s="228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  <c r="Z25" s="211"/>
      <c r="AA25" s="12"/>
      <c r="AB25" s="12"/>
      <c r="AC25" s="12"/>
      <c r="AD25" s="12"/>
      <c r="AE25" s="12"/>
    </row>
    <row r="26" spans="1:31" s="15" customFormat="1" ht="21.6" customHeight="1" x14ac:dyDescent="0.25">
      <c r="A26" s="209"/>
      <c r="B26" s="209"/>
      <c r="C26" s="211"/>
      <c r="D26" s="215" t="s">
        <v>13</v>
      </c>
      <c r="E26" s="456">
        <v>4</v>
      </c>
      <c r="F26" s="453"/>
      <c r="G26" s="457" t="str">
        <f>IF(D13="Number of years","","Number of years:")</f>
        <v>Number of years:</v>
      </c>
      <c r="H26" s="458" t="s">
        <v>37</v>
      </c>
      <c r="I26" s="211"/>
      <c r="J26" s="211"/>
      <c r="K26" s="211"/>
      <c r="L26" s="211"/>
      <c r="M26" s="228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Z26" s="211"/>
      <c r="AA26" s="12"/>
      <c r="AB26" s="12"/>
      <c r="AC26" s="12"/>
      <c r="AD26" s="12"/>
      <c r="AE26" s="12"/>
    </row>
    <row r="27" spans="1:31" s="15" customFormat="1" x14ac:dyDescent="0.25">
      <c r="A27" s="209"/>
      <c r="B27" s="209"/>
      <c r="C27" s="211"/>
      <c r="D27" s="211"/>
      <c r="E27" s="211"/>
      <c r="F27" s="211"/>
      <c r="G27" s="211"/>
      <c r="H27" s="211"/>
      <c r="I27" s="211"/>
      <c r="J27" s="211"/>
      <c r="K27" s="211"/>
      <c r="L27" s="211"/>
      <c r="M27" s="228"/>
      <c r="N27" s="211"/>
      <c r="O27" s="211"/>
      <c r="P27" s="211"/>
      <c r="Q27" s="211"/>
      <c r="R27" s="211"/>
      <c r="S27" s="211"/>
      <c r="T27" s="211"/>
      <c r="U27" s="211"/>
      <c r="V27" s="211"/>
      <c r="W27" s="211"/>
      <c r="X27" s="211"/>
      <c r="Y27" s="211"/>
      <c r="Z27" s="211"/>
      <c r="AA27" s="12"/>
      <c r="AB27" s="12"/>
      <c r="AC27" s="12"/>
      <c r="AD27" s="12"/>
      <c r="AE27" s="12"/>
    </row>
    <row r="28" spans="1:31" s="15" customFormat="1" x14ac:dyDescent="0.25">
      <c r="A28" s="209"/>
      <c r="B28" s="209"/>
      <c r="C28" s="211"/>
      <c r="D28" s="211"/>
      <c r="E28" s="211"/>
      <c r="F28" s="211"/>
      <c r="G28" s="211"/>
      <c r="H28" s="211"/>
      <c r="I28" s="211"/>
      <c r="J28" s="211"/>
      <c r="K28" s="211"/>
      <c r="L28" s="211"/>
      <c r="M28" s="228"/>
      <c r="N28" s="211"/>
      <c r="O28" s="211"/>
      <c r="P28" s="211"/>
      <c r="Q28" s="211"/>
      <c r="R28" s="211"/>
      <c r="S28" s="211"/>
      <c r="T28" s="211"/>
      <c r="U28" s="211"/>
      <c r="V28" s="211"/>
      <c r="W28" s="211"/>
      <c r="X28" s="211"/>
      <c r="Y28" s="211"/>
      <c r="Z28" s="211"/>
      <c r="AA28" s="12"/>
      <c r="AB28" s="12"/>
      <c r="AC28" s="12"/>
      <c r="AD28" s="12"/>
      <c r="AE28" s="12"/>
    </row>
    <row r="29" spans="1:31" s="15" customFormat="1" x14ac:dyDescent="0.25">
      <c r="A29" s="209"/>
      <c r="B29" s="209"/>
      <c r="C29" s="211"/>
      <c r="D29" s="474" t="s">
        <v>34</v>
      </c>
      <c r="E29" s="474"/>
      <c r="F29" s="474"/>
      <c r="G29" s="474"/>
      <c r="H29" s="474"/>
      <c r="I29" s="211"/>
      <c r="J29" s="211"/>
      <c r="K29" s="211"/>
      <c r="L29" s="211"/>
      <c r="M29" s="228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  <c r="AA29" s="12"/>
      <c r="AB29" s="12"/>
      <c r="AC29" s="12"/>
      <c r="AD29" s="12"/>
      <c r="AE29" s="12"/>
    </row>
    <row r="30" spans="1:31" s="15" customFormat="1" x14ac:dyDescent="0.25">
      <c r="A30" s="209"/>
      <c r="B30" s="209"/>
      <c r="C30" s="211"/>
      <c r="D30" s="475"/>
      <c r="E30" s="475"/>
      <c r="F30" s="475"/>
      <c r="G30" s="475"/>
      <c r="H30" s="475"/>
      <c r="I30" s="211"/>
      <c r="J30" s="211"/>
      <c r="K30" s="211"/>
      <c r="L30" s="211"/>
      <c r="M30" s="228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12"/>
      <c r="AB30" s="12"/>
      <c r="AC30" s="12"/>
      <c r="AD30" s="12"/>
      <c r="AE30" s="12"/>
    </row>
    <row r="31" spans="1:31" s="15" customFormat="1" x14ac:dyDescent="0.25">
      <c r="A31" s="209"/>
      <c r="B31" s="209"/>
      <c r="C31" s="211"/>
      <c r="D31" s="450"/>
      <c r="E31" s="450"/>
      <c r="F31" s="450"/>
      <c r="G31" s="450"/>
      <c r="H31" s="450"/>
      <c r="I31" s="450"/>
      <c r="J31" s="211"/>
      <c r="K31" s="211"/>
      <c r="L31" s="211"/>
      <c r="M31" s="228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12"/>
      <c r="AB31" s="12"/>
      <c r="AC31" s="12"/>
      <c r="AD31" s="12"/>
      <c r="AE31" s="12"/>
    </row>
    <row r="32" spans="1:31" s="15" customFormat="1" x14ac:dyDescent="0.25">
      <c r="A32" s="209"/>
      <c r="B32" s="209"/>
      <c r="C32" s="211"/>
      <c r="D32" s="450"/>
      <c r="E32" s="450"/>
      <c r="F32" s="450"/>
      <c r="G32" s="450"/>
      <c r="H32" s="450"/>
      <c r="I32" s="450"/>
      <c r="J32" s="211"/>
      <c r="K32" s="211"/>
      <c r="L32" s="211"/>
      <c r="M32" s="228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12"/>
      <c r="AB32" s="12"/>
      <c r="AC32" s="12"/>
      <c r="AD32" s="12"/>
      <c r="AE32" s="12"/>
    </row>
    <row r="33" spans="1:31" s="15" customFormat="1" ht="17.399999999999999" x14ac:dyDescent="0.25">
      <c r="A33" s="209"/>
      <c r="B33" s="209"/>
      <c r="C33" s="211"/>
      <c r="D33" s="459" t="str">
        <f>IF(H26="Dates","Date From:","")</f>
        <v>Date From:</v>
      </c>
      <c r="E33" s="460">
        <v>5</v>
      </c>
      <c r="F33" s="450"/>
      <c r="G33" s="457" t="str">
        <f>IF(H26="Dates","Date To:","")</f>
        <v>Date To:</v>
      </c>
      <c r="H33" s="461">
        <v>7310</v>
      </c>
      <c r="I33" s="450"/>
      <c r="J33" s="211"/>
      <c r="K33" s="211"/>
      <c r="L33" s="211"/>
      <c r="M33" s="228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12"/>
      <c r="AB33" s="12"/>
      <c r="AC33" s="12"/>
      <c r="AD33" s="12"/>
      <c r="AE33" s="12"/>
    </row>
    <row r="34" spans="1:31" s="15" customFormat="1" ht="28.2" customHeight="1" x14ac:dyDescent="0.25">
      <c r="A34" s="209"/>
      <c r="B34" s="209"/>
      <c r="C34" s="211"/>
      <c r="D34" s="450"/>
      <c r="E34" s="462"/>
      <c r="F34" s="450"/>
      <c r="G34" s="450"/>
      <c r="H34" s="462"/>
      <c r="I34" s="450"/>
      <c r="J34" s="211"/>
      <c r="K34" s="211"/>
      <c r="L34" s="211"/>
      <c r="M34" s="228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  <c r="Z34" s="211"/>
      <c r="AA34" s="12"/>
      <c r="AB34" s="12"/>
      <c r="AC34" s="12"/>
      <c r="AD34" s="12"/>
      <c r="AE34" s="12"/>
    </row>
    <row r="35" spans="1:31" s="15" customFormat="1" ht="17.399999999999999" x14ac:dyDescent="0.3">
      <c r="A35" s="209"/>
      <c r="B35" s="209"/>
      <c r="C35" s="211"/>
      <c r="D35" s="450"/>
      <c r="E35" s="486" t="str">
        <f>IF(H26="Number of years","Number of years:","")</f>
        <v/>
      </c>
      <c r="F35" s="486"/>
      <c r="G35" s="463">
        <v>1</v>
      </c>
      <c r="H35" s="450"/>
      <c r="I35" s="450"/>
      <c r="J35" s="211"/>
      <c r="K35" s="211"/>
      <c r="L35" s="211"/>
      <c r="M35" s="228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  <c r="Z35" s="211"/>
      <c r="AA35" s="12"/>
      <c r="AB35" s="12"/>
      <c r="AC35" s="12"/>
      <c r="AD35" s="12"/>
      <c r="AE35" s="12"/>
    </row>
    <row r="36" spans="1:31" s="15" customFormat="1" x14ac:dyDescent="0.25">
      <c r="A36" s="209"/>
      <c r="B36" s="209"/>
      <c r="C36" s="211"/>
      <c r="D36" s="450"/>
      <c r="E36" s="450"/>
      <c r="F36" s="450"/>
      <c r="G36" s="450"/>
      <c r="H36" s="450"/>
      <c r="I36" s="450"/>
      <c r="J36" s="211"/>
      <c r="K36" s="211"/>
      <c r="L36" s="211"/>
      <c r="M36" s="228"/>
      <c r="N36" s="211"/>
      <c r="O36" s="211"/>
      <c r="P36" s="211"/>
      <c r="Q36" s="211"/>
      <c r="R36" s="211"/>
      <c r="S36" s="211"/>
      <c r="T36" s="211"/>
      <c r="U36" s="211"/>
      <c r="V36" s="211"/>
      <c r="W36" s="211"/>
      <c r="X36" s="211"/>
      <c r="Y36" s="211"/>
      <c r="Z36" s="211"/>
      <c r="AA36" s="12"/>
      <c r="AB36" s="12"/>
      <c r="AC36" s="12"/>
      <c r="AD36" s="12"/>
      <c r="AE36" s="12"/>
    </row>
    <row r="37" spans="1:31" s="15" customFormat="1" ht="12" customHeight="1" x14ac:dyDescent="0.25">
      <c r="A37" s="209"/>
      <c r="B37" s="209"/>
      <c r="C37" s="211"/>
      <c r="G37" s="211"/>
      <c r="H37" s="211"/>
      <c r="I37" s="211"/>
      <c r="J37" s="211"/>
      <c r="K37" s="211"/>
      <c r="L37" s="211"/>
      <c r="M37" s="228"/>
      <c r="N37" s="211"/>
      <c r="O37" s="211"/>
      <c r="P37" s="211"/>
      <c r="Q37" s="211"/>
      <c r="R37" s="211"/>
      <c r="S37" s="211"/>
      <c r="T37" s="211"/>
      <c r="U37" s="211"/>
      <c r="V37" s="211"/>
      <c r="W37" s="211"/>
      <c r="X37" s="211"/>
      <c r="Y37" s="211"/>
      <c r="Z37" s="211"/>
      <c r="AA37" s="12"/>
      <c r="AB37" s="12"/>
      <c r="AC37" s="12"/>
      <c r="AD37" s="12"/>
      <c r="AE37" s="12"/>
    </row>
    <row r="38" spans="1:31" s="15" customFormat="1" ht="37.200000000000003" customHeight="1" x14ac:dyDescent="0.25">
      <c r="A38" s="209"/>
      <c r="B38" s="209"/>
      <c r="C38" s="211"/>
      <c r="E38" s="473" t="s">
        <v>36</v>
      </c>
      <c r="F38" s="473"/>
      <c r="G38" s="232">
        <f>IF(H26="Dates",YEARFRAC(E33,H33),G35)</f>
        <v>20</v>
      </c>
      <c r="H38" s="211"/>
      <c r="I38" s="211"/>
      <c r="J38" s="211"/>
      <c r="K38" s="211"/>
      <c r="L38" s="211"/>
      <c r="M38" s="228"/>
      <c r="N38" s="211"/>
      <c r="O38" s="211"/>
      <c r="P38" s="211"/>
      <c r="Q38" s="211"/>
      <c r="R38" s="211"/>
      <c r="S38" s="211"/>
      <c r="T38" s="211"/>
      <c r="U38" s="211"/>
      <c r="V38" s="211"/>
      <c r="W38" s="211"/>
      <c r="X38" s="211"/>
      <c r="Y38" s="211"/>
      <c r="Z38" s="211"/>
      <c r="AA38" s="12"/>
      <c r="AB38" s="12"/>
      <c r="AC38" s="12"/>
      <c r="AD38" s="12"/>
      <c r="AE38" s="12"/>
    </row>
    <row r="39" spans="1:31" s="15" customFormat="1" ht="24" x14ac:dyDescent="0.25">
      <c r="A39" s="209"/>
      <c r="B39" s="209"/>
      <c r="C39" s="211"/>
      <c r="D39" s="222"/>
      <c r="E39" s="222"/>
      <c r="F39" s="222"/>
      <c r="G39" s="211"/>
      <c r="H39" s="211"/>
      <c r="I39" s="211"/>
      <c r="J39" s="211"/>
      <c r="K39" s="211"/>
      <c r="L39" s="211"/>
      <c r="M39" s="211"/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  <c r="Z39" s="211"/>
      <c r="AA39" s="12"/>
      <c r="AB39" s="12"/>
      <c r="AC39" s="12"/>
      <c r="AD39" s="12"/>
      <c r="AE39" s="12"/>
    </row>
    <row r="40" spans="1:31" s="15" customFormat="1" x14ac:dyDescent="0.25">
      <c r="A40" s="209"/>
      <c r="B40" s="209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  <c r="Z40" s="211"/>
      <c r="AA40" s="12"/>
      <c r="AB40" s="12"/>
      <c r="AC40" s="12"/>
      <c r="AD40" s="12"/>
      <c r="AE40" s="12"/>
    </row>
    <row r="41" spans="1:31" s="15" customFormat="1" x14ac:dyDescent="0.25">
      <c r="A41" s="209"/>
      <c r="B41" s="209"/>
      <c r="C41" s="211"/>
      <c r="D41" s="211"/>
      <c r="E41" s="211"/>
      <c r="F41" s="211"/>
      <c r="G41" s="211"/>
      <c r="H41" s="211"/>
      <c r="I41" s="211"/>
      <c r="J41" s="211"/>
      <c r="K41" s="211"/>
      <c r="L41" s="211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  <c r="Z41" s="211"/>
      <c r="AA41" s="12"/>
      <c r="AB41" s="12"/>
      <c r="AC41" s="12"/>
      <c r="AD41" s="12"/>
      <c r="AE41" s="12"/>
    </row>
    <row r="42" spans="1:31" s="15" customFormat="1" x14ac:dyDescent="0.25">
      <c r="A42" s="209"/>
      <c r="B42" s="209"/>
      <c r="C42" s="211"/>
      <c r="D42" s="211"/>
      <c r="E42" s="211"/>
      <c r="F42" s="211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Z42" s="211"/>
      <c r="AA42" s="12"/>
      <c r="AB42" s="12"/>
      <c r="AC42" s="12"/>
      <c r="AD42" s="12"/>
      <c r="AE42" s="12"/>
    </row>
    <row r="43" spans="1:31" s="15" customFormat="1" x14ac:dyDescent="0.25">
      <c r="A43" s="209"/>
      <c r="B43" s="209"/>
      <c r="C43" s="211"/>
      <c r="D43" s="211"/>
      <c r="E43" s="211"/>
      <c r="F43" s="211"/>
      <c r="G43" s="211"/>
      <c r="H43" s="211"/>
      <c r="I43" s="211"/>
      <c r="J43" s="211"/>
      <c r="K43" s="211"/>
      <c r="L43" s="211"/>
      <c r="M43" s="211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Z43" s="211"/>
      <c r="AA43" s="12"/>
      <c r="AB43" s="12"/>
      <c r="AC43" s="12"/>
      <c r="AD43" s="12"/>
      <c r="AE43" s="12"/>
    </row>
    <row r="44" spans="1:31" s="15" customFormat="1" x14ac:dyDescent="0.25">
      <c r="A44" s="209"/>
      <c r="B44" s="209"/>
      <c r="C44" s="211"/>
      <c r="D44" s="211"/>
      <c r="E44" s="211"/>
      <c r="F44" s="211"/>
      <c r="G44" s="211"/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Z44" s="211"/>
      <c r="AA44" s="12"/>
      <c r="AB44" s="12"/>
      <c r="AC44" s="12"/>
      <c r="AD44" s="12"/>
      <c r="AE44" s="12"/>
    </row>
    <row r="45" spans="1:31" s="15" customFormat="1" x14ac:dyDescent="0.25">
      <c r="A45" s="209"/>
      <c r="B45" s="209"/>
      <c r="C45" s="211"/>
      <c r="D45" s="211"/>
      <c r="E45" s="211"/>
      <c r="F45" s="211"/>
      <c r="G45" s="211"/>
      <c r="H45" s="211"/>
      <c r="I45" s="211"/>
      <c r="J45" s="211"/>
      <c r="K45" s="211"/>
      <c r="L45" s="211"/>
      <c r="M45" s="211"/>
      <c r="N45" s="211"/>
      <c r="O45" s="211"/>
      <c r="P45" s="211"/>
      <c r="Q45" s="211"/>
      <c r="R45" s="211"/>
      <c r="S45" s="211"/>
      <c r="T45" s="211"/>
      <c r="U45" s="211"/>
      <c r="V45" s="211"/>
      <c r="W45" s="211"/>
      <c r="X45" s="211"/>
      <c r="Y45" s="211"/>
      <c r="Z45" s="211"/>
      <c r="AA45" s="12"/>
      <c r="AB45" s="12"/>
      <c r="AC45" s="12"/>
      <c r="AD45" s="12"/>
      <c r="AE45" s="12"/>
    </row>
    <row r="46" spans="1:31" s="15" customFormat="1" x14ac:dyDescent="0.25">
      <c r="A46" s="209"/>
      <c r="B46" s="209"/>
      <c r="C46" s="211"/>
      <c r="D46" s="211"/>
      <c r="E46" s="211"/>
      <c r="F46" s="211"/>
      <c r="G46" s="211"/>
      <c r="H46" s="211"/>
      <c r="I46" s="211"/>
      <c r="J46" s="211"/>
      <c r="K46" s="211"/>
      <c r="L46" s="211"/>
      <c r="M46" s="211"/>
      <c r="N46" s="211"/>
      <c r="O46" s="211"/>
      <c r="P46" s="211"/>
      <c r="Q46" s="211"/>
      <c r="R46" s="211"/>
      <c r="S46" s="211"/>
      <c r="T46" s="211"/>
      <c r="U46" s="211"/>
      <c r="V46" s="211"/>
      <c r="W46" s="211"/>
      <c r="X46" s="211"/>
      <c r="Y46" s="211"/>
      <c r="Z46" s="211"/>
      <c r="AA46" s="12"/>
      <c r="AB46" s="12"/>
      <c r="AC46" s="12"/>
      <c r="AD46" s="12"/>
      <c r="AE46" s="12"/>
    </row>
    <row r="47" spans="1:31" s="15" customFormat="1" x14ac:dyDescent="0.25">
      <c r="A47" s="209"/>
      <c r="B47" s="209"/>
      <c r="C47" s="211"/>
      <c r="D47" s="211"/>
      <c r="E47" s="211"/>
      <c r="F47" s="211"/>
      <c r="G47" s="211"/>
      <c r="H47" s="211"/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  <c r="AA47" s="12"/>
      <c r="AB47" s="12"/>
      <c r="AC47" s="12"/>
      <c r="AD47" s="12"/>
      <c r="AE47" s="12"/>
    </row>
    <row r="48" spans="1:31" s="15" customFormat="1" x14ac:dyDescent="0.25">
      <c r="A48" s="209"/>
      <c r="B48" s="209"/>
      <c r="C48" s="211"/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Z48" s="211"/>
      <c r="AA48" s="12"/>
      <c r="AB48" s="12"/>
      <c r="AC48" s="12"/>
      <c r="AD48" s="12"/>
      <c r="AE48" s="12"/>
    </row>
    <row r="49" spans="1:31" s="15" customFormat="1" x14ac:dyDescent="0.25">
      <c r="A49" s="209"/>
      <c r="B49" s="209"/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Z49" s="211"/>
      <c r="AA49" s="12"/>
      <c r="AB49" s="12"/>
      <c r="AC49" s="12"/>
      <c r="AD49" s="12"/>
      <c r="AE49" s="12"/>
    </row>
    <row r="50" spans="1:31" s="15" customFormat="1" x14ac:dyDescent="0.25">
      <c r="A50" s="209"/>
      <c r="B50" s="209"/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Z50" s="211"/>
      <c r="AA50" s="12"/>
      <c r="AB50" s="12"/>
      <c r="AC50" s="12"/>
      <c r="AD50" s="12"/>
      <c r="AE50" s="12"/>
    </row>
    <row r="51" spans="1:31" s="15" customFormat="1" x14ac:dyDescent="0.25">
      <c r="A51" s="43"/>
      <c r="B51" s="43"/>
      <c r="AA51" s="12"/>
      <c r="AB51" s="12"/>
      <c r="AC51" s="12"/>
      <c r="AD51" s="12"/>
      <c r="AE51" s="12"/>
    </row>
    <row r="52" spans="1:31" s="15" customFormat="1" x14ac:dyDescent="0.25">
      <c r="A52" s="43"/>
      <c r="B52" s="43"/>
      <c r="AA52" s="12"/>
      <c r="AB52" s="12"/>
      <c r="AC52" s="12"/>
      <c r="AD52" s="12"/>
      <c r="AE52" s="12"/>
    </row>
    <row r="53" spans="1:31" s="15" customFormat="1" x14ac:dyDescent="0.25">
      <c r="A53" s="43"/>
      <c r="B53" s="43"/>
      <c r="AA53" s="12"/>
      <c r="AB53" s="12"/>
      <c r="AC53" s="12"/>
      <c r="AD53" s="12"/>
      <c r="AE53" s="12"/>
    </row>
    <row r="54" spans="1:31" s="15" customFormat="1" x14ac:dyDescent="0.25">
      <c r="A54" s="43"/>
      <c r="B54" s="43"/>
      <c r="AA54" s="12"/>
      <c r="AB54" s="12"/>
      <c r="AC54" s="12"/>
      <c r="AD54" s="12"/>
      <c r="AE54" s="12"/>
    </row>
    <row r="55" spans="1:31" s="15" customFormat="1" x14ac:dyDescent="0.25">
      <c r="A55" s="43"/>
      <c r="B55" s="43"/>
      <c r="AA55" s="12"/>
      <c r="AB55" s="12"/>
      <c r="AC55" s="12"/>
      <c r="AD55" s="12"/>
      <c r="AE55" s="12"/>
    </row>
    <row r="56" spans="1:31" s="15" customFormat="1" x14ac:dyDescent="0.25">
      <c r="A56" s="43"/>
      <c r="B56" s="43"/>
      <c r="AA56" s="12"/>
      <c r="AB56" s="12"/>
      <c r="AC56" s="12"/>
      <c r="AD56" s="12"/>
      <c r="AE56" s="12"/>
    </row>
    <row r="57" spans="1:31" s="15" customFormat="1" x14ac:dyDescent="0.25">
      <c r="A57" s="43"/>
      <c r="B57" s="43"/>
      <c r="AA57" s="12"/>
      <c r="AB57" s="12"/>
      <c r="AC57" s="12"/>
      <c r="AD57" s="12"/>
      <c r="AE57" s="12"/>
    </row>
    <row r="58" spans="1:31" s="15" customFormat="1" x14ac:dyDescent="0.25">
      <c r="A58" s="43"/>
      <c r="B58" s="43"/>
      <c r="AA58" s="12"/>
      <c r="AB58" s="12"/>
      <c r="AC58" s="12"/>
      <c r="AD58" s="12"/>
      <c r="AE58" s="12"/>
    </row>
    <row r="59" spans="1:31" s="15" customFormat="1" x14ac:dyDescent="0.25">
      <c r="A59" s="43"/>
      <c r="B59" s="43"/>
      <c r="AA59" s="12"/>
      <c r="AB59" s="12"/>
      <c r="AC59" s="12"/>
      <c r="AD59" s="12"/>
      <c r="AE59" s="12"/>
    </row>
    <row r="60" spans="1:31" s="15" customFormat="1" x14ac:dyDescent="0.25">
      <c r="A60" s="43"/>
      <c r="B60" s="43"/>
      <c r="AA60" s="12"/>
      <c r="AB60" s="12"/>
      <c r="AC60" s="12"/>
      <c r="AD60" s="12"/>
      <c r="AE60" s="12"/>
    </row>
    <row r="61" spans="1:31" s="15" customFormat="1" x14ac:dyDescent="0.25">
      <c r="A61" s="43"/>
      <c r="B61" s="43"/>
      <c r="AA61" s="12"/>
      <c r="AB61" s="12"/>
      <c r="AC61" s="12"/>
      <c r="AD61" s="12"/>
      <c r="AE61" s="12"/>
    </row>
    <row r="62" spans="1:31" s="15" customFormat="1" x14ac:dyDescent="0.25">
      <c r="A62" s="43"/>
      <c r="B62" s="43"/>
      <c r="AA62" s="12"/>
      <c r="AB62" s="12"/>
      <c r="AC62" s="12"/>
      <c r="AD62" s="12"/>
      <c r="AE62" s="12"/>
    </row>
    <row r="63" spans="1:31" s="15" customFormat="1" x14ac:dyDescent="0.25">
      <c r="A63" s="43"/>
      <c r="B63" s="43"/>
      <c r="AA63" s="12"/>
      <c r="AB63" s="12"/>
      <c r="AC63" s="12"/>
      <c r="AD63" s="12"/>
      <c r="AE63" s="12"/>
    </row>
    <row r="64" spans="1:31" s="15" customFormat="1" x14ac:dyDescent="0.25">
      <c r="A64" s="43"/>
      <c r="B64" s="43"/>
      <c r="AA64" s="12"/>
      <c r="AB64" s="12"/>
      <c r="AC64" s="12"/>
      <c r="AD64" s="12"/>
      <c r="AE64" s="12"/>
    </row>
    <row r="65" spans="1:31" s="15" customFormat="1" x14ac:dyDescent="0.25">
      <c r="A65" s="43"/>
      <c r="B65" s="43"/>
      <c r="AA65" s="12"/>
      <c r="AB65" s="12"/>
      <c r="AC65" s="12"/>
      <c r="AD65" s="12"/>
      <c r="AE65" s="12"/>
    </row>
    <row r="66" spans="1:31" s="15" customFormat="1" x14ac:dyDescent="0.25">
      <c r="A66" s="43"/>
      <c r="B66" s="43"/>
      <c r="AA66" s="12"/>
      <c r="AB66" s="12"/>
      <c r="AC66" s="12"/>
      <c r="AD66" s="12"/>
      <c r="AE66" s="12"/>
    </row>
    <row r="67" spans="1:31" s="15" customFormat="1" x14ac:dyDescent="0.25">
      <c r="A67" s="43"/>
      <c r="B67" s="43"/>
      <c r="AA67" s="12"/>
      <c r="AB67" s="12"/>
      <c r="AC67" s="12"/>
      <c r="AD67" s="12"/>
      <c r="AE67" s="12"/>
    </row>
    <row r="68" spans="1:31" s="15" customFormat="1" x14ac:dyDescent="0.25">
      <c r="A68" s="43"/>
      <c r="B68" s="43"/>
      <c r="AA68" s="12"/>
      <c r="AB68" s="12"/>
      <c r="AC68" s="12"/>
      <c r="AD68" s="12"/>
      <c r="AE68" s="12"/>
    </row>
    <row r="69" spans="1:31" s="15" customFormat="1" x14ac:dyDescent="0.25">
      <c r="A69" s="43"/>
      <c r="B69" s="43"/>
      <c r="AA69" s="12"/>
      <c r="AB69" s="12"/>
      <c r="AC69" s="12"/>
      <c r="AD69" s="12"/>
      <c r="AE69" s="12"/>
    </row>
    <row r="70" spans="1:31" s="15" customFormat="1" x14ac:dyDescent="0.25">
      <c r="A70" s="43"/>
      <c r="B70" s="43"/>
      <c r="AA70" s="12"/>
      <c r="AB70" s="12"/>
      <c r="AC70" s="12"/>
      <c r="AD70" s="12"/>
      <c r="AE70" s="12"/>
    </row>
    <row r="71" spans="1:31" s="15" customFormat="1" x14ac:dyDescent="0.25">
      <c r="A71" s="43"/>
      <c r="B71" s="43"/>
      <c r="AA71" s="12"/>
      <c r="AB71" s="12"/>
      <c r="AC71" s="12"/>
      <c r="AD71" s="12"/>
      <c r="AE71" s="12"/>
    </row>
    <row r="72" spans="1:31" s="15" customFormat="1" x14ac:dyDescent="0.25">
      <c r="A72" s="43"/>
      <c r="B72" s="43"/>
      <c r="AA72" s="12"/>
      <c r="AB72" s="12"/>
      <c r="AC72" s="12"/>
      <c r="AD72" s="12"/>
      <c r="AE72" s="12"/>
    </row>
    <row r="73" spans="1:31" s="15" customFormat="1" x14ac:dyDescent="0.25">
      <c r="A73" s="43"/>
      <c r="B73" s="43"/>
      <c r="AA73" s="12"/>
      <c r="AB73" s="12"/>
      <c r="AC73" s="12"/>
      <c r="AD73" s="12"/>
      <c r="AE73" s="12"/>
    </row>
    <row r="74" spans="1:31" s="15" customFormat="1" x14ac:dyDescent="0.25">
      <c r="A74" s="43"/>
      <c r="B74" s="43"/>
      <c r="AA74" s="12"/>
      <c r="AB74" s="12"/>
      <c r="AC74" s="12"/>
      <c r="AD74" s="12"/>
      <c r="AE74" s="12"/>
    </row>
    <row r="75" spans="1:31" s="15" customFormat="1" x14ac:dyDescent="0.25">
      <c r="A75" s="43"/>
      <c r="B75" s="43"/>
      <c r="AA75" s="12"/>
      <c r="AB75" s="12"/>
      <c r="AC75" s="12"/>
      <c r="AD75" s="12"/>
      <c r="AE75" s="12"/>
    </row>
    <row r="76" spans="1:31" s="15" customFormat="1" x14ac:dyDescent="0.25">
      <c r="A76" s="43"/>
      <c r="B76" s="43"/>
      <c r="AA76" s="12"/>
      <c r="AB76" s="12"/>
      <c r="AC76" s="12"/>
      <c r="AD76" s="12"/>
      <c r="AE76" s="12"/>
    </row>
    <row r="77" spans="1:31" s="15" customFormat="1" x14ac:dyDescent="0.25">
      <c r="A77" s="43"/>
      <c r="B77" s="43"/>
      <c r="AA77" s="12"/>
      <c r="AB77" s="12"/>
      <c r="AC77" s="12"/>
      <c r="AD77" s="12"/>
      <c r="AE77" s="12"/>
    </row>
    <row r="78" spans="1:31" s="15" customFormat="1" x14ac:dyDescent="0.25">
      <c r="A78" s="43"/>
      <c r="B78" s="43"/>
      <c r="AA78" s="12"/>
      <c r="AB78" s="12"/>
      <c r="AC78" s="12"/>
      <c r="AD78" s="12"/>
      <c r="AE78" s="12"/>
    </row>
    <row r="79" spans="1:31" s="15" customFormat="1" x14ac:dyDescent="0.25">
      <c r="A79" s="43"/>
      <c r="B79" s="43"/>
      <c r="AA79" s="12"/>
      <c r="AB79" s="12"/>
      <c r="AC79" s="12"/>
      <c r="AD79" s="12"/>
      <c r="AE79" s="12"/>
    </row>
    <row r="80" spans="1:31" s="15" customFormat="1" x14ac:dyDescent="0.25">
      <c r="A80" s="43"/>
      <c r="B80" s="43"/>
      <c r="AA80" s="12"/>
      <c r="AB80" s="12"/>
      <c r="AC80" s="12"/>
      <c r="AD80" s="12"/>
      <c r="AE80" s="12"/>
    </row>
    <row r="81" spans="1:31" s="15" customFormat="1" x14ac:dyDescent="0.25">
      <c r="A81" s="43"/>
      <c r="B81" s="43"/>
      <c r="AA81" s="12"/>
      <c r="AB81" s="12"/>
      <c r="AC81" s="12"/>
      <c r="AD81" s="12"/>
      <c r="AE81" s="12"/>
    </row>
    <row r="82" spans="1:31" s="15" customFormat="1" x14ac:dyDescent="0.25">
      <c r="A82" s="43"/>
      <c r="B82" s="43"/>
      <c r="AA82" s="12"/>
      <c r="AB82" s="12"/>
      <c r="AC82" s="12"/>
      <c r="AD82" s="12"/>
      <c r="AE82" s="12"/>
    </row>
    <row r="83" spans="1:31" s="15" customFormat="1" x14ac:dyDescent="0.25">
      <c r="A83" s="43"/>
      <c r="B83" s="43"/>
      <c r="AA83" s="12"/>
      <c r="AB83" s="12"/>
      <c r="AC83" s="12"/>
      <c r="AD83" s="12"/>
      <c r="AE83" s="12"/>
    </row>
    <row r="84" spans="1:31" s="15" customFormat="1" x14ac:dyDescent="0.25">
      <c r="A84" s="43"/>
      <c r="B84" s="43"/>
      <c r="AA84" s="12"/>
      <c r="AB84" s="12"/>
      <c r="AC84" s="12"/>
      <c r="AD84" s="12"/>
      <c r="AE84" s="12"/>
    </row>
    <row r="85" spans="1:31" s="15" customFormat="1" x14ac:dyDescent="0.25">
      <c r="A85" s="43"/>
      <c r="B85" s="43"/>
      <c r="AA85" s="12"/>
      <c r="AB85" s="12"/>
      <c r="AC85" s="12"/>
      <c r="AD85" s="12"/>
      <c r="AE85" s="12"/>
    </row>
    <row r="86" spans="1:31" s="15" customFormat="1" x14ac:dyDescent="0.25">
      <c r="A86" s="43"/>
      <c r="B86" s="43"/>
      <c r="AA86" s="12"/>
      <c r="AB86" s="12"/>
      <c r="AC86" s="12"/>
      <c r="AD86" s="12"/>
      <c r="AE86" s="12"/>
    </row>
    <row r="87" spans="1:31" s="15" customFormat="1" x14ac:dyDescent="0.25">
      <c r="A87" s="43"/>
      <c r="B87" s="43"/>
      <c r="AA87" s="12"/>
      <c r="AB87" s="12"/>
      <c r="AC87" s="12"/>
      <c r="AD87" s="12"/>
      <c r="AE87" s="12"/>
    </row>
    <row r="88" spans="1:31" s="15" customFormat="1" x14ac:dyDescent="0.25">
      <c r="A88" s="43"/>
      <c r="B88" s="43"/>
      <c r="AA88" s="12"/>
      <c r="AB88" s="12"/>
      <c r="AC88" s="12"/>
      <c r="AD88" s="12"/>
      <c r="AE88" s="12"/>
    </row>
    <row r="89" spans="1:31" s="15" customFormat="1" x14ac:dyDescent="0.25">
      <c r="A89" s="43"/>
      <c r="B89" s="43"/>
      <c r="AA89" s="12"/>
      <c r="AB89" s="12"/>
      <c r="AC89" s="12"/>
      <c r="AD89" s="12"/>
      <c r="AE89" s="12"/>
    </row>
    <row r="90" spans="1:31" s="15" customFormat="1" x14ac:dyDescent="0.25">
      <c r="A90" s="43"/>
      <c r="B90" s="43"/>
      <c r="AA90" s="12"/>
      <c r="AB90" s="12"/>
      <c r="AC90" s="12"/>
      <c r="AD90" s="12"/>
      <c r="AE90" s="12"/>
    </row>
    <row r="91" spans="1:31" s="15" customFormat="1" x14ac:dyDescent="0.25">
      <c r="A91" s="43"/>
      <c r="B91" s="43"/>
      <c r="AA91" s="12"/>
      <c r="AB91" s="12"/>
      <c r="AC91" s="12"/>
      <c r="AD91" s="12"/>
      <c r="AE91" s="12"/>
    </row>
    <row r="92" spans="1:31" s="15" customFormat="1" x14ac:dyDescent="0.25">
      <c r="A92" s="43"/>
      <c r="B92" s="43"/>
      <c r="AA92" s="12"/>
      <c r="AB92" s="12"/>
      <c r="AC92" s="12"/>
      <c r="AD92" s="12"/>
      <c r="AE92" s="12"/>
    </row>
    <row r="93" spans="1:31" s="15" customFormat="1" x14ac:dyDescent="0.25">
      <c r="A93" s="43"/>
      <c r="B93" s="43"/>
      <c r="AA93" s="12"/>
      <c r="AB93" s="12"/>
      <c r="AC93" s="12"/>
      <c r="AD93" s="12"/>
      <c r="AE93" s="12"/>
    </row>
    <row r="94" spans="1:31" s="15" customFormat="1" x14ac:dyDescent="0.25">
      <c r="A94" s="43"/>
      <c r="B94" s="43"/>
      <c r="AA94" s="12"/>
      <c r="AB94" s="12"/>
      <c r="AC94" s="12"/>
      <c r="AD94" s="12"/>
      <c r="AE94" s="12"/>
    </row>
    <row r="95" spans="1:31" s="15" customFormat="1" x14ac:dyDescent="0.25">
      <c r="A95" s="43"/>
      <c r="B95" s="43"/>
      <c r="AA95" s="12"/>
      <c r="AB95" s="12"/>
      <c r="AC95" s="12"/>
      <c r="AD95" s="12"/>
      <c r="AE95" s="12"/>
    </row>
    <row r="96" spans="1:31" s="15" customFormat="1" x14ac:dyDescent="0.25">
      <c r="A96" s="43"/>
      <c r="B96" s="43"/>
      <c r="AA96" s="12"/>
      <c r="AB96" s="12"/>
      <c r="AC96" s="12"/>
      <c r="AD96" s="12"/>
      <c r="AE96" s="12"/>
    </row>
    <row r="97" spans="1:31" s="15" customFormat="1" x14ac:dyDescent="0.25">
      <c r="A97" s="43"/>
      <c r="B97" s="43"/>
      <c r="AA97" s="12"/>
      <c r="AB97" s="12"/>
      <c r="AC97" s="12"/>
      <c r="AD97" s="12"/>
      <c r="AE97" s="12"/>
    </row>
    <row r="98" spans="1:31" s="15" customFormat="1" x14ac:dyDescent="0.25">
      <c r="A98" s="43"/>
      <c r="B98" s="43"/>
      <c r="AA98" s="12"/>
      <c r="AB98" s="12"/>
      <c r="AC98" s="12"/>
      <c r="AD98" s="12"/>
      <c r="AE98" s="12"/>
    </row>
    <row r="99" spans="1:31" s="15" customFormat="1" x14ac:dyDescent="0.25">
      <c r="A99" s="43"/>
      <c r="B99" s="43"/>
      <c r="AA99" s="12"/>
      <c r="AB99" s="12"/>
      <c r="AC99" s="12"/>
      <c r="AD99" s="12"/>
      <c r="AE99" s="12"/>
    </row>
    <row r="100" spans="1:31" s="15" customFormat="1" x14ac:dyDescent="0.25">
      <c r="A100" s="43"/>
      <c r="B100" s="43"/>
      <c r="AA100" s="12"/>
      <c r="AB100" s="12"/>
      <c r="AC100" s="12"/>
      <c r="AD100" s="12"/>
      <c r="AE100" s="12"/>
    </row>
    <row r="101" spans="1:31" s="15" customFormat="1" x14ac:dyDescent="0.25">
      <c r="A101" s="43"/>
      <c r="B101" s="43"/>
      <c r="AA101" s="12"/>
      <c r="AB101" s="12"/>
      <c r="AC101" s="12"/>
      <c r="AD101" s="12"/>
      <c r="AE101" s="12"/>
    </row>
    <row r="102" spans="1:31" s="15" customFormat="1" x14ac:dyDescent="0.25">
      <c r="A102" s="43"/>
      <c r="B102" s="43"/>
      <c r="AA102" s="12"/>
      <c r="AB102" s="12"/>
      <c r="AC102" s="12"/>
      <c r="AD102" s="12"/>
      <c r="AE102" s="12"/>
    </row>
    <row r="103" spans="1:31" s="15" customFormat="1" x14ac:dyDescent="0.25">
      <c r="A103" s="43"/>
      <c r="B103" s="43"/>
      <c r="AA103" s="12"/>
      <c r="AB103" s="12"/>
      <c r="AC103" s="12"/>
      <c r="AD103" s="12"/>
      <c r="AE103" s="12"/>
    </row>
    <row r="104" spans="1:31" s="15" customFormat="1" x14ac:dyDescent="0.25">
      <c r="A104" s="43"/>
      <c r="B104" s="43"/>
      <c r="AA104" s="12"/>
      <c r="AB104" s="12"/>
      <c r="AC104" s="12"/>
      <c r="AD104" s="12"/>
      <c r="AE104" s="12"/>
    </row>
    <row r="105" spans="1:31" s="15" customFormat="1" x14ac:dyDescent="0.25">
      <c r="A105" s="43"/>
      <c r="B105" s="43"/>
      <c r="AA105" s="12"/>
      <c r="AB105" s="12"/>
      <c r="AC105" s="12"/>
      <c r="AD105" s="12"/>
      <c r="AE105" s="12"/>
    </row>
    <row r="106" spans="1:31" s="15" customFormat="1" x14ac:dyDescent="0.25">
      <c r="A106" s="43"/>
      <c r="B106" s="43"/>
      <c r="AA106" s="12"/>
      <c r="AB106" s="12"/>
      <c r="AC106" s="12"/>
      <c r="AD106" s="12"/>
      <c r="AE106" s="12"/>
    </row>
    <row r="107" spans="1:31" s="15" customFormat="1" x14ac:dyDescent="0.25">
      <c r="A107" s="43"/>
      <c r="B107" s="43"/>
      <c r="AA107" s="12"/>
      <c r="AB107" s="12"/>
      <c r="AC107" s="12"/>
      <c r="AD107" s="12"/>
      <c r="AE107" s="12"/>
    </row>
    <row r="108" spans="1:31" s="15" customFormat="1" x14ac:dyDescent="0.25">
      <c r="A108" s="43"/>
      <c r="B108" s="43"/>
      <c r="AA108" s="12"/>
      <c r="AB108" s="12"/>
      <c r="AC108" s="12"/>
      <c r="AD108" s="12"/>
      <c r="AE108" s="12"/>
    </row>
    <row r="109" spans="1:31" s="15" customFormat="1" x14ac:dyDescent="0.25">
      <c r="A109" s="43"/>
      <c r="B109" s="43"/>
      <c r="AA109" s="12"/>
      <c r="AB109" s="12"/>
      <c r="AC109" s="12"/>
      <c r="AD109" s="12"/>
      <c r="AE109" s="12"/>
    </row>
    <row r="110" spans="1:31" s="15" customFormat="1" x14ac:dyDescent="0.25">
      <c r="A110" s="43"/>
      <c r="B110" s="43"/>
      <c r="AA110" s="12"/>
      <c r="AB110" s="12"/>
      <c r="AC110" s="12"/>
      <c r="AD110" s="12"/>
      <c r="AE110" s="12"/>
    </row>
    <row r="111" spans="1:31" s="15" customFormat="1" x14ac:dyDescent="0.25">
      <c r="A111" s="43"/>
      <c r="B111" s="43"/>
      <c r="AA111" s="12"/>
      <c r="AB111" s="12"/>
      <c r="AC111" s="12"/>
      <c r="AD111" s="12"/>
      <c r="AE111" s="12"/>
    </row>
    <row r="112" spans="1:31" s="15" customFormat="1" x14ac:dyDescent="0.25">
      <c r="A112" s="43"/>
      <c r="B112" s="43"/>
      <c r="AA112" s="12"/>
      <c r="AB112" s="12"/>
      <c r="AC112" s="12"/>
      <c r="AD112" s="12"/>
      <c r="AE112" s="12"/>
    </row>
    <row r="113" spans="1:31" s="15" customFormat="1" x14ac:dyDescent="0.25">
      <c r="A113" s="43"/>
      <c r="B113" s="43"/>
      <c r="AA113" s="12"/>
      <c r="AB113" s="12"/>
      <c r="AC113" s="12"/>
      <c r="AD113" s="12"/>
      <c r="AE113" s="12"/>
    </row>
    <row r="114" spans="1:31" s="15" customFormat="1" x14ac:dyDescent="0.25">
      <c r="A114" s="43"/>
      <c r="B114" s="43"/>
      <c r="AA114" s="12"/>
      <c r="AB114" s="12"/>
      <c r="AC114" s="12"/>
      <c r="AD114" s="12"/>
      <c r="AE114" s="12"/>
    </row>
    <row r="115" spans="1:31" s="15" customFormat="1" x14ac:dyDescent="0.25">
      <c r="A115" s="43"/>
      <c r="B115" s="43"/>
      <c r="AA115" s="12"/>
      <c r="AB115" s="12"/>
      <c r="AC115" s="12"/>
      <c r="AD115" s="12"/>
      <c r="AE115" s="12"/>
    </row>
    <row r="116" spans="1:31" s="15" customFormat="1" x14ac:dyDescent="0.25">
      <c r="A116" s="43"/>
      <c r="B116" s="43"/>
      <c r="AA116" s="12"/>
      <c r="AB116" s="12"/>
      <c r="AC116" s="12"/>
      <c r="AD116" s="12"/>
      <c r="AE116" s="12"/>
    </row>
    <row r="117" spans="1:31" s="15" customFormat="1" x14ac:dyDescent="0.25">
      <c r="A117" s="43"/>
      <c r="B117" s="43"/>
      <c r="AA117" s="12"/>
      <c r="AB117" s="12"/>
      <c r="AC117" s="12"/>
      <c r="AD117" s="12"/>
      <c r="AE117" s="12"/>
    </row>
    <row r="118" spans="1:31" s="15" customFormat="1" x14ac:dyDescent="0.25">
      <c r="A118" s="43"/>
      <c r="B118" s="43"/>
      <c r="AA118" s="12"/>
      <c r="AB118" s="12"/>
      <c r="AC118" s="12"/>
      <c r="AD118" s="12"/>
      <c r="AE118" s="12"/>
    </row>
    <row r="119" spans="1:31" s="15" customFormat="1" x14ac:dyDescent="0.25">
      <c r="A119" s="43"/>
      <c r="B119" s="43"/>
      <c r="AA119" s="12"/>
      <c r="AB119" s="12"/>
      <c r="AC119" s="12"/>
      <c r="AD119" s="12"/>
      <c r="AE119" s="12"/>
    </row>
    <row r="120" spans="1:31" s="15" customFormat="1" x14ac:dyDescent="0.25">
      <c r="A120" s="43"/>
      <c r="B120" s="43"/>
      <c r="AA120" s="12"/>
      <c r="AB120" s="12"/>
      <c r="AC120" s="12"/>
      <c r="AD120" s="12"/>
      <c r="AE120" s="12"/>
    </row>
    <row r="121" spans="1:31" s="15" customFormat="1" x14ac:dyDescent="0.25">
      <c r="A121" s="43"/>
      <c r="B121" s="43"/>
      <c r="AA121" s="12"/>
      <c r="AB121" s="12"/>
      <c r="AC121" s="12"/>
      <c r="AD121" s="12"/>
      <c r="AE121" s="12"/>
    </row>
    <row r="122" spans="1:31" s="15" customFormat="1" x14ac:dyDescent="0.25">
      <c r="A122" s="43"/>
      <c r="B122" s="43"/>
      <c r="AA122" s="12"/>
      <c r="AB122" s="12"/>
      <c r="AC122" s="12"/>
      <c r="AD122" s="12"/>
      <c r="AE122" s="12"/>
    </row>
    <row r="123" spans="1:31" s="15" customFormat="1" x14ac:dyDescent="0.25">
      <c r="A123" s="43"/>
      <c r="B123" s="43"/>
      <c r="AA123" s="12"/>
      <c r="AB123" s="12"/>
      <c r="AC123" s="12"/>
      <c r="AD123" s="12"/>
      <c r="AE123" s="12"/>
    </row>
    <row r="124" spans="1:31" s="15" customFormat="1" x14ac:dyDescent="0.25">
      <c r="A124" s="43"/>
      <c r="B124" s="43"/>
      <c r="AA124" s="12"/>
      <c r="AB124" s="12"/>
      <c r="AC124" s="12"/>
      <c r="AD124" s="12"/>
      <c r="AE124" s="12"/>
    </row>
    <row r="125" spans="1:31" s="15" customFormat="1" x14ac:dyDescent="0.25">
      <c r="A125" s="43"/>
      <c r="B125" s="43"/>
      <c r="AA125" s="12"/>
      <c r="AB125" s="12"/>
      <c r="AC125" s="12"/>
      <c r="AD125" s="12"/>
      <c r="AE125" s="12"/>
    </row>
    <row r="126" spans="1:31" s="15" customFormat="1" x14ac:dyDescent="0.25">
      <c r="A126" s="43"/>
      <c r="B126" s="43"/>
      <c r="AA126" s="12"/>
      <c r="AB126" s="12"/>
      <c r="AC126" s="12"/>
      <c r="AD126" s="12"/>
      <c r="AE126" s="12"/>
    </row>
    <row r="127" spans="1:31" s="15" customFormat="1" x14ac:dyDescent="0.25">
      <c r="A127" s="43"/>
      <c r="B127" s="43"/>
      <c r="AA127" s="12"/>
      <c r="AB127" s="12"/>
      <c r="AC127" s="12"/>
      <c r="AD127" s="12"/>
      <c r="AE127" s="12"/>
    </row>
    <row r="128" spans="1:31" s="15" customFormat="1" x14ac:dyDescent="0.25">
      <c r="A128" s="43"/>
      <c r="B128" s="43"/>
      <c r="AA128" s="12"/>
      <c r="AB128" s="12"/>
      <c r="AC128" s="12"/>
      <c r="AD128" s="12"/>
      <c r="AE128" s="12"/>
    </row>
    <row r="129" spans="1:31" s="15" customFormat="1" x14ac:dyDescent="0.25">
      <c r="A129" s="43"/>
      <c r="B129" s="43"/>
      <c r="AA129" s="12"/>
      <c r="AB129" s="12"/>
      <c r="AC129" s="12"/>
      <c r="AD129" s="12"/>
      <c r="AE129" s="12"/>
    </row>
    <row r="130" spans="1:31" s="15" customFormat="1" x14ac:dyDescent="0.25">
      <c r="A130" s="43"/>
      <c r="B130" s="43"/>
      <c r="AA130" s="12"/>
      <c r="AB130" s="12"/>
      <c r="AC130" s="12"/>
      <c r="AD130" s="12"/>
      <c r="AE130" s="12"/>
    </row>
    <row r="131" spans="1:31" s="15" customFormat="1" x14ac:dyDescent="0.25">
      <c r="A131" s="43"/>
      <c r="B131" s="43"/>
      <c r="AA131" s="12"/>
      <c r="AB131" s="12"/>
      <c r="AC131" s="12"/>
      <c r="AD131" s="12"/>
      <c r="AE131" s="12"/>
    </row>
    <row r="132" spans="1:31" s="15" customFormat="1" x14ac:dyDescent="0.25">
      <c r="A132" s="43"/>
      <c r="B132" s="43"/>
      <c r="AA132" s="12"/>
      <c r="AB132" s="12"/>
      <c r="AC132" s="12"/>
      <c r="AD132" s="12"/>
      <c r="AE132" s="12"/>
    </row>
    <row r="133" spans="1:31" s="15" customFormat="1" x14ac:dyDescent="0.25">
      <c r="A133" s="43"/>
      <c r="B133" s="43"/>
      <c r="AA133" s="12"/>
      <c r="AB133" s="12"/>
      <c r="AC133" s="12"/>
      <c r="AD133" s="12"/>
      <c r="AE133" s="12"/>
    </row>
    <row r="134" spans="1:31" s="15" customFormat="1" x14ac:dyDescent="0.25">
      <c r="A134" s="43"/>
      <c r="B134" s="43"/>
      <c r="AA134" s="12"/>
      <c r="AB134" s="12"/>
      <c r="AC134" s="12"/>
      <c r="AD134" s="12"/>
      <c r="AE134" s="12"/>
    </row>
    <row r="135" spans="1:31" s="15" customFormat="1" x14ac:dyDescent="0.25">
      <c r="A135" s="43"/>
      <c r="B135" s="43"/>
      <c r="AA135" s="12"/>
      <c r="AB135" s="12"/>
      <c r="AC135" s="12"/>
      <c r="AD135" s="12"/>
      <c r="AE135" s="12"/>
    </row>
    <row r="136" spans="1:31" s="15" customFormat="1" x14ac:dyDescent="0.25">
      <c r="A136" s="43"/>
      <c r="B136" s="43"/>
      <c r="AA136" s="12"/>
      <c r="AB136" s="12"/>
      <c r="AC136" s="12"/>
      <c r="AD136" s="12"/>
      <c r="AE136" s="12"/>
    </row>
    <row r="137" spans="1:31" s="15" customFormat="1" x14ac:dyDescent="0.25">
      <c r="A137" s="43"/>
      <c r="B137" s="43"/>
      <c r="AA137" s="12"/>
      <c r="AB137" s="12"/>
      <c r="AC137" s="12"/>
      <c r="AD137" s="12"/>
      <c r="AE137" s="12"/>
    </row>
    <row r="138" spans="1:31" s="15" customFormat="1" x14ac:dyDescent="0.25">
      <c r="A138" s="43"/>
      <c r="B138" s="43"/>
      <c r="AA138" s="12"/>
      <c r="AB138" s="12"/>
      <c r="AC138" s="12"/>
      <c r="AD138" s="12"/>
      <c r="AE138" s="12"/>
    </row>
    <row r="139" spans="1:31" s="15" customFormat="1" x14ac:dyDescent="0.25">
      <c r="A139" s="43"/>
      <c r="B139" s="43"/>
      <c r="AA139" s="12"/>
      <c r="AB139" s="12"/>
      <c r="AC139" s="12"/>
      <c r="AD139" s="12"/>
      <c r="AE139" s="12"/>
    </row>
    <row r="140" spans="1:31" s="15" customFormat="1" x14ac:dyDescent="0.25">
      <c r="A140" s="43"/>
      <c r="B140" s="43"/>
      <c r="AA140" s="12"/>
      <c r="AB140" s="12"/>
      <c r="AC140" s="12"/>
      <c r="AD140" s="12"/>
      <c r="AE140" s="12"/>
    </row>
    <row r="141" spans="1:31" s="15" customFormat="1" x14ac:dyDescent="0.25">
      <c r="A141" s="43"/>
      <c r="B141" s="43"/>
      <c r="AA141" s="12"/>
      <c r="AB141" s="12"/>
      <c r="AC141" s="12"/>
      <c r="AD141" s="12"/>
      <c r="AE141" s="12"/>
    </row>
    <row r="142" spans="1:31" s="15" customFormat="1" x14ac:dyDescent="0.25">
      <c r="A142" s="43"/>
      <c r="B142" s="43"/>
      <c r="AA142" s="12"/>
      <c r="AB142" s="12"/>
      <c r="AC142" s="12"/>
      <c r="AD142" s="12"/>
      <c r="AE142" s="12"/>
    </row>
    <row r="143" spans="1:31" s="15" customFormat="1" x14ac:dyDescent="0.25">
      <c r="A143" s="43"/>
      <c r="B143" s="43"/>
      <c r="AA143" s="12"/>
      <c r="AB143" s="12"/>
      <c r="AC143" s="12"/>
      <c r="AD143" s="12"/>
      <c r="AE143" s="12"/>
    </row>
    <row r="144" spans="1:31" s="15" customFormat="1" x14ac:dyDescent="0.25">
      <c r="A144" s="43"/>
      <c r="B144" s="43"/>
      <c r="AA144" s="12"/>
      <c r="AB144" s="12"/>
      <c r="AC144" s="12"/>
      <c r="AD144" s="12"/>
      <c r="AE144" s="12"/>
    </row>
    <row r="145" spans="1:31" s="15" customFormat="1" x14ac:dyDescent="0.25">
      <c r="A145" s="43"/>
      <c r="B145" s="43"/>
      <c r="AA145" s="12"/>
      <c r="AB145" s="12"/>
      <c r="AC145" s="12"/>
      <c r="AD145" s="12"/>
      <c r="AE145" s="12"/>
    </row>
    <row r="146" spans="1:31" s="15" customFormat="1" x14ac:dyDescent="0.25">
      <c r="A146" s="43"/>
      <c r="B146" s="43"/>
      <c r="AA146" s="12"/>
      <c r="AB146" s="12"/>
      <c r="AC146" s="12"/>
      <c r="AD146" s="12"/>
      <c r="AE146" s="12"/>
    </row>
    <row r="147" spans="1:31" s="15" customFormat="1" x14ac:dyDescent="0.25">
      <c r="A147" s="43"/>
      <c r="B147" s="43"/>
      <c r="AA147" s="12"/>
      <c r="AB147" s="12"/>
      <c r="AC147" s="12"/>
      <c r="AD147" s="12"/>
      <c r="AE147" s="12"/>
    </row>
    <row r="148" spans="1:31" s="15" customFormat="1" x14ac:dyDescent="0.25">
      <c r="A148" s="43"/>
      <c r="B148" s="43"/>
      <c r="AA148" s="12"/>
      <c r="AB148" s="12"/>
      <c r="AC148" s="12"/>
      <c r="AD148" s="12"/>
      <c r="AE148" s="12"/>
    </row>
    <row r="149" spans="1:31" s="15" customFormat="1" x14ac:dyDescent="0.25">
      <c r="A149" s="43"/>
      <c r="B149" s="43"/>
      <c r="AA149" s="12"/>
      <c r="AB149" s="12"/>
      <c r="AC149" s="12"/>
      <c r="AD149" s="12"/>
      <c r="AE149" s="12"/>
    </row>
    <row r="150" spans="1:31" s="15" customFormat="1" x14ac:dyDescent="0.25">
      <c r="A150" s="43"/>
      <c r="B150" s="43"/>
      <c r="AA150" s="12"/>
      <c r="AB150" s="12"/>
      <c r="AC150" s="12"/>
      <c r="AD150" s="12"/>
      <c r="AE150" s="12"/>
    </row>
    <row r="151" spans="1:31" s="15" customFormat="1" x14ac:dyDescent="0.25">
      <c r="A151" s="43"/>
      <c r="B151" s="43"/>
      <c r="AA151" s="12"/>
      <c r="AB151" s="12"/>
      <c r="AC151" s="12"/>
      <c r="AD151" s="12"/>
      <c r="AE151" s="12"/>
    </row>
    <row r="152" spans="1:31" s="15" customFormat="1" x14ac:dyDescent="0.25">
      <c r="A152" s="43"/>
      <c r="B152" s="43"/>
      <c r="AA152" s="12"/>
      <c r="AB152" s="12"/>
      <c r="AC152" s="12"/>
      <c r="AD152" s="12"/>
      <c r="AE152" s="12"/>
    </row>
    <row r="153" spans="1:31" s="15" customFormat="1" x14ac:dyDescent="0.25">
      <c r="A153" s="43"/>
      <c r="B153" s="43"/>
      <c r="AA153" s="12"/>
      <c r="AB153" s="12"/>
      <c r="AC153" s="12"/>
      <c r="AD153" s="12"/>
      <c r="AE153" s="12"/>
    </row>
    <row r="154" spans="1:31" s="15" customFormat="1" x14ac:dyDescent="0.25">
      <c r="A154" s="43"/>
      <c r="B154" s="43"/>
      <c r="AA154" s="12"/>
      <c r="AB154" s="12"/>
      <c r="AC154" s="12"/>
      <c r="AD154" s="12"/>
      <c r="AE154" s="12"/>
    </row>
    <row r="155" spans="1:31" s="15" customFormat="1" x14ac:dyDescent="0.25">
      <c r="A155" s="43"/>
      <c r="B155" s="43"/>
      <c r="AA155" s="12"/>
      <c r="AB155" s="12"/>
      <c r="AC155" s="12"/>
      <c r="AD155" s="12"/>
      <c r="AE155" s="12"/>
    </row>
    <row r="156" spans="1:31" s="15" customFormat="1" x14ac:dyDescent="0.25">
      <c r="A156" s="43"/>
      <c r="B156" s="43"/>
      <c r="AA156" s="12"/>
      <c r="AB156" s="12"/>
      <c r="AC156" s="12"/>
      <c r="AD156" s="12"/>
      <c r="AE156" s="12"/>
    </row>
    <row r="157" spans="1:31" s="15" customFormat="1" x14ac:dyDescent="0.25">
      <c r="A157" s="43"/>
      <c r="B157" s="43"/>
      <c r="AA157" s="12"/>
      <c r="AB157" s="12"/>
      <c r="AC157" s="12"/>
      <c r="AD157" s="12"/>
      <c r="AE157" s="12"/>
    </row>
    <row r="158" spans="1:31" s="15" customFormat="1" x14ac:dyDescent="0.25">
      <c r="A158" s="43"/>
      <c r="B158" s="43"/>
      <c r="AA158" s="12"/>
      <c r="AB158" s="12"/>
      <c r="AC158" s="12"/>
      <c r="AD158" s="12"/>
      <c r="AE158" s="12"/>
    </row>
    <row r="159" spans="1:31" s="15" customFormat="1" x14ac:dyDescent="0.25">
      <c r="A159" s="43"/>
      <c r="B159" s="43"/>
      <c r="AA159" s="12"/>
      <c r="AB159" s="12"/>
      <c r="AC159" s="12"/>
      <c r="AD159" s="12"/>
      <c r="AE159" s="12"/>
    </row>
    <row r="160" spans="1:31" s="15" customFormat="1" x14ac:dyDescent="0.25">
      <c r="A160" s="43"/>
      <c r="B160" s="43"/>
      <c r="AA160" s="12"/>
      <c r="AB160" s="12"/>
      <c r="AC160" s="12"/>
      <c r="AD160" s="12"/>
      <c r="AE160" s="12"/>
    </row>
    <row r="161" spans="1:31" s="15" customFormat="1" x14ac:dyDescent="0.25">
      <c r="A161" s="43"/>
      <c r="B161" s="43"/>
      <c r="AA161" s="12"/>
      <c r="AB161" s="12"/>
      <c r="AC161" s="12"/>
      <c r="AD161" s="12"/>
      <c r="AE161" s="12"/>
    </row>
    <row r="162" spans="1:31" s="15" customFormat="1" x14ac:dyDescent="0.25">
      <c r="A162" s="43"/>
      <c r="B162" s="43"/>
      <c r="AA162" s="12"/>
      <c r="AB162" s="12"/>
      <c r="AC162" s="12"/>
      <c r="AD162" s="12"/>
      <c r="AE162" s="12"/>
    </row>
    <row r="163" spans="1:31" s="15" customFormat="1" x14ac:dyDescent="0.25">
      <c r="A163" s="43"/>
      <c r="B163" s="43"/>
      <c r="AA163" s="12"/>
      <c r="AB163" s="12"/>
      <c r="AC163" s="12"/>
      <c r="AD163" s="12"/>
      <c r="AE163" s="12"/>
    </row>
    <row r="164" spans="1:31" s="15" customFormat="1" x14ac:dyDescent="0.25">
      <c r="A164" s="43"/>
      <c r="B164" s="43"/>
      <c r="AA164" s="12"/>
      <c r="AB164" s="12"/>
      <c r="AC164" s="12"/>
      <c r="AD164" s="12"/>
      <c r="AE164" s="12"/>
    </row>
    <row r="165" spans="1:31" s="15" customFormat="1" x14ac:dyDescent="0.25">
      <c r="A165" s="43"/>
      <c r="B165" s="43"/>
      <c r="AA165" s="12"/>
      <c r="AB165" s="12"/>
      <c r="AC165" s="12"/>
      <c r="AD165" s="12"/>
      <c r="AE165" s="12"/>
    </row>
    <row r="166" spans="1:31" s="15" customFormat="1" x14ac:dyDescent="0.25">
      <c r="A166" s="43"/>
      <c r="B166" s="43"/>
      <c r="AA166" s="12"/>
      <c r="AB166" s="12"/>
      <c r="AC166" s="12"/>
      <c r="AD166" s="12"/>
      <c r="AE166" s="12"/>
    </row>
    <row r="167" spans="1:31" s="15" customFormat="1" x14ac:dyDescent="0.25">
      <c r="A167" s="43"/>
      <c r="B167" s="43"/>
      <c r="AA167" s="12"/>
      <c r="AB167" s="12"/>
      <c r="AC167" s="12"/>
      <c r="AD167" s="12"/>
      <c r="AE167" s="12"/>
    </row>
    <row r="168" spans="1:31" s="15" customFormat="1" x14ac:dyDescent="0.25">
      <c r="A168" s="43"/>
      <c r="B168" s="43"/>
      <c r="AA168" s="12"/>
      <c r="AB168" s="12"/>
      <c r="AC168" s="12"/>
      <c r="AD168" s="12"/>
      <c r="AE168" s="12"/>
    </row>
    <row r="169" spans="1:31" s="15" customFormat="1" x14ac:dyDescent="0.25">
      <c r="A169" s="43"/>
      <c r="B169" s="43"/>
      <c r="AA169" s="12"/>
      <c r="AB169" s="12"/>
      <c r="AC169" s="12"/>
      <c r="AD169" s="12"/>
      <c r="AE169" s="12"/>
    </row>
    <row r="170" spans="1:31" x14ac:dyDescent="0.25">
      <c r="M170" s="11"/>
    </row>
    <row r="171" spans="1:31" x14ac:dyDescent="0.25">
      <c r="M171" s="11"/>
    </row>
    <row r="172" spans="1:31" x14ac:dyDescent="0.25">
      <c r="M172" s="11"/>
    </row>
    <row r="173" spans="1:31" x14ac:dyDescent="0.25">
      <c r="M173" s="11"/>
    </row>
    <row r="174" spans="1:31" x14ac:dyDescent="0.25">
      <c r="M174" s="11"/>
    </row>
    <row r="175" spans="1:31" x14ac:dyDescent="0.25">
      <c r="M175" s="11"/>
    </row>
    <row r="176" spans="1:31" x14ac:dyDescent="0.25">
      <c r="M176" s="11"/>
    </row>
    <row r="177" spans="13:13" x14ac:dyDescent="0.25">
      <c r="M177" s="11"/>
    </row>
    <row r="178" spans="13:13" x14ac:dyDescent="0.25">
      <c r="M178" s="11"/>
    </row>
    <row r="179" spans="13:13" x14ac:dyDescent="0.25">
      <c r="M179" s="11"/>
    </row>
    <row r="180" spans="13:13" x14ac:dyDescent="0.25">
      <c r="M180" s="11"/>
    </row>
    <row r="181" spans="13:13" x14ac:dyDescent="0.25">
      <c r="M181" s="11"/>
    </row>
    <row r="182" spans="13:13" x14ac:dyDescent="0.25">
      <c r="M182" s="11"/>
    </row>
    <row r="183" spans="13:13" x14ac:dyDescent="0.25">
      <c r="M183" s="11"/>
    </row>
    <row r="184" spans="13:13" x14ac:dyDescent="0.25">
      <c r="M184" s="11"/>
    </row>
    <row r="185" spans="13:13" x14ac:dyDescent="0.25">
      <c r="M185" s="11"/>
    </row>
    <row r="186" spans="13:13" x14ac:dyDescent="0.25">
      <c r="M186" s="11"/>
    </row>
    <row r="187" spans="13:13" x14ac:dyDescent="0.25">
      <c r="M187" s="11"/>
    </row>
    <row r="188" spans="13:13" x14ac:dyDescent="0.25">
      <c r="M188" s="11"/>
    </row>
    <row r="189" spans="13:13" x14ac:dyDescent="0.25">
      <c r="M189" s="11"/>
    </row>
    <row r="190" spans="13:13" x14ac:dyDescent="0.25">
      <c r="M190" s="11"/>
    </row>
    <row r="191" spans="13:13" x14ac:dyDescent="0.25">
      <c r="M191" s="11"/>
    </row>
    <row r="192" spans="13:13" x14ac:dyDescent="0.25">
      <c r="M192" s="11"/>
    </row>
    <row r="193" spans="13:13" x14ac:dyDescent="0.25">
      <c r="M193" s="11"/>
    </row>
    <row r="194" spans="13:13" x14ac:dyDescent="0.25">
      <c r="M194" s="11"/>
    </row>
    <row r="195" spans="13:13" x14ac:dyDescent="0.25">
      <c r="M195" s="11"/>
    </row>
    <row r="196" spans="13:13" x14ac:dyDescent="0.25">
      <c r="M196" s="11"/>
    </row>
    <row r="197" spans="13:13" x14ac:dyDescent="0.25">
      <c r="M197" s="11"/>
    </row>
    <row r="198" spans="13:13" x14ac:dyDescent="0.25">
      <c r="M198" s="11"/>
    </row>
    <row r="199" spans="13:13" x14ac:dyDescent="0.25">
      <c r="M199" s="11"/>
    </row>
    <row r="200" spans="13:13" x14ac:dyDescent="0.25">
      <c r="M200" s="11"/>
    </row>
    <row r="201" spans="13:13" x14ac:dyDescent="0.25">
      <c r="M201" s="11"/>
    </row>
    <row r="202" spans="13:13" x14ac:dyDescent="0.25">
      <c r="M202" s="11"/>
    </row>
    <row r="203" spans="13:13" x14ac:dyDescent="0.25">
      <c r="M203" s="11"/>
    </row>
    <row r="204" spans="13:13" x14ac:dyDescent="0.25">
      <c r="M204" s="11"/>
    </row>
    <row r="205" spans="13:13" x14ac:dyDescent="0.25">
      <c r="M205" s="11"/>
    </row>
    <row r="206" spans="13:13" x14ac:dyDescent="0.25">
      <c r="M206" s="11"/>
    </row>
    <row r="207" spans="13:13" x14ac:dyDescent="0.25">
      <c r="M207" s="11"/>
    </row>
    <row r="208" spans="13:13" x14ac:dyDescent="0.25">
      <c r="M208" s="11"/>
    </row>
    <row r="209" spans="13:13" x14ac:dyDescent="0.25">
      <c r="M209" s="11"/>
    </row>
    <row r="210" spans="13:13" x14ac:dyDescent="0.25">
      <c r="M210" s="11"/>
    </row>
    <row r="211" spans="13:13" x14ac:dyDescent="0.25">
      <c r="M211" s="11"/>
    </row>
    <row r="212" spans="13:13" x14ac:dyDescent="0.25">
      <c r="M212" s="11"/>
    </row>
    <row r="213" spans="13:13" x14ac:dyDescent="0.25">
      <c r="M213" s="11"/>
    </row>
    <row r="214" spans="13:13" x14ac:dyDescent="0.25">
      <c r="M214" s="11"/>
    </row>
    <row r="215" spans="13:13" x14ac:dyDescent="0.25">
      <c r="M215" s="11"/>
    </row>
    <row r="216" spans="13:13" x14ac:dyDescent="0.25">
      <c r="M216" s="11"/>
    </row>
    <row r="217" spans="13:13" x14ac:dyDescent="0.25">
      <c r="M217" s="11"/>
    </row>
    <row r="218" spans="13:13" x14ac:dyDescent="0.25">
      <c r="M218" s="11"/>
    </row>
    <row r="219" spans="13:13" x14ac:dyDescent="0.25">
      <c r="M219" s="11"/>
    </row>
    <row r="220" spans="13:13" x14ac:dyDescent="0.25">
      <c r="M220" s="11"/>
    </row>
    <row r="221" spans="13:13" x14ac:dyDescent="0.25">
      <c r="M221" s="11"/>
    </row>
    <row r="222" spans="13:13" x14ac:dyDescent="0.25">
      <c r="M222" s="11"/>
    </row>
    <row r="223" spans="13:13" x14ac:dyDescent="0.25">
      <c r="M223" s="11"/>
    </row>
    <row r="224" spans="13:13" x14ac:dyDescent="0.25">
      <c r="M224" s="11"/>
    </row>
    <row r="225" spans="13:13" x14ac:dyDescent="0.25">
      <c r="M225" s="11"/>
    </row>
    <row r="226" spans="13:13" x14ac:dyDescent="0.25">
      <c r="M226" s="11"/>
    </row>
    <row r="227" spans="13:13" x14ac:dyDescent="0.25">
      <c r="M227" s="11"/>
    </row>
    <row r="228" spans="13:13" x14ac:dyDescent="0.25">
      <c r="M228" s="11"/>
    </row>
    <row r="229" spans="13:13" x14ac:dyDescent="0.25">
      <c r="M229" s="11"/>
    </row>
    <row r="230" spans="13:13" x14ac:dyDescent="0.25">
      <c r="M230" s="11"/>
    </row>
    <row r="231" spans="13:13" x14ac:dyDescent="0.25">
      <c r="M231" s="11"/>
    </row>
    <row r="232" spans="13:13" x14ac:dyDescent="0.25">
      <c r="M232" s="11"/>
    </row>
    <row r="233" spans="13:13" x14ac:dyDescent="0.25">
      <c r="M233" s="11"/>
    </row>
    <row r="234" spans="13:13" x14ac:dyDescent="0.25">
      <c r="M234" s="11"/>
    </row>
    <row r="235" spans="13:13" x14ac:dyDescent="0.25">
      <c r="M235" s="11"/>
    </row>
    <row r="236" spans="13:13" x14ac:dyDescent="0.25">
      <c r="M236" s="11"/>
    </row>
    <row r="237" spans="13:13" x14ac:dyDescent="0.25">
      <c r="M237" s="11"/>
    </row>
    <row r="238" spans="13:13" x14ac:dyDescent="0.25">
      <c r="M238" s="11"/>
    </row>
    <row r="239" spans="13:13" x14ac:dyDescent="0.25">
      <c r="M239" s="11"/>
    </row>
    <row r="240" spans="13:13" x14ac:dyDescent="0.25">
      <c r="M240" s="11"/>
    </row>
    <row r="241" spans="13:13" x14ac:dyDescent="0.25">
      <c r="M241" s="11"/>
    </row>
    <row r="242" spans="13:13" x14ac:dyDescent="0.25">
      <c r="M242" s="11"/>
    </row>
    <row r="243" spans="13:13" x14ac:dyDescent="0.25">
      <c r="M243" s="11"/>
    </row>
    <row r="244" spans="13:13" x14ac:dyDescent="0.25">
      <c r="M244" s="11"/>
    </row>
    <row r="245" spans="13:13" x14ac:dyDescent="0.25">
      <c r="M245" s="11"/>
    </row>
    <row r="246" spans="13:13" x14ac:dyDescent="0.25">
      <c r="M246" s="11"/>
    </row>
    <row r="247" spans="13:13" x14ac:dyDescent="0.25">
      <c r="M247" s="11"/>
    </row>
    <row r="248" spans="13:13" x14ac:dyDescent="0.25">
      <c r="M248" s="11"/>
    </row>
    <row r="249" spans="13:13" x14ac:dyDescent="0.25">
      <c r="M249" s="11"/>
    </row>
    <row r="250" spans="13:13" x14ac:dyDescent="0.25">
      <c r="M250" s="11"/>
    </row>
    <row r="251" spans="13:13" x14ac:dyDescent="0.25">
      <c r="M251" s="11"/>
    </row>
    <row r="252" spans="13:13" x14ac:dyDescent="0.25">
      <c r="M252" s="11"/>
    </row>
    <row r="253" spans="13:13" x14ac:dyDescent="0.25">
      <c r="M253" s="11"/>
    </row>
    <row r="254" spans="13:13" x14ac:dyDescent="0.25">
      <c r="M254" s="11"/>
    </row>
    <row r="255" spans="13:13" x14ac:dyDescent="0.25">
      <c r="M255" s="11"/>
    </row>
    <row r="256" spans="13:13" x14ac:dyDescent="0.25">
      <c r="M256" s="11"/>
    </row>
    <row r="257" spans="13:13" x14ac:dyDescent="0.25">
      <c r="M257" s="11"/>
    </row>
    <row r="258" spans="13:13" x14ac:dyDescent="0.25">
      <c r="M258" s="11"/>
    </row>
    <row r="259" spans="13:13" x14ac:dyDescent="0.25">
      <c r="M259" s="11"/>
    </row>
    <row r="260" spans="13:13" x14ac:dyDescent="0.25">
      <c r="M260" s="11"/>
    </row>
    <row r="261" spans="13:13" x14ac:dyDescent="0.25">
      <c r="M261" s="11"/>
    </row>
    <row r="262" spans="13:13" x14ac:dyDescent="0.25">
      <c r="M262" s="11"/>
    </row>
    <row r="263" spans="13:13" x14ac:dyDescent="0.25">
      <c r="M263" s="11"/>
    </row>
    <row r="264" spans="13:13" x14ac:dyDescent="0.25">
      <c r="M264" s="11"/>
    </row>
    <row r="265" spans="13:13" x14ac:dyDescent="0.25">
      <c r="M265" s="11"/>
    </row>
    <row r="266" spans="13:13" x14ac:dyDescent="0.25">
      <c r="M266" s="11"/>
    </row>
    <row r="267" spans="13:13" x14ac:dyDescent="0.25">
      <c r="M267" s="11"/>
    </row>
    <row r="268" spans="13:13" x14ac:dyDescent="0.25">
      <c r="M268" s="11"/>
    </row>
    <row r="269" spans="13:13" x14ac:dyDescent="0.25">
      <c r="M269" s="11"/>
    </row>
    <row r="270" spans="13:13" x14ac:dyDescent="0.25">
      <c r="M270" s="11"/>
    </row>
    <row r="271" spans="13:13" x14ac:dyDescent="0.25">
      <c r="M271" s="11"/>
    </row>
    <row r="272" spans="13:13" x14ac:dyDescent="0.25">
      <c r="M272" s="11"/>
    </row>
    <row r="273" spans="13:13" x14ac:dyDescent="0.25">
      <c r="M273" s="11"/>
    </row>
    <row r="274" spans="13:13" x14ac:dyDescent="0.25">
      <c r="M274" s="11"/>
    </row>
    <row r="275" spans="13:13" x14ac:dyDescent="0.25">
      <c r="M275" s="11"/>
    </row>
    <row r="276" spans="13:13" x14ac:dyDescent="0.25">
      <c r="M276" s="11"/>
    </row>
    <row r="277" spans="13:13" x14ac:dyDescent="0.25">
      <c r="M277" s="11"/>
    </row>
    <row r="278" spans="13:13" x14ac:dyDescent="0.25">
      <c r="M278" s="11"/>
    </row>
    <row r="279" spans="13:13" x14ac:dyDescent="0.25">
      <c r="M279" s="11"/>
    </row>
    <row r="280" spans="13:13" x14ac:dyDescent="0.25">
      <c r="M280" s="11"/>
    </row>
    <row r="281" spans="13:13" x14ac:dyDescent="0.25">
      <c r="M281" s="11"/>
    </row>
    <row r="282" spans="13:13" x14ac:dyDescent="0.25">
      <c r="M282" s="11"/>
    </row>
    <row r="283" spans="13:13" x14ac:dyDescent="0.25">
      <c r="M283" s="11"/>
    </row>
    <row r="284" spans="13:13" x14ac:dyDescent="0.25">
      <c r="M284" s="11"/>
    </row>
    <row r="285" spans="13:13" x14ac:dyDescent="0.25">
      <c r="M285" s="11"/>
    </row>
    <row r="286" spans="13:13" x14ac:dyDescent="0.25">
      <c r="M286" s="11"/>
    </row>
    <row r="287" spans="13:13" x14ac:dyDescent="0.25">
      <c r="M287" s="11"/>
    </row>
    <row r="288" spans="13:13" x14ac:dyDescent="0.25">
      <c r="M288" s="11"/>
    </row>
    <row r="289" spans="13:13" x14ac:dyDescent="0.25">
      <c r="M289" s="11"/>
    </row>
    <row r="290" spans="13:13" x14ac:dyDescent="0.25">
      <c r="M290" s="11"/>
    </row>
    <row r="291" spans="13:13" x14ac:dyDescent="0.25">
      <c r="M291" s="11"/>
    </row>
    <row r="292" spans="13:13" x14ac:dyDescent="0.25">
      <c r="M292" s="11"/>
    </row>
    <row r="293" spans="13:13" x14ac:dyDescent="0.25">
      <c r="M293" s="11"/>
    </row>
    <row r="294" spans="13:13" x14ac:dyDescent="0.25">
      <c r="M294" s="11"/>
    </row>
    <row r="295" spans="13:13" x14ac:dyDescent="0.25">
      <c r="M295" s="11"/>
    </row>
    <row r="296" spans="13:13" x14ac:dyDescent="0.25">
      <c r="M296" s="11"/>
    </row>
    <row r="297" spans="13:13" x14ac:dyDescent="0.25">
      <c r="M297" s="11"/>
    </row>
    <row r="298" spans="13:13" x14ac:dyDescent="0.25">
      <c r="M298" s="11"/>
    </row>
    <row r="299" spans="13:13" x14ac:dyDescent="0.25">
      <c r="M299" s="11"/>
    </row>
    <row r="300" spans="13:13" x14ac:dyDescent="0.25">
      <c r="M300" s="11"/>
    </row>
    <row r="301" spans="13:13" x14ac:dyDescent="0.25">
      <c r="M301" s="11"/>
    </row>
    <row r="302" spans="13:13" x14ac:dyDescent="0.25">
      <c r="M302" s="11"/>
    </row>
    <row r="303" spans="13:13" x14ac:dyDescent="0.25">
      <c r="M303" s="11"/>
    </row>
    <row r="304" spans="13:13" x14ac:dyDescent="0.25">
      <c r="M304" s="11"/>
    </row>
    <row r="305" spans="13:13" x14ac:dyDescent="0.25">
      <c r="M305" s="11"/>
    </row>
    <row r="306" spans="13:13" x14ac:dyDescent="0.25">
      <c r="M306" s="11"/>
    </row>
    <row r="307" spans="13:13" x14ac:dyDescent="0.25">
      <c r="M307" s="11"/>
    </row>
    <row r="308" spans="13:13" x14ac:dyDescent="0.25">
      <c r="M308" s="11"/>
    </row>
    <row r="309" spans="13:13" x14ac:dyDescent="0.25">
      <c r="M309" s="11"/>
    </row>
    <row r="310" spans="13:13" x14ac:dyDescent="0.25">
      <c r="M310" s="11"/>
    </row>
    <row r="311" spans="13:13" x14ac:dyDescent="0.25">
      <c r="M311" s="11"/>
    </row>
    <row r="312" spans="13:13" x14ac:dyDescent="0.25">
      <c r="M312" s="11"/>
    </row>
    <row r="313" spans="13:13" x14ac:dyDescent="0.25">
      <c r="M313" s="11"/>
    </row>
    <row r="314" spans="13:13" x14ac:dyDescent="0.25">
      <c r="M314" s="11"/>
    </row>
    <row r="315" spans="13:13" x14ac:dyDescent="0.25">
      <c r="M315" s="11"/>
    </row>
    <row r="316" spans="13:13" x14ac:dyDescent="0.25">
      <c r="M316" s="11"/>
    </row>
    <row r="317" spans="13:13" x14ac:dyDescent="0.25">
      <c r="M317" s="11"/>
    </row>
    <row r="318" spans="13:13" x14ac:dyDescent="0.25">
      <c r="M318" s="11"/>
    </row>
    <row r="319" spans="13:13" x14ac:dyDescent="0.25">
      <c r="M319" s="11"/>
    </row>
    <row r="320" spans="13:13" x14ac:dyDescent="0.25">
      <c r="M320" s="11"/>
    </row>
    <row r="321" spans="13:13" x14ac:dyDescent="0.25">
      <c r="M321" s="11"/>
    </row>
    <row r="322" spans="13:13" x14ac:dyDescent="0.25">
      <c r="M322" s="11"/>
    </row>
    <row r="323" spans="13:13" x14ac:dyDescent="0.25">
      <c r="M323" s="11"/>
    </row>
    <row r="324" spans="13:13" x14ac:dyDescent="0.25">
      <c r="M324" s="11"/>
    </row>
    <row r="325" spans="13:13" x14ac:dyDescent="0.25">
      <c r="M325" s="11"/>
    </row>
    <row r="326" spans="13:13" x14ac:dyDescent="0.25">
      <c r="M326" s="11"/>
    </row>
    <row r="327" spans="13:13" x14ac:dyDescent="0.25">
      <c r="M327" s="11"/>
    </row>
    <row r="328" spans="13:13" x14ac:dyDescent="0.25">
      <c r="M328" s="11"/>
    </row>
    <row r="329" spans="13:13" x14ac:dyDescent="0.25">
      <c r="M329" s="11"/>
    </row>
    <row r="330" spans="13:13" x14ac:dyDescent="0.25">
      <c r="M330" s="11"/>
    </row>
    <row r="331" spans="13:13" x14ac:dyDescent="0.25">
      <c r="M331" s="11"/>
    </row>
    <row r="332" spans="13:13" x14ac:dyDescent="0.25">
      <c r="M332" s="11"/>
    </row>
    <row r="333" spans="13:13" x14ac:dyDescent="0.25">
      <c r="M333" s="11"/>
    </row>
    <row r="334" spans="13:13" x14ac:dyDescent="0.25">
      <c r="M334" s="11"/>
    </row>
    <row r="335" spans="13:13" x14ac:dyDescent="0.25">
      <c r="M335" s="11"/>
    </row>
    <row r="336" spans="13:13" x14ac:dyDescent="0.25">
      <c r="M336" s="11"/>
    </row>
    <row r="337" spans="13:13" x14ac:dyDescent="0.25">
      <c r="M337" s="11"/>
    </row>
    <row r="338" spans="13:13" x14ac:dyDescent="0.25">
      <c r="M338" s="11"/>
    </row>
    <row r="339" spans="13:13" x14ac:dyDescent="0.25">
      <c r="M339" s="11"/>
    </row>
    <row r="340" spans="13:13" x14ac:dyDescent="0.25">
      <c r="M340" s="11"/>
    </row>
    <row r="341" spans="13:13" x14ac:dyDescent="0.25">
      <c r="M341" s="11"/>
    </row>
    <row r="342" spans="13:13" x14ac:dyDescent="0.25">
      <c r="M342" s="11"/>
    </row>
    <row r="343" spans="13:13" x14ac:dyDescent="0.25">
      <c r="M343" s="11"/>
    </row>
    <row r="344" spans="13:13" x14ac:dyDescent="0.25">
      <c r="M344" s="11"/>
    </row>
    <row r="345" spans="13:13" x14ac:dyDescent="0.25">
      <c r="M345" s="11"/>
    </row>
    <row r="346" spans="13:13" x14ac:dyDescent="0.25">
      <c r="M346" s="11"/>
    </row>
    <row r="347" spans="13:13" x14ac:dyDescent="0.25">
      <c r="M347" s="11"/>
    </row>
    <row r="348" spans="13:13" x14ac:dyDescent="0.25">
      <c r="M348" s="11"/>
    </row>
    <row r="349" spans="13:13" x14ac:dyDescent="0.25">
      <c r="M349" s="11"/>
    </row>
    <row r="350" spans="13:13" x14ac:dyDescent="0.25">
      <c r="M350" s="11"/>
    </row>
    <row r="351" spans="13:13" x14ac:dyDescent="0.25">
      <c r="M351" s="11"/>
    </row>
    <row r="352" spans="13:13" x14ac:dyDescent="0.25">
      <c r="M352" s="11"/>
    </row>
    <row r="353" spans="13:13" x14ac:dyDescent="0.25">
      <c r="M353" s="11"/>
    </row>
    <row r="354" spans="13:13" x14ac:dyDescent="0.25">
      <c r="M354" s="11"/>
    </row>
    <row r="355" spans="13:13" x14ac:dyDescent="0.25">
      <c r="M355" s="11"/>
    </row>
    <row r="356" spans="13:13" x14ac:dyDescent="0.25">
      <c r="M356" s="11"/>
    </row>
    <row r="357" spans="13:13" x14ac:dyDescent="0.25">
      <c r="M357" s="11"/>
    </row>
    <row r="358" spans="13:13" x14ac:dyDescent="0.25">
      <c r="M358" s="11"/>
    </row>
    <row r="359" spans="13:13" x14ac:dyDescent="0.25">
      <c r="M359" s="11"/>
    </row>
    <row r="360" spans="13:13" x14ac:dyDescent="0.25">
      <c r="M360" s="11"/>
    </row>
    <row r="361" spans="13:13" x14ac:dyDescent="0.25">
      <c r="M361" s="11"/>
    </row>
    <row r="362" spans="13:13" x14ac:dyDescent="0.25">
      <c r="M362" s="11"/>
    </row>
    <row r="363" spans="13:13" x14ac:dyDescent="0.25">
      <c r="M363" s="11"/>
    </row>
    <row r="364" spans="13:13" x14ac:dyDescent="0.25">
      <c r="M364" s="11"/>
    </row>
    <row r="365" spans="13:13" x14ac:dyDescent="0.25">
      <c r="M365" s="11"/>
    </row>
    <row r="366" spans="13:13" x14ac:dyDescent="0.25">
      <c r="M366" s="11"/>
    </row>
    <row r="367" spans="13:13" x14ac:dyDescent="0.25">
      <c r="M367" s="11"/>
    </row>
    <row r="368" spans="13:13" x14ac:dyDescent="0.25">
      <c r="M368" s="11"/>
    </row>
    <row r="369" spans="13:13" x14ac:dyDescent="0.25">
      <c r="M369" s="11"/>
    </row>
    <row r="370" spans="13:13" x14ac:dyDescent="0.25">
      <c r="M370" s="11"/>
    </row>
    <row r="371" spans="13:13" x14ac:dyDescent="0.25">
      <c r="M371" s="11"/>
    </row>
    <row r="372" spans="13:13" x14ac:dyDescent="0.25">
      <c r="M372" s="11"/>
    </row>
    <row r="373" spans="13:13" x14ac:dyDescent="0.25">
      <c r="M373" s="11"/>
    </row>
    <row r="374" spans="13:13" x14ac:dyDescent="0.25">
      <c r="M374" s="11"/>
    </row>
    <row r="375" spans="13:13" x14ac:dyDescent="0.25">
      <c r="M375" s="11"/>
    </row>
    <row r="376" spans="13:13" x14ac:dyDescent="0.25">
      <c r="M376" s="11"/>
    </row>
    <row r="377" spans="13:13" x14ac:dyDescent="0.25">
      <c r="M377" s="11"/>
    </row>
    <row r="378" spans="13:13" x14ac:dyDescent="0.25">
      <c r="M378" s="11"/>
    </row>
    <row r="379" spans="13:13" x14ac:dyDescent="0.25">
      <c r="M379" s="11"/>
    </row>
    <row r="380" spans="13:13" x14ac:dyDescent="0.25">
      <c r="M380" s="11"/>
    </row>
    <row r="381" spans="13:13" x14ac:dyDescent="0.25">
      <c r="M381" s="11"/>
    </row>
    <row r="382" spans="13:13" x14ac:dyDescent="0.25">
      <c r="M382" s="11"/>
    </row>
    <row r="383" spans="13:13" x14ac:dyDescent="0.25">
      <c r="M383" s="11"/>
    </row>
    <row r="384" spans="13:13" x14ac:dyDescent="0.25">
      <c r="M384" s="11"/>
    </row>
    <row r="385" spans="13:13" x14ac:dyDescent="0.25">
      <c r="M385" s="11"/>
    </row>
    <row r="386" spans="13:13" x14ac:dyDescent="0.25">
      <c r="M386" s="11"/>
    </row>
    <row r="387" spans="13:13" x14ac:dyDescent="0.25">
      <c r="M387" s="11"/>
    </row>
    <row r="388" spans="13:13" x14ac:dyDescent="0.25">
      <c r="M388" s="11"/>
    </row>
    <row r="389" spans="13:13" x14ac:dyDescent="0.25">
      <c r="M389" s="11"/>
    </row>
    <row r="390" spans="13:13" x14ac:dyDescent="0.25">
      <c r="M390" s="11"/>
    </row>
    <row r="391" spans="13:13" x14ac:dyDescent="0.25">
      <c r="M391" s="11"/>
    </row>
    <row r="392" spans="13:13" x14ac:dyDescent="0.25">
      <c r="M392" s="11"/>
    </row>
    <row r="393" spans="13:13" x14ac:dyDescent="0.25">
      <c r="M393" s="11"/>
    </row>
    <row r="394" spans="13:13" x14ac:dyDescent="0.25">
      <c r="M394" s="11"/>
    </row>
    <row r="395" spans="13:13" x14ac:dyDescent="0.25">
      <c r="M395" s="11"/>
    </row>
    <row r="396" spans="13:13" x14ac:dyDescent="0.25">
      <c r="M396" s="11"/>
    </row>
    <row r="397" spans="13:13" x14ac:dyDescent="0.25">
      <c r="M397" s="11"/>
    </row>
    <row r="398" spans="13:13" x14ac:dyDescent="0.25">
      <c r="M398" s="11"/>
    </row>
    <row r="399" spans="13:13" x14ac:dyDescent="0.25">
      <c r="M399" s="11"/>
    </row>
    <row r="400" spans="13:13" x14ac:dyDescent="0.25">
      <c r="M400" s="11"/>
    </row>
    <row r="401" spans="13:13" x14ac:dyDescent="0.25">
      <c r="M401" s="11"/>
    </row>
    <row r="402" spans="13:13" x14ac:dyDescent="0.25">
      <c r="M402" s="11"/>
    </row>
    <row r="403" spans="13:13" x14ac:dyDescent="0.25">
      <c r="M403" s="11"/>
    </row>
    <row r="404" spans="13:13" x14ac:dyDescent="0.25">
      <c r="M404" s="11"/>
    </row>
    <row r="405" spans="13:13" x14ac:dyDescent="0.25">
      <c r="M405" s="11"/>
    </row>
    <row r="406" spans="13:13" x14ac:dyDescent="0.25">
      <c r="M406" s="11"/>
    </row>
    <row r="407" spans="13:13" x14ac:dyDescent="0.25">
      <c r="M407" s="11"/>
    </row>
    <row r="408" spans="13:13" x14ac:dyDescent="0.25">
      <c r="M408" s="11"/>
    </row>
    <row r="409" spans="13:13" x14ac:dyDescent="0.25">
      <c r="M409" s="11"/>
    </row>
    <row r="410" spans="13:13" x14ac:dyDescent="0.25">
      <c r="M410" s="11"/>
    </row>
    <row r="411" spans="13:13" x14ac:dyDescent="0.25">
      <c r="M411" s="11"/>
    </row>
    <row r="412" spans="13:13" x14ac:dyDescent="0.25">
      <c r="M412" s="11"/>
    </row>
    <row r="413" spans="13:13" x14ac:dyDescent="0.25">
      <c r="M413" s="11"/>
    </row>
    <row r="414" spans="13:13" x14ac:dyDescent="0.25">
      <c r="M414" s="11"/>
    </row>
    <row r="415" spans="13:13" x14ac:dyDescent="0.25">
      <c r="M415" s="11"/>
    </row>
    <row r="416" spans="13:13" x14ac:dyDescent="0.25">
      <c r="M416" s="11"/>
    </row>
    <row r="417" spans="13:13" x14ac:dyDescent="0.25">
      <c r="M417" s="11"/>
    </row>
    <row r="418" spans="13:13" x14ac:dyDescent="0.25">
      <c r="M418" s="11"/>
    </row>
    <row r="419" spans="13:13" x14ac:dyDescent="0.25">
      <c r="M419" s="11"/>
    </row>
    <row r="420" spans="13:13" x14ac:dyDescent="0.25">
      <c r="M420" s="11"/>
    </row>
    <row r="421" spans="13:13" x14ac:dyDescent="0.25">
      <c r="M421" s="11"/>
    </row>
    <row r="422" spans="13:13" x14ac:dyDescent="0.25">
      <c r="M422" s="11"/>
    </row>
    <row r="423" spans="13:13" x14ac:dyDescent="0.25">
      <c r="M423" s="11"/>
    </row>
    <row r="424" spans="13:13" x14ac:dyDescent="0.25">
      <c r="M424" s="11"/>
    </row>
    <row r="425" spans="13:13" x14ac:dyDescent="0.25">
      <c r="M425" s="11"/>
    </row>
    <row r="426" spans="13:13" x14ac:dyDescent="0.25">
      <c r="M426" s="11"/>
    </row>
    <row r="427" spans="13:13" x14ac:dyDescent="0.25">
      <c r="M427" s="11"/>
    </row>
    <row r="428" spans="13:13" x14ac:dyDescent="0.25">
      <c r="M428" s="11"/>
    </row>
    <row r="429" spans="13:13" x14ac:dyDescent="0.25">
      <c r="M429" s="11"/>
    </row>
    <row r="430" spans="13:13" x14ac:dyDescent="0.25">
      <c r="M430" s="11"/>
    </row>
    <row r="431" spans="13:13" x14ac:dyDescent="0.25">
      <c r="M431" s="11"/>
    </row>
    <row r="432" spans="13:13" x14ac:dyDescent="0.25">
      <c r="M432" s="11"/>
    </row>
    <row r="433" spans="13:13" x14ac:dyDescent="0.25">
      <c r="M433" s="11"/>
    </row>
    <row r="434" spans="13:13" x14ac:dyDescent="0.25">
      <c r="M434" s="11"/>
    </row>
    <row r="435" spans="13:13" x14ac:dyDescent="0.25">
      <c r="M435" s="11"/>
    </row>
    <row r="436" spans="13:13" x14ac:dyDescent="0.25">
      <c r="M436" s="11"/>
    </row>
    <row r="437" spans="13:13" x14ac:dyDescent="0.25">
      <c r="M437" s="11"/>
    </row>
    <row r="438" spans="13:13" x14ac:dyDescent="0.25">
      <c r="M438" s="11"/>
    </row>
    <row r="439" spans="13:13" x14ac:dyDescent="0.25">
      <c r="M439" s="11"/>
    </row>
    <row r="440" spans="13:13" x14ac:dyDescent="0.25">
      <c r="M440" s="11"/>
    </row>
    <row r="441" spans="13:13" x14ac:dyDescent="0.25">
      <c r="M441" s="11"/>
    </row>
    <row r="442" spans="13:13" x14ac:dyDescent="0.25">
      <c r="M442" s="11"/>
    </row>
    <row r="443" spans="13:13" x14ac:dyDescent="0.25">
      <c r="M443" s="11"/>
    </row>
    <row r="444" spans="13:13" x14ac:dyDescent="0.25">
      <c r="M444" s="11"/>
    </row>
  </sheetData>
  <sheetProtection algorithmName="SHA-512" hashValue="k/2R/7raKrU2r5X/9lmLvONcCpu1+SYp5ACNYvooN5qU40VJ/v+pT/HeDSa6NXufvI+zInYdgqmBB83WrKsYaA==" saltValue="3/3tXBD7muDzCidn3KuUeg==" spinCount="100000" sheet="1" selectLockedCells="1"/>
  <mergeCells count="16">
    <mergeCell ref="H1:S3"/>
    <mergeCell ref="A5:B5"/>
    <mergeCell ref="C5:D5"/>
    <mergeCell ref="E5:F5"/>
    <mergeCell ref="A7:B7"/>
    <mergeCell ref="E7:F7"/>
    <mergeCell ref="E38:F38"/>
    <mergeCell ref="D29:H30"/>
    <mergeCell ref="R5:U8"/>
    <mergeCell ref="Q12:R13"/>
    <mergeCell ref="S12:S13"/>
    <mergeCell ref="D15:H16"/>
    <mergeCell ref="D10:H11"/>
    <mergeCell ref="D13:H13"/>
    <mergeCell ref="T12:U13"/>
    <mergeCell ref="E35:F35"/>
  </mergeCells>
  <conditionalFormatting sqref="D19">
    <cfRule type="expression" dxfId="61" priority="12">
      <formula>$D$13="Future Value"</formula>
    </cfRule>
  </conditionalFormatting>
  <conditionalFormatting sqref="D22:D23">
    <cfRule type="expression" dxfId="60" priority="11">
      <formula>$D$13="Present Value"</formula>
    </cfRule>
  </conditionalFormatting>
  <conditionalFormatting sqref="D29:H38">
    <cfRule type="expression" dxfId="59" priority="6">
      <formula>$D$13="Number of years"</formula>
    </cfRule>
  </conditionalFormatting>
  <conditionalFormatting sqref="D33:H33">
    <cfRule type="expression" dxfId="58" priority="3">
      <formula>$H$26="Number of years"</formula>
    </cfRule>
  </conditionalFormatting>
  <conditionalFormatting sqref="E19">
    <cfRule type="expression" dxfId="57" priority="17">
      <formula>$D$13="Future Value"</formula>
    </cfRule>
  </conditionalFormatting>
  <conditionalFormatting sqref="E22:E24">
    <cfRule type="expression" dxfId="56" priority="16">
      <formula>$D$13="Present Value"</formula>
    </cfRule>
  </conditionalFormatting>
  <conditionalFormatting sqref="E35:G35">
    <cfRule type="expression" dxfId="55" priority="2">
      <formula>$H$26="Dates"</formula>
    </cfRule>
  </conditionalFormatting>
  <conditionalFormatting sqref="G19">
    <cfRule type="expression" dxfId="54" priority="10">
      <formula>$D$13="Interest"</formula>
    </cfRule>
  </conditionalFormatting>
  <conditionalFormatting sqref="G22:G23">
    <cfRule type="expression" dxfId="53" priority="8">
      <formula>$D$13="Interest"</formula>
    </cfRule>
  </conditionalFormatting>
  <conditionalFormatting sqref="G26">
    <cfRule type="expression" dxfId="52" priority="7">
      <formula>$D$13="Number of years"</formula>
    </cfRule>
  </conditionalFormatting>
  <conditionalFormatting sqref="G24:H24">
    <cfRule type="expression" dxfId="51" priority="1">
      <formula>$D$13="Interest"</formula>
    </cfRule>
  </conditionalFormatting>
  <conditionalFormatting sqref="H19">
    <cfRule type="expression" dxfId="50" priority="15">
      <formula>$D$13="Interest"</formula>
    </cfRule>
  </conditionalFormatting>
  <conditionalFormatting sqref="H22:H23">
    <cfRule type="expression" dxfId="49" priority="4">
      <formula>$D$13="Interest"</formula>
    </cfRule>
  </conditionalFormatting>
  <conditionalFormatting sqref="H26">
    <cfRule type="expression" dxfId="48" priority="14">
      <formula>$D$13="Number of years"</formula>
    </cfRule>
  </conditionalFormatting>
  <conditionalFormatting sqref="I19">
    <cfRule type="expression" dxfId="47" priority="9">
      <formula>$D$13="Interest"</formula>
    </cfRule>
  </conditionalFormatting>
  <conditionalFormatting sqref="J19">
    <cfRule type="expression" dxfId="46" priority="13">
      <formula>$D$13="Interest"</formula>
    </cfRule>
  </conditionalFormatting>
  <dataValidations count="1">
    <dataValidation allowBlank="1" showInputMessage="1" showErrorMessage="1" promptTitle="Validate" prompt="Choose whether or not you will need to convert your interest to an effective interest" sqref="I19" xr:uid="{06EA27FD-CD8B-4EA5-9283-F4D36D4BE9EE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763D171-24C7-4DCA-9DF9-226C5439D628}">
          <x14:formula1>
            <xm:f>Dropdown!$G$1:$G$4</xm:f>
          </x14:formula1>
          <xm:sqref>D13</xm:sqref>
        </x14:dataValidation>
        <x14:dataValidation type="list" allowBlank="1" showInputMessage="1" showErrorMessage="1" xr:uid="{0B3E5925-092E-4550-9105-614F488A664C}">
          <x14:formula1>
            <xm:f>Dropdown!$J$1:$J$2</xm:f>
          </x14:formula1>
          <xm:sqref>H26</xm:sqref>
        </x14:dataValidation>
        <x14:dataValidation type="list" allowBlank="1" showInputMessage="1" showErrorMessage="1" xr:uid="{B11C6AF2-73CA-4EFC-BABE-615E8FD6D46C}">
          <x14:formula1>
            <xm:f>Dropdown!$M$1:$M$2</xm:f>
          </x14:formula1>
          <xm:sqref>J13</xm:sqref>
        </x14:dataValidation>
        <x14:dataValidation type="list" allowBlank="1" showInputMessage="1" showErrorMessage="1" xr:uid="{F5983E8E-CC14-4AC9-9310-B7780D4BDC14}">
          <x14:formula1>
            <xm:f>Dropdown!$C$1:$C$2</xm:f>
          </x14:formula1>
          <xm:sqref>J19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ABDA9-4C50-494B-90F7-BCAA318B314B}">
  <sheetPr codeName="Sheet17">
    <tabColor theme="2" tint="-0.749992370372631"/>
  </sheetPr>
  <dimension ref="B2:AB38"/>
  <sheetViews>
    <sheetView showGridLines="0" showRowColHeaders="0" zoomScale="62" workbookViewId="0">
      <selection activeCell="D14" sqref="D14"/>
    </sheetView>
  </sheetViews>
  <sheetFormatPr defaultRowHeight="13.8" x14ac:dyDescent="0.25"/>
  <cols>
    <col min="1" max="1" width="8.796875" style="15"/>
    <col min="2" max="2" width="11.19921875" style="15" customWidth="1"/>
    <col min="3" max="3" width="12.09765625" style="15" customWidth="1"/>
    <col min="4" max="4" width="15.796875" style="15" customWidth="1"/>
    <col min="5" max="5" width="12.69921875" style="15" customWidth="1"/>
    <col min="6" max="6" width="15.59765625" style="15" bestFit="1" customWidth="1"/>
    <col min="7" max="8" width="8.796875" style="15"/>
    <col min="9" max="10" width="11.796875" style="15" bestFit="1" customWidth="1"/>
    <col min="11" max="11" width="14" style="15" bestFit="1" customWidth="1"/>
    <col min="12" max="25" width="8.796875" style="15"/>
    <col min="26" max="27" width="11.796875" style="15" bestFit="1" customWidth="1"/>
    <col min="28" max="28" width="13.59765625" style="15" bestFit="1" customWidth="1"/>
    <col min="29" max="16384" width="8.796875" style="15"/>
  </cols>
  <sheetData>
    <row r="2" spans="2:28" x14ac:dyDescent="0.25">
      <c r="B2" s="492" t="s">
        <v>202</v>
      </c>
      <c r="C2" s="493"/>
      <c r="D2" s="493"/>
      <c r="E2" s="493"/>
      <c r="F2" s="493"/>
      <c r="G2" s="493"/>
      <c r="H2" s="493"/>
      <c r="I2" s="493"/>
      <c r="J2" s="493"/>
      <c r="K2" s="493"/>
      <c r="L2" s="493"/>
      <c r="M2" s="493"/>
      <c r="N2" s="493"/>
      <c r="O2" s="493"/>
      <c r="P2" s="493"/>
      <c r="Q2" s="493"/>
      <c r="R2" s="493"/>
      <c r="S2" s="493"/>
      <c r="T2" s="493"/>
      <c r="U2" s="493"/>
      <c r="V2" s="493"/>
      <c r="W2" s="493"/>
      <c r="X2" s="493"/>
      <c r="Y2" s="493"/>
      <c r="Z2" s="493"/>
      <c r="AA2" s="494"/>
      <c r="AB2" s="349"/>
    </row>
    <row r="3" spans="2:28" x14ac:dyDescent="0.25">
      <c r="B3" s="495"/>
      <c r="C3" s="496"/>
      <c r="D3" s="496"/>
      <c r="E3" s="496"/>
      <c r="F3" s="496"/>
      <c r="G3" s="496"/>
      <c r="H3" s="496"/>
      <c r="I3" s="496"/>
      <c r="J3" s="496"/>
      <c r="K3" s="496"/>
      <c r="L3" s="496"/>
      <c r="M3" s="496"/>
      <c r="N3" s="496"/>
      <c r="O3" s="496"/>
      <c r="P3" s="496"/>
      <c r="Q3" s="496"/>
      <c r="R3" s="496"/>
      <c r="S3" s="496"/>
      <c r="T3" s="496"/>
      <c r="U3" s="496"/>
      <c r="V3" s="496"/>
      <c r="W3" s="496"/>
      <c r="X3" s="496"/>
      <c r="Y3" s="496"/>
      <c r="Z3" s="496"/>
      <c r="AA3" s="497"/>
      <c r="AB3" s="349"/>
    </row>
    <row r="4" spans="2:28" x14ac:dyDescent="0.25">
      <c r="B4" s="495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6"/>
      <c r="O4" s="496"/>
      <c r="P4" s="496"/>
      <c r="Q4" s="496"/>
      <c r="R4" s="496"/>
      <c r="S4" s="496"/>
      <c r="T4" s="496"/>
      <c r="U4" s="496"/>
      <c r="V4" s="496"/>
      <c r="W4" s="496"/>
      <c r="X4" s="496"/>
      <c r="Y4" s="496"/>
      <c r="Z4" s="496"/>
      <c r="AA4" s="497"/>
      <c r="AB4" s="349"/>
    </row>
    <row r="5" spans="2:28" x14ac:dyDescent="0.25">
      <c r="B5" s="495"/>
      <c r="C5" s="496"/>
      <c r="D5" s="496"/>
      <c r="E5" s="496"/>
      <c r="F5" s="496"/>
      <c r="G5" s="496"/>
      <c r="H5" s="496"/>
      <c r="I5" s="496"/>
      <c r="J5" s="496"/>
      <c r="K5" s="496"/>
      <c r="L5" s="496"/>
      <c r="M5" s="496"/>
      <c r="N5" s="496"/>
      <c r="O5" s="496"/>
      <c r="P5" s="496"/>
      <c r="Q5" s="496"/>
      <c r="R5" s="496"/>
      <c r="S5" s="496"/>
      <c r="T5" s="496"/>
      <c r="U5" s="496"/>
      <c r="V5" s="496"/>
      <c r="W5" s="496"/>
      <c r="X5" s="496"/>
      <c r="Y5" s="496"/>
      <c r="Z5" s="496"/>
      <c r="AA5" s="497"/>
      <c r="AB5" s="349"/>
    </row>
    <row r="6" spans="2:28" ht="14.4" thickBot="1" x14ac:dyDescent="0.3">
      <c r="B6" s="498"/>
      <c r="C6" s="499"/>
      <c r="D6" s="499"/>
      <c r="E6" s="499"/>
      <c r="F6" s="499"/>
      <c r="G6" s="499"/>
      <c r="H6" s="499"/>
      <c r="I6" s="499"/>
      <c r="J6" s="499"/>
      <c r="K6" s="499"/>
      <c r="L6" s="499"/>
      <c r="M6" s="499"/>
      <c r="N6" s="499"/>
      <c r="O6" s="499"/>
      <c r="P6" s="499"/>
      <c r="Q6" s="499"/>
      <c r="R6" s="499"/>
      <c r="S6" s="499"/>
      <c r="T6" s="499"/>
      <c r="U6" s="499"/>
      <c r="V6" s="499"/>
      <c r="W6" s="499"/>
      <c r="X6" s="499"/>
      <c r="Y6" s="499"/>
      <c r="Z6" s="499"/>
      <c r="AA6" s="500"/>
      <c r="AB6" s="349"/>
    </row>
    <row r="7" spans="2:28" x14ac:dyDescent="0.25">
      <c r="B7" s="30"/>
      <c r="G7" s="31"/>
      <c r="H7" s="510" t="s">
        <v>204</v>
      </c>
      <c r="I7" s="511"/>
      <c r="J7" s="511"/>
      <c r="K7" s="511"/>
      <c r="Y7" s="508" t="s">
        <v>272</v>
      </c>
      <c r="Z7" s="508"/>
      <c r="AA7" s="508"/>
      <c r="AB7" s="509"/>
    </row>
    <row r="8" spans="2:28" ht="15.6" customHeight="1" x14ac:dyDescent="0.25">
      <c r="B8" s="30"/>
      <c r="C8" s="501" t="s">
        <v>203</v>
      </c>
      <c r="D8" s="501"/>
      <c r="E8" s="501"/>
      <c r="G8" s="31"/>
      <c r="H8" s="512"/>
      <c r="I8" s="508"/>
      <c r="J8" s="508"/>
      <c r="K8" s="508"/>
      <c r="Y8" s="508"/>
      <c r="Z8" s="508"/>
      <c r="AA8" s="508"/>
      <c r="AB8" s="509"/>
    </row>
    <row r="9" spans="2:28" x14ac:dyDescent="0.25">
      <c r="B9" s="30"/>
      <c r="C9" s="501"/>
      <c r="D9" s="501"/>
      <c r="E9" s="501"/>
      <c r="G9" s="31"/>
      <c r="H9" s="353" t="s">
        <v>10</v>
      </c>
      <c r="I9" s="353" t="s">
        <v>270</v>
      </c>
      <c r="J9" s="353" t="s">
        <v>271</v>
      </c>
      <c r="K9" s="357" t="s">
        <v>273</v>
      </c>
      <c r="Y9" s="198" t="s">
        <v>10</v>
      </c>
      <c r="Z9" s="198" t="s">
        <v>270</v>
      </c>
      <c r="AA9" s="353" t="s">
        <v>271</v>
      </c>
      <c r="AB9" s="350" t="s">
        <v>273</v>
      </c>
    </row>
    <row r="10" spans="2:28" x14ac:dyDescent="0.25">
      <c r="B10" s="30"/>
      <c r="G10" s="31"/>
      <c r="H10" s="351">
        <v>1</v>
      </c>
      <c r="I10" s="354">
        <f>IF($F$12="(Default)",1*(1+$D$16)^(H10),$D$14*(1+$D$16)^(H10))</f>
        <v>12011.999999999998</v>
      </c>
      <c r="J10" s="354">
        <f>IF($F$12="(Default)",1*(1+((((1+$D$16)^H10)/((1+$D$20)^(H10/12)))^(1/H10)-1))^H10,$D$14*(1+((((1+$D$16)^H10)/((1+$D$20)^(H10/12)))^(1/H10)-1))^H10)</f>
        <v>11953.814204908889</v>
      </c>
      <c r="K10" s="358">
        <f>IF($F$12="(Default)",(1+$D$20)^(-1*(H10/12)),$D$14*(1+$D$20)^(-1*(H10/12)))</f>
        <v>11941.872332576313</v>
      </c>
      <c r="Y10" s="351">
        <v>1</v>
      </c>
      <c r="Z10" s="356">
        <f>IF($F$26="(Default)",1*(1+$D$30)^(Y10),$D$28*(1+$D$30)^(Y10))</f>
        <v>15150</v>
      </c>
      <c r="AA10" s="354">
        <f>IF($F$12="(Default)",1*(1+((((1+$D$30)^Y10)/((1+$D$34)^(Y10/12)))^(1/Y10)-1))^Y10,$D$28*(1+((((1+$D$30)^Y10)/((1+$D$34)^(Y10/12)))^(1/Y10)-1))^Y10)</f>
        <v>14921.558835202466</v>
      </c>
      <c r="AB10" s="358">
        <f>IF($F$26="(Default)",(1+$D$34)^(-1*(Y10/12)),$D$28*(1+$D$34)^(-1*(Y10/12)))</f>
        <v>14773.82062891333</v>
      </c>
    </row>
    <row r="11" spans="2:28" x14ac:dyDescent="0.25">
      <c r="B11" s="30"/>
      <c r="G11" s="31"/>
      <c r="H11" s="351">
        <f>H10+1</f>
        <v>2</v>
      </c>
      <c r="I11" s="354">
        <f t="shared" ref="I11:I38" si="0">IF($F$12="(Default)",1*(1+$D$16)^(H11),$D$14*(1+$D$16)^(H11))</f>
        <v>12024.011999999997</v>
      </c>
      <c r="J11" s="354">
        <f t="shared" ref="J11:J38" si="1">IF($F$12="(Default)",1*(1+((((1+$D$16)^H11)/((1+$D$20)^(H11/12)))^(1/H11)-1))^H11,$D$14*(1+((((1+$D$16)^H11)/((1+$D$20)^(H11/12)))^(1/H11)-1))^H11)</f>
        <v>11907.806170456792</v>
      </c>
      <c r="K11" s="354">
        <f t="shared" ref="K11:K38" si="2">IF($F$12="(Default)",(1+$D$20)^(-1*(H11/12)),$D$14*(1+$D$20)^(-1*(H11/12)))</f>
        <v>11884.026233962637</v>
      </c>
      <c r="Y11" s="351">
        <f>Y10+1</f>
        <v>2</v>
      </c>
      <c r="Z11" s="356">
        <f t="shared" ref="Z11:Z38" si="3">IF($F$26="(Default)",1*(1+$D$30)^(Y11),$D$28*(1+$D$30)^(Y11))</f>
        <v>15301.5</v>
      </c>
      <c r="AA11" s="354">
        <f t="shared" ref="AA11:AA38" si="4">IF($F$12="(Default)",1*(1+((((1+$D$30)^Y11)/((1+$D$34)^(Y11/12)))^(1/Y11)-1))^Y11,$D$28*(1+((((1+$D$30)^Y11)/((1+$D$34)^(Y11/12)))^(1/Y11)-1))^Y11)</f>
        <v>14843.527871493914</v>
      </c>
      <c r="AB11" s="354">
        <f t="shared" ref="AB11:AB38" si="5">IF($F$26="(Default)",(1+$D$34)^(-1*(Y11/12)),$D$28*(1+$D$34)^(-1*(Y11/12)))</f>
        <v>14551.051731687006</v>
      </c>
    </row>
    <row r="12" spans="2:28" ht="18" x14ac:dyDescent="0.35">
      <c r="B12" s="502" t="s">
        <v>204</v>
      </c>
      <c r="C12" s="503"/>
      <c r="F12" s="200" t="s">
        <v>206</v>
      </c>
      <c r="G12" s="31"/>
      <c r="H12" s="351">
        <f t="shared" ref="H12:H38" si="6">H11+1</f>
        <v>3</v>
      </c>
      <c r="I12" s="354">
        <f t="shared" si="0"/>
        <v>12036.036011999993</v>
      </c>
      <c r="J12" s="354">
        <f t="shared" si="1"/>
        <v>11861.975212475676</v>
      </c>
      <c r="K12" s="354">
        <f t="shared" si="2"/>
        <v>11826.460340247459</v>
      </c>
      <c r="Y12" s="351">
        <f t="shared" ref="Y12:Y38" si="7">Y11+1</f>
        <v>3</v>
      </c>
      <c r="Z12" s="356">
        <f t="shared" si="3"/>
        <v>15454.514999999999</v>
      </c>
      <c r="AA12" s="354">
        <f t="shared" si="4"/>
        <v>14765.904963764267</v>
      </c>
      <c r="AB12" s="354">
        <f t="shared" si="5"/>
        <v>14331.641883065502</v>
      </c>
    </row>
    <row r="13" spans="2:28" x14ac:dyDescent="0.25">
      <c r="B13" s="30"/>
      <c r="G13" s="31"/>
      <c r="H13" s="351">
        <f t="shared" si="6"/>
        <v>4</v>
      </c>
      <c r="I13" s="354">
        <f t="shared" si="0"/>
        <v>12048.072048011994</v>
      </c>
      <c r="J13" s="354">
        <f t="shared" si="1"/>
        <v>11816.320649430741</v>
      </c>
      <c r="K13" s="354">
        <f t="shared" si="2"/>
        <v>11769.173294126016</v>
      </c>
      <c r="Y13" s="351">
        <f t="shared" si="7"/>
        <v>4</v>
      </c>
      <c r="Z13" s="356">
        <f t="shared" si="3"/>
        <v>15609.060150000001</v>
      </c>
      <c r="AA13" s="354">
        <f t="shared" si="4"/>
        <v>14688.687978121108</v>
      </c>
      <c r="AB13" s="354">
        <f t="shared" si="5"/>
        <v>14115.540433215427</v>
      </c>
    </row>
    <row r="14" spans="2:28" x14ac:dyDescent="0.25">
      <c r="B14" s="30"/>
      <c r="C14" s="201" t="s">
        <v>205</v>
      </c>
      <c r="D14" s="390">
        <v>12000</v>
      </c>
      <c r="G14" s="31"/>
      <c r="H14" s="351">
        <f t="shared" si="6"/>
        <v>5</v>
      </c>
      <c r="I14" s="354">
        <f t="shared" si="0"/>
        <v>12060.120120060004</v>
      </c>
      <c r="J14" s="354">
        <f t="shared" si="1"/>
        <v>11770.841802410279</v>
      </c>
      <c r="K14" s="354">
        <f t="shared" si="2"/>
        <v>11712.16374486829</v>
      </c>
      <c r="Y14" s="351">
        <f t="shared" si="7"/>
        <v>5</v>
      </c>
      <c r="Z14" s="356">
        <f t="shared" si="3"/>
        <v>15765.150751499999</v>
      </c>
      <c r="AA14" s="354">
        <f t="shared" si="4"/>
        <v>14611.874791831015</v>
      </c>
      <c r="AB14" s="354">
        <f t="shared" si="5"/>
        <v>13902.697496033221</v>
      </c>
    </row>
    <row r="15" spans="2:28" x14ac:dyDescent="0.25">
      <c r="B15" s="30"/>
      <c r="D15" s="391"/>
      <c r="G15" s="31"/>
      <c r="H15" s="351">
        <f t="shared" si="6"/>
        <v>6</v>
      </c>
      <c r="I15" s="354">
        <f t="shared" si="0"/>
        <v>12072.180240180061</v>
      </c>
      <c r="J15" s="354">
        <f t="shared" si="1"/>
        <v>11725.537995115619</v>
      </c>
      <c r="K15" s="354">
        <f t="shared" si="2"/>
        <v>11655.430348287171</v>
      </c>
      <c r="Y15" s="351">
        <f t="shared" si="7"/>
        <v>6</v>
      </c>
      <c r="Z15" s="356">
        <f t="shared" si="3"/>
        <v>15922.802259015001</v>
      </c>
      <c r="AA15" s="354">
        <f t="shared" si="4"/>
        <v>14535.463293261226</v>
      </c>
      <c r="AB15" s="354">
        <f t="shared" si="5"/>
        <v>13693.063937629153</v>
      </c>
    </row>
    <row r="16" spans="2:28" x14ac:dyDescent="0.25">
      <c r="B16" s="30"/>
      <c r="C16" s="201" t="s">
        <v>208</v>
      </c>
      <c r="D16" s="392">
        <v>1E-3</v>
      </c>
      <c r="E16" s="69" t="s">
        <v>209</v>
      </c>
      <c r="G16" s="31"/>
      <c r="H16" s="351">
        <f t="shared" si="6"/>
        <v>7</v>
      </c>
      <c r="I16" s="354">
        <f t="shared" si="0"/>
        <v>12084.25242042024</v>
      </c>
      <c r="J16" s="354">
        <f t="shared" si="1"/>
        <v>11680.40855385099</v>
      </c>
      <c r="K16" s="354">
        <f t="shared" si="2"/>
        <v>11598.971766706738</v>
      </c>
      <c r="Y16" s="351">
        <f t="shared" si="7"/>
        <v>7</v>
      </c>
      <c r="Z16" s="356">
        <f t="shared" si="3"/>
        <v>16082.030281605148</v>
      </c>
      <c r="AA16" s="354">
        <f t="shared" si="4"/>
        <v>14459.451381821533</v>
      </c>
      <c r="AB16" s="354">
        <f t="shared" si="5"/>
        <v>13486.591364984984</v>
      </c>
    </row>
    <row r="17" spans="2:28" x14ac:dyDescent="0.25">
      <c r="B17" s="30"/>
      <c r="D17" s="391"/>
      <c r="G17" s="31"/>
      <c r="H17" s="351">
        <f t="shared" si="6"/>
        <v>8</v>
      </c>
      <c r="I17" s="354">
        <f t="shared" si="0"/>
        <v>12096.33667284066</v>
      </c>
      <c r="J17" s="354">
        <f t="shared" si="1"/>
        <v>11635.452807513613</v>
      </c>
      <c r="K17" s="354">
        <f t="shared" si="2"/>
        <v>11542.786668930752</v>
      </c>
      <c r="Y17" s="351">
        <f t="shared" si="7"/>
        <v>8</v>
      </c>
      <c r="Z17" s="356">
        <f t="shared" si="3"/>
        <v>16242.850584421203</v>
      </c>
      <c r="AA17" s="354">
        <f t="shared" si="4"/>
        <v>14383.836967906651</v>
      </c>
      <c r="AB17" s="354">
        <f t="shared" si="5"/>
        <v>13283.232114782639</v>
      </c>
    </row>
    <row r="18" spans="2:28" x14ac:dyDescent="0.25">
      <c r="B18" s="504" t="s">
        <v>70</v>
      </c>
      <c r="C18" s="505"/>
      <c r="D18" s="390">
        <v>24</v>
      </c>
      <c r="G18" s="31"/>
      <c r="H18" s="351">
        <f t="shared" si="6"/>
        <v>9</v>
      </c>
      <c r="I18" s="354">
        <f t="shared" si="0"/>
        <v>12108.433009513499</v>
      </c>
      <c r="J18" s="354">
        <f t="shared" si="1"/>
        <v>11590.670087583603</v>
      </c>
      <c r="K18" s="354">
        <f t="shared" si="2"/>
        <v>11486.873730211235</v>
      </c>
      <c r="Y18" s="351">
        <f t="shared" si="7"/>
        <v>9</v>
      </c>
      <c r="Z18" s="356">
        <f t="shared" si="3"/>
        <v>16405.279090265416</v>
      </c>
      <c r="AA18" s="354">
        <f t="shared" si="4"/>
        <v>14308.617972838621</v>
      </c>
      <c r="AB18" s="354">
        <f t="shared" si="5"/>
        <v>13082.939242401319</v>
      </c>
    </row>
    <row r="19" spans="2:28" x14ac:dyDescent="0.25">
      <c r="B19" s="30"/>
      <c r="D19" s="391"/>
      <c r="G19" s="31"/>
      <c r="H19" s="351">
        <f t="shared" si="6"/>
        <v>10</v>
      </c>
      <c r="I19" s="354">
        <f t="shared" si="0"/>
        <v>12120.541442523012</v>
      </c>
      <c r="J19" s="354">
        <f t="shared" si="1"/>
        <v>11546.05972811412</v>
      </c>
      <c r="K19" s="354">
        <f t="shared" si="2"/>
        <v>11431.23163221727</v>
      </c>
      <c r="Y19" s="351">
        <f t="shared" si="7"/>
        <v>10</v>
      </c>
      <c r="Z19" s="356">
        <f t="shared" si="3"/>
        <v>16569.331881168073</v>
      </c>
      <c r="AA19" s="354">
        <f t="shared" si="4"/>
        <v>14233.792328809795</v>
      </c>
      <c r="AB19" s="354">
        <f t="shared" si="5"/>
        <v>12885.666511080557</v>
      </c>
    </row>
    <row r="20" spans="2:28" x14ac:dyDescent="0.25">
      <c r="B20" s="504" t="s">
        <v>268</v>
      </c>
      <c r="C20" s="505"/>
      <c r="D20" s="393">
        <v>0.06</v>
      </c>
      <c r="E20" s="69" t="s">
        <v>101</v>
      </c>
      <c r="G20" s="31"/>
      <c r="H20" s="351">
        <f t="shared" si="6"/>
        <v>11</v>
      </c>
      <c r="I20" s="354">
        <f t="shared" si="0"/>
        <v>12132.66198396553</v>
      </c>
      <c r="J20" s="354">
        <f t="shared" si="1"/>
        <v>11501.62106572142</v>
      </c>
      <c r="K20" s="354">
        <f t="shared" si="2"/>
        <v>11375.859063003885</v>
      </c>
      <c r="Y20" s="351">
        <f t="shared" si="7"/>
        <v>11</v>
      </c>
      <c r="Z20" s="356">
        <f t="shared" si="3"/>
        <v>16735.025199979747</v>
      </c>
      <c r="AA20" s="354">
        <f t="shared" si="4"/>
        <v>14159.357978825907</v>
      </c>
      <c r="AB20" s="354">
        <f t="shared" si="5"/>
        <v>12691.368381246641</v>
      </c>
    </row>
    <row r="21" spans="2:28" x14ac:dyDescent="0.25">
      <c r="B21" s="30"/>
      <c r="D21" s="391"/>
      <c r="G21" s="31"/>
      <c r="H21" s="351">
        <f t="shared" si="6"/>
        <v>12</v>
      </c>
      <c r="I21" s="354">
        <f t="shared" si="0"/>
        <v>12144.794645949496</v>
      </c>
      <c r="J21" s="354">
        <f t="shared" si="1"/>
        <v>11457.353439575001</v>
      </c>
      <c r="K21" s="354">
        <f t="shared" si="2"/>
        <v>11320.754716981131</v>
      </c>
      <c r="Y21" s="351">
        <f t="shared" si="7"/>
        <v>12</v>
      </c>
      <c r="Z21" s="356">
        <f t="shared" si="3"/>
        <v>16902.375451979548</v>
      </c>
      <c r="AA21" s="354">
        <f t="shared" si="4"/>
        <v>14085.312876649612</v>
      </c>
      <c r="AB21" s="354">
        <f t="shared" si="5"/>
        <v>12500</v>
      </c>
    </row>
    <row r="22" spans="2:28" x14ac:dyDescent="0.25">
      <c r="B22" s="30"/>
      <c r="D22" s="391"/>
      <c r="G22" s="31"/>
      <c r="H22" s="351">
        <f t="shared" si="6"/>
        <v>13</v>
      </c>
      <c r="I22" s="354">
        <f t="shared" si="0"/>
        <v>12156.939440595444</v>
      </c>
      <c r="J22" s="354">
        <f t="shared" si="1"/>
        <v>11413.256191387782</v>
      </c>
      <c r="K22" s="354">
        <f t="shared" si="2"/>
        <v>11265.917294883315</v>
      </c>
      <c r="Y22" s="351">
        <f t="shared" si="7"/>
        <v>13</v>
      </c>
      <c r="Z22" s="356">
        <f t="shared" si="3"/>
        <v>17071.399206499344</v>
      </c>
      <c r="AA22" s="354">
        <f t="shared" si="4"/>
        <v>14011.654986744137</v>
      </c>
      <c r="AB22" s="354">
        <f t="shared" si="5"/>
        <v>12311.517190761109</v>
      </c>
    </row>
    <row r="23" spans="2:28" x14ac:dyDescent="0.25">
      <c r="B23" s="348" t="s">
        <v>233</v>
      </c>
      <c r="C23" s="344">
        <f>IF(F12="(Default)",1*(1+D16)^(D18),D14*(1+D16)^(D18))</f>
        <v>12291.336416023629</v>
      </c>
      <c r="D23" s="408" t="s">
        <v>269</v>
      </c>
      <c r="E23" s="344">
        <f>IF(F12="(Default)",1*(1+(((1+D16)^(D18))/((1+D20)^(D18/12))^(1/(D18/12))-1))^(D18/12),D14*(1+(((1+D16)^(D18))/((1+D20)^(D18/12))^(1/(D18/12))-1))^(D18/12))</f>
        <v>11204.829038497432</v>
      </c>
      <c r="G23" s="31"/>
      <c r="H23" s="351">
        <f t="shared" si="6"/>
        <v>14</v>
      </c>
      <c r="I23" s="354">
        <f t="shared" si="0"/>
        <v>12169.096380036037</v>
      </c>
      <c r="J23" s="354">
        <f t="shared" si="1"/>
        <v>11369.328665406298</v>
      </c>
      <c r="K23" s="354">
        <f t="shared" si="2"/>
        <v>11211.345503738337</v>
      </c>
      <c r="Y23" s="351">
        <f t="shared" si="7"/>
        <v>14</v>
      </c>
      <c r="Z23" s="356">
        <f t="shared" si="3"/>
        <v>17242.113198564337</v>
      </c>
      <c r="AA23" s="354">
        <f t="shared" si="4"/>
        <v>13938.382284217376</v>
      </c>
      <c r="AB23" s="354">
        <f t="shared" si="5"/>
        <v>12125.876443072506</v>
      </c>
    </row>
    <row r="24" spans="2:28" x14ac:dyDescent="0.25">
      <c r="B24" s="30"/>
      <c r="D24" s="391"/>
      <c r="G24" s="31"/>
      <c r="H24" s="351">
        <f t="shared" si="6"/>
        <v>15</v>
      </c>
      <c r="I24" s="354">
        <f t="shared" si="0"/>
        <v>12181.265476416072</v>
      </c>
      <c r="J24" s="354">
        <f t="shared" si="1"/>
        <v>11325.570208400968</v>
      </c>
      <c r="K24" s="354">
        <f t="shared" si="2"/>
        <v>11157.038056837226</v>
      </c>
      <c r="Y24" s="351">
        <f t="shared" si="7"/>
        <v>15</v>
      </c>
      <c r="Z24" s="356">
        <f t="shared" si="3"/>
        <v>17414.534330549977</v>
      </c>
      <c r="AA24" s="354">
        <f t="shared" si="4"/>
        <v>13865.492754766219</v>
      </c>
      <c r="AB24" s="354">
        <f t="shared" si="5"/>
        <v>11943.034902554587</v>
      </c>
    </row>
    <row r="25" spans="2:28" x14ac:dyDescent="0.25">
      <c r="B25" s="30"/>
      <c r="D25" s="391"/>
      <c r="G25" s="31"/>
      <c r="H25" s="351">
        <f t="shared" si="6"/>
        <v>16</v>
      </c>
      <c r="I25" s="354">
        <f t="shared" si="0"/>
        <v>12193.446741892485</v>
      </c>
      <c r="J25" s="354">
        <f t="shared" si="1"/>
        <v>11281.980169656368</v>
      </c>
      <c r="K25" s="354">
        <f t="shared" si="2"/>
        <v>11102.993673703788</v>
      </c>
      <c r="Y25" s="351">
        <f t="shared" si="7"/>
        <v>16</v>
      </c>
      <c r="Z25" s="356">
        <f t="shared" si="3"/>
        <v>17588.67967385548</v>
      </c>
      <c r="AA25" s="354">
        <f t="shared" si="4"/>
        <v>13792.984394621173</v>
      </c>
      <c r="AB25" s="354">
        <f t="shared" si="5"/>
        <v>11762.950361012856</v>
      </c>
    </row>
    <row r="26" spans="2:28" ht="18" x14ac:dyDescent="0.35">
      <c r="B26" s="506" t="s">
        <v>272</v>
      </c>
      <c r="C26" s="507"/>
      <c r="D26" s="391"/>
      <c r="F26" s="200" t="s">
        <v>206</v>
      </c>
      <c r="G26" s="31"/>
      <c r="H26" s="351">
        <f t="shared" si="6"/>
        <v>17</v>
      </c>
      <c r="I26" s="354">
        <f t="shared" si="0"/>
        <v>12205.640188634376</v>
      </c>
      <c r="J26" s="354">
        <f t="shared" si="1"/>
        <v>11238.557900961558</v>
      </c>
      <c r="K26" s="354">
        <f t="shared" si="2"/>
        <v>11049.211080064426</v>
      </c>
      <c r="Y26" s="351">
        <f t="shared" si="7"/>
        <v>17</v>
      </c>
      <c r="Z26" s="356">
        <f t="shared" si="3"/>
        <v>17764.566470594036</v>
      </c>
      <c r="AA26" s="354">
        <f t="shared" si="4"/>
        <v>13720.855210491285</v>
      </c>
      <c r="AB26" s="354">
        <f t="shared" si="5"/>
        <v>11585.581246694348</v>
      </c>
    </row>
    <row r="27" spans="2:28" x14ac:dyDescent="0.25">
      <c r="B27" s="30"/>
      <c r="D27" s="391"/>
      <c r="G27" s="31"/>
      <c r="H27" s="351">
        <f t="shared" si="6"/>
        <v>18</v>
      </c>
      <c r="I27" s="354">
        <f t="shared" si="0"/>
        <v>12217.84582882301</v>
      </c>
      <c r="J27" s="354">
        <f t="shared" si="1"/>
        <v>11195.302756600442</v>
      </c>
      <c r="K27" s="354">
        <f t="shared" si="2"/>
        <v>10995.689007818082</v>
      </c>
      <c r="Y27" s="351">
        <f t="shared" si="7"/>
        <v>18</v>
      </c>
      <c r="Z27" s="356">
        <f t="shared" si="3"/>
        <v>17942.212135299978</v>
      </c>
      <c r="AA27" s="354">
        <f t="shared" si="4"/>
        <v>13649.103219509334</v>
      </c>
      <c r="AB27" s="354">
        <f t="shared" si="5"/>
        <v>11410.88661469096</v>
      </c>
    </row>
    <row r="28" spans="2:28" x14ac:dyDescent="0.25">
      <c r="B28" s="30"/>
      <c r="C28" s="201" t="s">
        <v>205</v>
      </c>
      <c r="D28" s="390">
        <v>15000</v>
      </c>
      <c r="G28" s="31"/>
      <c r="H28" s="351">
        <f t="shared" si="6"/>
        <v>19</v>
      </c>
      <c r="I28" s="354">
        <f t="shared" si="0"/>
        <v>12230.06367465183</v>
      </c>
      <c r="J28" s="354">
        <f t="shared" si="1"/>
        <v>11152.214093342167</v>
      </c>
      <c r="K28" s="354">
        <f t="shared" si="2"/>
        <v>10942.426195006357</v>
      </c>
      <c r="Y28" s="351">
        <f t="shared" si="7"/>
        <v>19</v>
      </c>
      <c r="Z28" s="356">
        <f t="shared" si="3"/>
        <v>18121.634256652975</v>
      </c>
      <c r="AA28" s="354">
        <f t="shared" si="4"/>
        <v>13577.726449177324</v>
      </c>
      <c r="AB28" s="354">
        <f t="shared" si="5"/>
        <v>11238.826137487487</v>
      </c>
    </row>
    <row r="29" spans="2:28" x14ac:dyDescent="0.25">
      <c r="B29" s="30"/>
      <c r="D29" s="391"/>
      <c r="G29" s="31"/>
      <c r="H29" s="351">
        <f t="shared" si="6"/>
        <v>20</v>
      </c>
      <c r="I29" s="354">
        <f t="shared" si="0"/>
        <v>12242.293738326482</v>
      </c>
      <c r="J29" s="354">
        <f t="shared" si="1"/>
        <v>11109.291270431557</v>
      </c>
      <c r="K29" s="354">
        <f t="shared" si="2"/>
        <v>10889.421385783728</v>
      </c>
      <c r="Y29" s="351">
        <f t="shared" si="7"/>
        <v>20</v>
      </c>
      <c r="Z29" s="356">
        <f t="shared" si="3"/>
        <v>18302.850599219506</v>
      </c>
      <c r="AA29" s="354">
        <f t="shared" si="4"/>
        <v>13506.722937312272</v>
      </c>
      <c r="AB29" s="354">
        <f t="shared" si="5"/>
        <v>11069.360095652199</v>
      </c>
    </row>
    <row r="30" spans="2:28" x14ac:dyDescent="0.25">
      <c r="B30" s="30"/>
      <c r="C30" s="201" t="s">
        <v>208</v>
      </c>
      <c r="D30" s="392">
        <v>0.01</v>
      </c>
      <c r="E30" s="69" t="s">
        <v>209</v>
      </c>
      <c r="G30" s="31"/>
      <c r="H30" s="351">
        <f t="shared" si="6"/>
        <v>21</v>
      </c>
      <c r="I30" s="354">
        <f t="shared" si="0"/>
        <v>12254.536032064805</v>
      </c>
      <c r="J30" s="354">
        <f t="shared" si="1"/>
        <v>11066.533649579589</v>
      </c>
      <c r="K30" s="354">
        <f t="shared" si="2"/>
        <v>10836.673330387957</v>
      </c>
      <c r="Y30" s="351">
        <f t="shared" si="7"/>
        <v>21</v>
      </c>
      <c r="Z30" s="356">
        <f t="shared" si="3"/>
        <v>18485.879105211698</v>
      </c>
      <c r="AA30" s="354">
        <f t="shared" si="4"/>
        <v>13436.090731992246</v>
      </c>
      <c r="AB30" s="354">
        <f t="shared" si="5"/>
        <v>10902.449368667767</v>
      </c>
    </row>
    <row r="31" spans="2:28" x14ac:dyDescent="0.25">
      <c r="B31" s="30"/>
      <c r="D31" s="391"/>
      <c r="G31" s="31"/>
      <c r="H31" s="351">
        <f t="shared" si="6"/>
        <v>22</v>
      </c>
      <c r="I31" s="354">
        <f t="shared" si="0"/>
        <v>12266.790568096867</v>
      </c>
      <c r="J31" s="354">
        <f t="shared" si="1"/>
        <v>11023.940594953892</v>
      </c>
      <c r="K31" s="354">
        <f t="shared" si="2"/>
        <v>10784.180785110631</v>
      </c>
      <c r="Y31" s="351">
        <f t="shared" si="7"/>
        <v>22</v>
      </c>
      <c r="Z31" s="356">
        <f t="shared" si="3"/>
        <v>18670.737896263821</v>
      </c>
      <c r="AA31" s="354">
        <f t="shared" si="4"/>
        <v>13365.827891502722</v>
      </c>
      <c r="AB31" s="354">
        <f t="shared" si="5"/>
        <v>10738.055425900466</v>
      </c>
    </row>
    <row r="32" spans="2:28" x14ac:dyDescent="0.25">
      <c r="B32" s="504" t="s">
        <v>70</v>
      </c>
      <c r="C32" s="505"/>
      <c r="D32" s="390">
        <v>24</v>
      </c>
      <c r="G32" s="31"/>
      <c r="H32" s="351">
        <f t="shared" si="6"/>
        <v>23</v>
      </c>
      <c r="I32" s="354">
        <f t="shared" si="0"/>
        <v>12279.057358664963</v>
      </c>
      <c r="J32" s="354">
        <f t="shared" si="1"/>
        <v>10981.511473169297</v>
      </c>
      <c r="K32" s="354">
        <f t="shared" si="2"/>
        <v>10731.942512267815</v>
      </c>
      <c r="Y32" s="351">
        <f t="shared" si="7"/>
        <v>23</v>
      </c>
      <c r="Z32" s="356">
        <f t="shared" si="3"/>
        <v>18857.445275226455</v>
      </c>
      <c r="AA32" s="354">
        <f t="shared" si="4"/>
        <v>13295.932484283199</v>
      </c>
      <c r="AB32" s="354">
        <f t="shared" si="5"/>
        <v>10576.140317705534</v>
      </c>
    </row>
    <row r="33" spans="2:28" x14ac:dyDescent="0.25">
      <c r="B33" s="30"/>
      <c r="D33" s="391"/>
      <c r="G33" s="31"/>
      <c r="H33" s="351">
        <f t="shared" si="6"/>
        <v>24</v>
      </c>
      <c r="I33" s="354">
        <f t="shared" si="0"/>
        <v>12291.336416023629</v>
      </c>
      <c r="J33" s="354">
        <f t="shared" si="1"/>
        <v>10939.245653278424</v>
      </c>
      <c r="K33" s="354">
        <f t="shared" si="2"/>
        <v>10679.957280170878</v>
      </c>
      <c r="Y33" s="351">
        <f t="shared" si="7"/>
        <v>24</v>
      </c>
      <c r="Z33" s="356">
        <f t="shared" si="3"/>
        <v>19046.019727978724</v>
      </c>
      <c r="AA33" s="354">
        <f t="shared" si="4"/>
        <v>13226.402588874131</v>
      </c>
      <c r="AB33" s="354">
        <f t="shared" si="5"/>
        <v>10416.666666666666</v>
      </c>
    </row>
    <row r="34" spans="2:28" x14ac:dyDescent="0.25">
      <c r="B34" s="504" t="s">
        <v>268</v>
      </c>
      <c r="C34" s="505"/>
      <c r="D34" s="393">
        <v>0.2</v>
      </c>
      <c r="E34" s="69" t="s">
        <v>101</v>
      </c>
      <c r="G34" s="31"/>
      <c r="H34" s="351">
        <f t="shared" si="6"/>
        <v>25</v>
      </c>
      <c r="I34" s="354">
        <f t="shared" si="0"/>
        <v>12303.627752439652</v>
      </c>
      <c r="J34" s="354">
        <f t="shared" si="1"/>
        <v>10897.142506762288</v>
      </c>
      <c r="K34" s="354">
        <f t="shared" si="2"/>
        <v>10628.223863097466</v>
      </c>
      <c r="Y34" s="351">
        <f t="shared" si="7"/>
        <v>25</v>
      </c>
      <c r="Z34" s="356">
        <f t="shared" si="3"/>
        <v>19236.479925258514</v>
      </c>
      <c r="AA34" s="354">
        <f t="shared" si="4"/>
        <v>13157.236293863967</v>
      </c>
      <c r="AB34" s="354">
        <f t="shared" si="5"/>
        <v>10259.597658967592</v>
      </c>
    </row>
    <row r="35" spans="2:28" x14ac:dyDescent="0.25">
      <c r="B35" s="30"/>
      <c r="D35" s="69"/>
      <c r="G35" s="31"/>
      <c r="H35" s="351">
        <f t="shared" si="6"/>
        <v>26</v>
      </c>
      <c r="I35" s="354">
        <f t="shared" si="0"/>
        <v>12315.931380192089</v>
      </c>
      <c r="J35" s="354">
        <f t="shared" si="1"/>
        <v>10855.201407520957</v>
      </c>
      <c r="K35" s="354">
        <f t="shared" si="2"/>
        <v>10576.741041262581</v>
      </c>
      <c r="Y35" s="351">
        <f t="shared" si="7"/>
        <v>26</v>
      </c>
      <c r="Z35" s="356">
        <f t="shared" si="3"/>
        <v>19428.844724511098</v>
      </c>
      <c r="AA35" s="354">
        <f t="shared" si="4"/>
        <v>13088.431697836828</v>
      </c>
      <c r="AB35" s="354">
        <f t="shared" si="5"/>
        <v>10104.897035893755</v>
      </c>
    </row>
    <row r="36" spans="2:28" x14ac:dyDescent="0.25">
      <c r="B36" s="30"/>
      <c r="D36" s="69"/>
      <c r="G36" s="31"/>
      <c r="H36" s="351">
        <f t="shared" si="6"/>
        <v>27</v>
      </c>
      <c r="I36" s="354">
        <f t="shared" si="0"/>
        <v>12328.247311572279</v>
      </c>
      <c r="J36" s="354">
        <f t="shared" si="1"/>
        <v>10813.42173186425</v>
      </c>
      <c r="K36" s="354">
        <f t="shared" si="2"/>
        <v>10525.507600789833</v>
      </c>
      <c r="Y36" s="351">
        <f t="shared" si="7"/>
        <v>27</v>
      </c>
      <c r="Z36" s="356">
        <f t="shared" si="3"/>
        <v>19623.133171756203</v>
      </c>
      <c r="AA36" s="354">
        <f t="shared" si="4"/>
        <v>13019.986909320036</v>
      </c>
      <c r="AB36" s="354">
        <f t="shared" si="5"/>
        <v>9952.5290854621544</v>
      </c>
    </row>
    <row r="37" spans="2:28" x14ac:dyDescent="0.25">
      <c r="B37" s="348" t="s">
        <v>233</v>
      </c>
      <c r="C37" s="344">
        <f>IF(F26="(Default)",1*(1+D30)^(D32),D28*(1+D30)^(D32))</f>
        <v>19046.019727978724</v>
      </c>
      <c r="D37" s="260" t="s">
        <v>269</v>
      </c>
      <c r="E37" s="344">
        <f>IF(F26="(Default)",1*(1+(((1+D30)^(D32))/((1+D34)^(D32/12))^(1/(D32/12))-1))^(D32/12),D28*(1+(((1+D30)^(D32))/((1+D34)^(D32/12))^(1/(D32/12))-1))^(D32/12))</f>
        <v>16794.021642525684</v>
      </c>
      <c r="G37" s="31"/>
      <c r="H37" s="351">
        <f t="shared" si="6"/>
        <v>28</v>
      </c>
      <c r="I37" s="354">
        <f t="shared" si="0"/>
        <v>12340.575558883849</v>
      </c>
      <c r="J37" s="354">
        <f t="shared" si="1"/>
        <v>10771.802858502444</v>
      </c>
      <c r="K37" s="354">
        <f t="shared" si="2"/>
        <v>10474.522333682817</v>
      </c>
      <c r="Y37" s="351">
        <f t="shared" si="7"/>
        <v>28</v>
      </c>
      <c r="Z37" s="356">
        <f t="shared" si="3"/>
        <v>19819.364503473767</v>
      </c>
      <c r="AA37" s="354">
        <f t="shared" si="4"/>
        <v>12951.900046732319</v>
      </c>
      <c r="AB37" s="354">
        <f t="shared" si="5"/>
        <v>9802.4586341773811</v>
      </c>
    </row>
    <row r="38" spans="2:28" x14ac:dyDescent="0.25">
      <c r="B38" s="35"/>
      <c r="C38" s="33"/>
      <c r="D38" s="33"/>
      <c r="E38" s="33"/>
      <c r="F38" s="33"/>
      <c r="G38" s="37"/>
      <c r="H38" s="352">
        <f t="shared" si="6"/>
        <v>29</v>
      </c>
      <c r="I38" s="355">
        <f t="shared" si="0"/>
        <v>12352.916134442732</v>
      </c>
      <c r="J38" s="389">
        <f t="shared" si="1"/>
        <v>10730.34416853706</v>
      </c>
      <c r="K38" s="355">
        <f t="shared" si="2"/>
        <v>10423.784037796626</v>
      </c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52">
        <f t="shared" si="7"/>
        <v>29</v>
      </c>
      <c r="Z38" s="355">
        <f t="shared" si="3"/>
        <v>20017.558148508506</v>
      </c>
      <c r="AA38" s="354">
        <f t="shared" si="4"/>
        <v>12884.169238331857</v>
      </c>
      <c r="AB38" s="355">
        <f t="shared" si="5"/>
        <v>9654.6510389119594</v>
      </c>
    </row>
  </sheetData>
  <sheetProtection algorithmName="SHA-512" hashValue="kcq1VHBWJw2uJP60knAnRjl9C4xgaiAt60E4L/DK0YimjKVJ4+HpLoUidu7O/Ph1JtPQ4p36d5uw0uAnupe2NQ==" saltValue="qgRhl5JtVyJX1MOF5TJVug==" spinCount="100000" sheet="1" objects="1" scenarios="1" selectLockedCells="1"/>
  <mergeCells count="10">
    <mergeCell ref="B26:C26"/>
    <mergeCell ref="B32:C32"/>
    <mergeCell ref="B34:C34"/>
    <mergeCell ref="Y7:AB8"/>
    <mergeCell ref="H7:K8"/>
    <mergeCell ref="B2:AA6"/>
    <mergeCell ref="C8:E9"/>
    <mergeCell ref="B12:C12"/>
    <mergeCell ref="B18:C18"/>
    <mergeCell ref="B20:C2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F1EF63B-8C26-49FB-B5A4-9B4F3EFA314B}">
          <x14:formula1>
            <xm:f>Dropdown!$J$7:$J$8</xm:f>
          </x14:formula1>
          <xm:sqref>F12 F26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CAE97-9A1A-4630-B6DA-9203DFC5B0E6}">
  <sheetPr codeName="Sheet6"/>
  <dimension ref="B2:L28"/>
  <sheetViews>
    <sheetView topLeftCell="P1" workbookViewId="0">
      <selection activeCell="F29" sqref="F29"/>
    </sheetView>
  </sheetViews>
  <sheetFormatPr defaultRowHeight="13.8" x14ac:dyDescent="0.25"/>
  <cols>
    <col min="2" max="2" width="17.8984375" customWidth="1"/>
    <col min="8" max="8" width="18.3984375" customWidth="1"/>
  </cols>
  <sheetData>
    <row r="2" spans="2:12" x14ac:dyDescent="0.25">
      <c r="B2" t="s">
        <v>18</v>
      </c>
      <c r="D2" t="s">
        <v>19</v>
      </c>
      <c r="F2" t="s">
        <v>20</v>
      </c>
      <c r="H2" t="s">
        <v>23</v>
      </c>
      <c r="J2" t="s">
        <v>24</v>
      </c>
    </row>
    <row r="3" spans="2:12" x14ac:dyDescent="0.25">
      <c r="B3">
        <f>'Single Investment'!E19</f>
        <v>900</v>
      </c>
      <c r="D3">
        <f>'Single Investment'!E22</f>
        <v>30000</v>
      </c>
      <c r="F3" s="7">
        <f>'Single Investment'!H19</f>
        <v>0.05</v>
      </c>
      <c r="H3">
        <f>'Single Investment'!G38</f>
        <v>20</v>
      </c>
      <c r="J3">
        <f>'Single Investment'!E26</f>
        <v>4</v>
      </c>
    </row>
    <row r="6" spans="2:12" x14ac:dyDescent="0.25">
      <c r="G6" s="2"/>
    </row>
    <row r="7" spans="2:12" x14ac:dyDescent="0.25">
      <c r="B7" s="4"/>
      <c r="C7" s="3" t="s">
        <v>16</v>
      </c>
      <c r="D7" s="3" t="s">
        <v>17</v>
      </c>
      <c r="E7" s="3" t="s">
        <v>27</v>
      </c>
      <c r="F7" s="3" t="s">
        <v>21</v>
      </c>
      <c r="G7" s="4" t="s">
        <v>22</v>
      </c>
      <c r="H7" s="5" t="s">
        <v>29</v>
      </c>
    </row>
    <row r="8" spans="2:12" x14ac:dyDescent="0.25">
      <c r="B8" s="5" t="s">
        <v>26</v>
      </c>
      <c r="C8" s="4">
        <f>D3*(1+(F3*H3*J3))</f>
        <v>150000</v>
      </c>
      <c r="D8" s="4">
        <f>B3/(1+F3*H3*J3)</f>
        <v>180</v>
      </c>
      <c r="E8" s="8">
        <f>((B3/D3)-1)/(H3*J3)</f>
        <v>-1.2125E-2</v>
      </c>
      <c r="F8" s="3">
        <f>((B3/D3)-1)/(F3*J3)</f>
        <v>-4.8499999999999996</v>
      </c>
      <c r="G8" s="4"/>
      <c r="H8" s="10">
        <f>C8-D8</f>
        <v>149820</v>
      </c>
      <c r="K8" t="s">
        <v>28</v>
      </c>
      <c r="L8" t="s">
        <v>16</v>
      </c>
    </row>
    <row r="9" spans="2:12" x14ac:dyDescent="0.25">
      <c r="B9" s="6" t="s">
        <v>25</v>
      </c>
      <c r="C9" s="6">
        <f>D3*(1+F3)^(J3*H3)</f>
        <v>1486843.2320052746</v>
      </c>
      <c r="D9" s="4">
        <f>B3/(1+F3)^(J3*H3)</f>
        <v>18.159278274136312</v>
      </c>
      <c r="E9" s="9">
        <f>((B3)/D3)^(1/(H3*J3))-1</f>
        <v>-4.2885235600481519E-2</v>
      </c>
      <c r="F9" s="3">
        <f>(LN((B3/D3))/(J3*(LN((1+F3)))))</f>
        <v>-17.96754508317942</v>
      </c>
      <c r="G9" s="6"/>
      <c r="H9" s="6">
        <f>C9-D9</f>
        <v>1486825.0727270006</v>
      </c>
      <c r="K9">
        <v>1</v>
      </c>
      <c r="L9">
        <f>$D$3*(1+$F$3)^($K9*$J$3)</f>
        <v>36465.1875</v>
      </c>
    </row>
    <row r="10" spans="2:12" x14ac:dyDescent="0.25">
      <c r="K10">
        <v>2</v>
      </c>
      <c r="L10">
        <f t="shared" ref="L10:L28" si="0">$D$3*(1+$F$3)^($K10*$J$3)</f>
        <v>44323.663313671874</v>
      </c>
    </row>
    <row r="11" spans="2:12" x14ac:dyDescent="0.25">
      <c r="K11">
        <v>3</v>
      </c>
      <c r="L11">
        <f t="shared" si="0"/>
        <v>53875.689780663874</v>
      </c>
    </row>
    <row r="12" spans="2:12" x14ac:dyDescent="0.25">
      <c r="K12">
        <v>4</v>
      </c>
      <c r="L12">
        <f t="shared" si="0"/>
        <v>65486.237651458083</v>
      </c>
    </row>
    <row r="13" spans="2:12" x14ac:dyDescent="0.25">
      <c r="K13">
        <v>5</v>
      </c>
      <c r="L13">
        <f t="shared" si="0"/>
        <v>79598.931154332633</v>
      </c>
    </row>
    <row r="14" spans="2:12" x14ac:dyDescent="0.25">
      <c r="K14">
        <v>6</v>
      </c>
      <c r="L14">
        <f t="shared" si="0"/>
        <v>96752.998311411022</v>
      </c>
    </row>
    <row r="15" spans="2:12" x14ac:dyDescent="0.25">
      <c r="K15">
        <v>7</v>
      </c>
      <c r="L15">
        <f t="shared" si="0"/>
        <v>117603.87415375955</v>
      </c>
    </row>
    <row r="16" spans="2:12" x14ac:dyDescent="0.25">
      <c r="K16">
        <v>8</v>
      </c>
      <c r="L16">
        <f t="shared" si="0"/>
        <v>142948.24405810822</v>
      </c>
    </row>
    <row r="17" spans="11:12" x14ac:dyDescent="0.25">
      <c r="K17">
        <v>9</v>
      </c>
      <c r="L17">
        <f t="shared" si="0"/>
        <v>173754.4840791559</v>
      </c>
    </row>
    <row r="18" spans="11:12" x14ac:dyDescent="0.25">
      <c r="K18">
        <v>10</v>
      </c>
      <c r="L18">
        <f t="shared" si="0"/>
        <v>211199.66136373946</v>
      </c>
    </row>
    <row r="19" spans="11:12" x14ac:dyDescent="0.25">
      <c r="K19">
        <v>11</v>
      </c>
      <c r="L19">
        <f t="shared" si="0"/>
        <v>256714.50838550887</v>
      </c>
    </row>
    <row r="20" spans="11:12" x14ac:dyDescent="0.25">
      <c r="K20">
        <v>12</v>
      </c>
      <c r="L20">
        <f t="shared" si="0"/>
        <v>312038.08940826351</v>
      </c>
    </row>
    <row r="21" spans="11:12" x14ac:dyDescent="0.25">
      <c r="K21">
        <v>13</v>
      </c>
      <c r="L21">
        <f t="shared" si="0"/>
        <v>379284.24791380315</v>
      </c>
    </row>
    <row r="22" spans="11:12" x14ac:dyDescent="0.25">
      <c r="K22">
        <v>14</v>
      </c>
      <c r="L22">
        <f t="shared" si="0"/>
        <v>461022.3738657771</v>
      </c>
    </row>
    <row r="23" spans="11:12" x14ac:dyDescent="0.25">
      <c r="K23">
        <v>15</v>
      </c>
      <c r="L23">
        <f t="shared" si="0"/>
        <v>560375.57682368881</v>
      </c>
    </row>
    <row r="24" spans="11:12" x14ac:dyDescent="0.25">
      <c r="K24">
        <v>16</v>
      </c>
      <c r="L24">
        <f t="shared" si="0"/>
        <v>681140.01597654901</v>
      </c>
    </row>
    <row r="25" spans="11:12" x14ac:dyDescent="0.25">
      <c r="K25">
        <v>17</v>
      </c>
      <c r="L25">
        <f t="shared" si="0"/>
        <v>827929.94654459518</v>
      </c>
    </row>
    <row r="26" spans="11:12" x14ac:dyDescent="0.25">
      <c r="K26">
        <v>18</v>
      </c>
      <c r="L26">
        <f t="shared" si="0"/>
        <v>1006354.0245871214</v>
      </c>
    </row>
    <row r="27" spans="11:12" x14ac:dyDescent="0.25">
      <c r="K27">
        <v>19</v>
      </c>
      <c r="L27">
        <f t="shared" si="0"/>
        <v>1223229.6065982997</v>
      </c>
    </row>
    <row r="28" spans="11:12" x14ac:dyDescent="0.25">
      <c r="K28">
        <v>20</v>
      </c>
      <c r="L28">
        <f t="shared" si="0"/>
        <v>1486843.2320052746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A9213-0687-4563-B16B-A816ECAA3BD6}">
  <sheetPr codeName="Sheet3">
    <tabColor theme="2" tint="-0.749992370372631"/>
  </sheetPr>
  <dimension ref="C2:D5"/>
  <sheetViews>
    <sheetView workbookViewId="0">
      <selection activeCell="E11" sqref="E11"/>
    </sheetView>
  </sheetViews>
  <sheetFormatPr defaultRowHeight="13.8" x14ac:dyDescent="0.25"/>
  <sheetData>
    <row r="2" spans="3:4" ht="14.4" x14ac:dyDescent="0.3">
      <c r="C2" s="513" t="s">
        <v>39</v>
      </c>
      <c r="D2" s="513"/>
    </row>
    <row r="4" spans="3:4" x14ac:dyDescent="0.25">
      <c r="C4" t="s">
        <v>38</v>
      </c>
    </row>
    <row r="5" spans="3:4" x14ac:dyDescent="0.25">
      <c r="C5" s="67" t="s">
        <v>95</v>
      </c>
    </row>
  </sheetData>
  <sheetProtection algorithmName="SHA-512" hashValue="y/unpYMGkqkP/GotRVmLCvHwjSgiIzxZtN0YkKaw13bfsgd5Bw1OnEyHor805Y1dj/PWaKcgxf+wuRITgE+Xig==" saltValue="s/3IYvdymqvhUv7WNGqu4w==" spinCount="100000" sheet="1" objects="1" scenarios="1" selectLockedCells="1" selectUnlockedCells="1"/>
  <mergeCells count="1">
    <mergeCell ref="C2:D2"/>
  </mergeCells>
  <hyperlinks>
    <hyperlink ref="C5" r:id="rId1" display="https://clipart-library.com/right-arrow.html" xr:uid="{9A336D0A-0C39-4C37-9901-EA4DF3381A5A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8067-7E8E-4C2E-ADC9-58E4DF673092}">
  <sheetPr codeName="Sheet1">
    <tabColor theme="2" tint="-0.749992370372631"/>
  </sheetPr>
  <dimension ref="B1:AA38"/>
  <sheetViews>
    <sheetView showGridLines="0" showRowColHeaders="0" zoomScale="58" zoomScaleNormal="78" workbookViewId="0">
      <selection activeCell="D17" sqref="D17"/>
    </sheetView>
  </sheetViews>
  <sheetFormatPr defaultRowHeight="13.8" x14ac:dyDescent="0.25"/>
  <cols>
    <col min="1" max="1" width="5" style="15" customWidth="1"/>
    <col min="2" max="2" width="8.796875" style="15"/>
    <col min="3" max="3" width="22.09765625" style="15" bestFit="1" customWidth="1"/>
    <col min="4" max="4" width="17" style="15" customWidth="1"/>
    <col min="5" max="5" width="6.8984375" style="15" customWidth="1"/>
    <col min="6" max="6" width="22.09765625" style="15" bestFit="1" customWidth="1"/>
    <col min="7" max="7" width="16.69921875" style="15" bestFit="1" customWidth="1"/>
    <col min="8" max="16384" width="8.796875" style="15"/>
  </cols>
  <sheetData>
    <row r="1" spans="2:27" ht="14.4" thickBot="1" x14ac:dyDescent="0.3"/>
    <row r="2" spans="2:27" x14ac:dyDescent="0.25">
      <c r="B2" s="520" t="s">
        <v>187</v>
      </c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  <c r="P2" s="521"/>
      <c r="Q2" s="521"/>
      <c r="R2" s="521"/>
      <c r="S2" s="521"/>
      <c r="T2" s="521"/>
      <c r="U2" s="521"/>
      <c r="V2" s="521"/>
      <c r="W2" s="521"/>
      <c r="X2" s="521"/>
      <c r="Y2" s="521"/>
      <c r="Z2" s="521"/>
      <c r="AA2" s="522"/>
    </row>
    <row r="3" spans="2:27" x14ac:dyDescent="0.25">
      <c r="B3" s="523"/>
      <c r="C3" s="496"/>
      <c r="D3" s="496"/>
      <c r="E3" s="496"/>
      <c r="F3" s="496"/>
      <c r="G3" s="496"/>
      <c r="H3" s="496"/>
      <c r="I3" s="496"/>
      <c r="J3" s="496"/>
      <c r="K3" s="496"/>
      <c r="L3" s="496"/>
      <c r="M3" s="496"/>
      <c r="N3" s="496"/>
      <c r="O3" s="496"/>
      <c r="P3" s="496"/>
      <c r="Q3" s="496"/>
      <c r="R3" s="496"/>
      <c r="S3" s="496"/>
      <c r="T3" s="496"/>
      <c r="U3" s="496"/>
      <c r="V3" s="496"/>
      <c r="W3" s="496"/>
      <c r="X3" s="496"/>
      <c r="Y3" s="496"/>
      <c r="Z3" s="496"/>
      <c r="AA3" s="524"/>
    </row>
    <row r="4" spans="2:27" x14ac:dyDescent="0.25">
      <c r="B4" s="523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6"/>
      <c r="O4" s="496"/>
      <c r="P4" s="496"/>
      <c r="Q4" s="496"/>
      <c r="R4" s="496"/>
      <c r="S4" s="496"/>
      <c r="T4" s="496"/>
      <c r="U4" s="496"/>
      <c r="V4" s="496"/>
      <c r="W4" s="496"/>
      <c r="X4" s="496"/>
      <c r="Y4" s="496"/>
      <c r="Z4" s="496"/>
      <c r="AA4" s="524"/>
    </row>
    <row r="5" spans="2:27" x14ac:dyDescent="0.25">
      <c r="B5" s="523"/>
      <c r="C5" s="496"/>
      <c r="D5" s="496"/>
      <c r="E5" s="496"/>
      <c r="F5" s="496"/>
      <c r="G5" s="496"/>
      <c r="H5" s="496"/>
      <c r="I5" s="496"/>
      <c r="J5" s="496"/>
      <c r="K5" s="496"/>
      <c r="L5" s="496"/>
      <c r="M5" s="496"/>
      <c r="N5" s="496"/>
      <c r="O5" s="496"/>
      <c r="P5" s="496"/>
      <c r="Q5" s="496"/>
      <c r="R5" s="496"/>
      <c r="S5" s="496"/>
      <c r="T5" s="496"/>
      <c r="U5" s="496"/>
      <c r="V5" s="496"/>
      <c r="W5" s="496"/>
      <c r="X5" s="496"/>
      <c r="Y5" s="496"/>
      <c r="Z5" s="496"/>
      <c r="AA5" s="524"/>
    </row>
    <row r="6" spans="2:27" ht="14.4" thickBot="1" x14ac:dyDescent="0.3">
      <c r="B6" s="523"/>
      <c r="C6" s="496"/>
      <c r="D6" s="496"/>
      <c r="E6" s="496"/>
      <c r="F6" s="496"/>
      <c r="G6" s="496"/>
      <c r="H6" s="496"/>
      <c r="I6" s="496"/>
      <c r="J6" s="496"/>
      <c r="K6" s="496"/>
      <c r="L6" s="496"/>
      <c r="M6" s="496"/>
      <c r="N6" s="496"/>
      <c r="O6" s="496"/>
      <c r="P6" s="496"/>
      <c r="Q6" s="496"/>
      <c r="R6" s="496"/>
      <c r="S6" s="496"/>
      <c r="T6" s="496"/>
      <c r="U6" s="496"/>
      <c r="V6" s="496"/>
      <c r="W6" s="496"/>
      <c r="X6" s="496"/>
      <c r="Y6" s="496"/>
      <c r="Z6" s="496"/>
      <c r="AA6" s="524"/>
    </row>
    <row r="7" spans="2:27" x14ac:dyDescent="0.25">
      <c r="B7" s="191"/>
      <c r="C7" s="192"/>
      <c r="D7" s="192"/>
      <c r="E7" s="192"/>
      <c r="F7" s="192"/>
      <c r="G7" s="192"/>
      <c r="H7" s="193"/>
      <c r="AA7" s="63"/>
    </row>
    <row r="8" spans="2:27" x14ac:dyDescent="0.25">
      <c r="B8" s="62"/>
      <c r="C8" s="525" t="s">
        <v>188</v>
      </c>
      <c r="D8" s="525"/>
      <c r="E8" s="525"/>
      <c r="F8" s="525"/>
      <c r="G8" s="525"/>
      <c r="H8" s="63"/>
      <c r="AA8" s="63"/>
    </row>
    <row r="9" spans="2:27" x14ac:dyDescent="0.25">
      <c r="B9" s="62"/>
      <c r="C9" s="525"/>
      <c r="D9" s="525"/>
      <c r="E9" s="525"/>
      <c r="F9" s="525"/>
      <c r="G9" s="525"/>
      <c r="H9" s="63"/>
      <c r="I9" s="527" t="s">
        <v>193</v>
      </c>
      <c r="J9" s="528"/>
      <c r="AA9" s="63"/>
    </row>
    <row r="10" spans="2:27" ht="20.399999999999999" customHeight="1" x14ac:dyDescent="0.25">
      <c r="B10" s="62"/>
      <c r="C10" s="525"/>
      <c r="D10" s="525"/>
      <c r="E10" s="525"/>
      <c r="F10" s="525"/>
      <c r="G10" s="525"/>
      <c r="H10" s="63"/>
      <c r="I10" s="527"/>
      <c r="J10" s="528"/>
      <c r="AA10" s="63"/>
    </row>
    <row r="11" spans="2:27" ht="13.8" customHeight="1" x14ac:dyDescent="0.25">
      <c r="B11" s="62"/>
      <c r="H11" s="63"/>
      <c r="I11" s="527"/>
      <c r="J11" s="528"/>
      <c r="AA11" s="63"/>
    </row>
    <row r="12" spans="2:27" ht="20.399999999999999" x14ac:dyDescent="0.35">
      <c r="B12" s="62"/>
      <c r="H12" s="63"/>
      <c r="I12" s="518">
        <f>IF(C13="Date",D15,"Time -&gt; 0")</f>
        <v>40909</v>
      </c>
      <c r="J12" s="519"/>
      <c r="AA12" s="63"/>
    </row>
    <row r="13" spans="2:27" ht="20.399999999999999" x14ac:dyDescent="0.25">
      <c r="B13" s="62"/>
      <c r="C13" s="507" t="s">
        <v>189</v>
      </c>
      <c r="D13" s="507"/>
      <c r="F13" s="526" t="s">
        <v>192</v>
      </c>
      <c r="G13" s="526"/>
      <c r="H13" s="63"/>
      <c r="J13" s="195"/>
      <c r="AA13" s="63"/>
    </row>
    <row r="14" spans="2:27" ht="13.8" customHeight="1" x14ac:dyDescent="0.25">
      <c r="B14" s="62"/>
      <c r="H14" s="63"/>
      <c r="I14" s="194"/>
      <c r="J14" s="195"/>
      <c r="AA14" s="63"/>
    </row>
    <row r="15" spans="2:27" ht="15.6" customHeight="1" thickBot="1" x14ac:dyDescent="0.35">
      <c r="B15" s="62"/>
      <c r="C15" s="197" t="s">
        <v>190</v>
      </c>
      <c r="D15" s="449">
        <v>40909</v>
      </c>
      <c r="F15" s="514">
        <v>4</v>
      </c>
      <c r="G15" s="514"/>
      <c r="H15" s="63"/>
      <c r="AA15" s="63"/>
    </row>
    <row r="16" spans="2:27" ht="13.8" customHeight="1" x14ac:dyDescent="0.3">
      <c r="B16" s="62"/>
      <c r="C16" s="197" t="s">
        <v>194</v>
      </c>
      <c r="D16" s="423">
        <v>10</v>
      </c>
      <c r="H16" s="63"/>
      <c r="AA16" s="63"/>
    </row>
    <row r="17" spans="2:27" ht="15" customHeight="1" x14ac:dyDescent="0.3">
      <c r="B17" s="62"/>
      <c r="C17" s="197" t="s">
        <v>191</v>
      </c>
      <c r="D17" s="449">
        <v>41640</v>
      </c>
      <c r="H17" s="63"/>
      <c r="AA17" s="63"/>
    </row>
    <row r="18" spans="2:27" ht="15" customHeight="1" x14ac:dyDescent="0.25">
      <c r="B18" s="62"/>
      <c r="H18" s="63"/>
      <c r="I18" s="194"/>
      <c r="J18" s="195"/>
      <c r="AA18" s="63"/>
    </row>
    <row r="19" spans="2:27" x14ac:dyDescent="0.25">
      <c r="B19" s="62"/>
      <c r="H19" s="63"/>
      <c r="AA19" s="63"/>
    </row>
    <row r="20" spans="2:27" x14ac:dyDescent="0.25">
      <c r="B20" s="62"/>
      <c r="H20" s="63"/>
      <c r="AA20" s="63"/>
    </row>
    <row r="21" spans="2:27" ht="17.399999999999999" x14ac:dyDescent="0.3">
      <c r="B21" s="62"/>
      <c r="C21" s="515" t="s">
        <v>195</v>
      </c>
      <c r="D21" s="516"/>
      <c r="E21" s="32"/>
      <c r="F21" s="516" t="s">
        <v>196</v>
      </c>
      <c r="G21" s="517"/>
      <c r="H21" s="63"/>
      <c r="W21" s="534" t="s">
        <v>191</v>
      </c>
      <c r="X21" s="534"/>
      <c r="AA21" s="63"/>
    </row>
    <row r="22" spans="2:27" x14ac:dyDescent="0.25">
      <c r="B22" s="62"/>
      <c r="C22" s="196"/>
      <c r="G22" s="31"/>
      <c r="H22" s="63"/>
      <c r="W22" s="534"/>
      <c r="X22" s="534"/>
      <c r="AA22" s="63"/>
    </row>
    <row r="23" spans="2:27" ht="20.399999999999999" x14ac:dyDescent="0.35">
      <c r="B23" s="62"/>
      <c r="C23" s="443" t="s">
        <v>9</v>
      </c>
      <c r="D23" s="444">
        <v>0.01</v>
      </c>
      <c r="F23" s="436" t="s">
        <v>9</v>
      </c>
      <c r="G23" s="437">
        <v>0.02</v>
      </c>
      <c r="H23" s="63"/>
      <c r="W23" s="535" t="str">
        <f>IF(C13="Date",TEXT(D17,"yyyy/mm/dd"),TEXT((D26/12)+(G26/12)+(D33/12)+(G33/12),"#"))</f>
        <v>2014/01/01</v>
      </c>
      <c r="X23" s="535"/>
      <c r="AA23" s="63"/>
    </row>
    <row r="24" spans="2:27" ht="17.399999999999999" x14ac:dyDescent="0.3">
      <c r="B24" s="62"/>
      <c r="C24" s="443" t="s">
        <v>197</v>
      </c>
      <c r="D24" s="445" t="s">
        <v>6</v>
      </c>
      <c r="F24" s="436" t="s">
        <v>197</v>
      </c>
      <c r="G24" s="438" t="s">
        <v>2</v>
      </c>
      <c r="H24" s="63"/>
      <c r="AA24" s="63"/>
    </row>
    <row r="25" spans="2:27" ht="17.399999999999999" x14ac:dyDescent="0.3">
      <c r="B25" s="62"/>
      <c r="C25" s="443" t="s">
        <v>276</v>
      </c>
      <c r="D25" s="445">
        <v>12</v>
      </c>
      <c r="F25" s="436" t="s">
        <v>276</v>
      </c>
      <c r="G25" s="438">
        <v>12</v>
      </c>
      <c r="H25" s="63"/>
      <c r="AA25" s="63"/>
    </row>
    <row r="26" spans="2:27" ht="17.399999999999999" x14ac:dyDescent="0.3">
      <c r="B26" s="62"/>
      <c r="C26" s="443" t="s">
        <v>198</v>
      </c>
      <c r="D26" s="445">
        <v>12</v>
      </c>
      <c r="F26" s="436" t="s">
        <v>198</v>
      </c>
      <c r="G26" s="439">
        <v>4</v>
      </c>
      <c r="H26" s="63"/>
      <c r="AA26" s="63"/>
    </row>
    <row r="27" spans="2:27" x14ac:dyDescent="0.25">
      <c r="B27" s="62"/>
      <c r="C27" s="446"/>
      <c r="D27" s="440"/>
      <c r="F27" s="440"/>
      <c r="G27" s="441"/>
      <c r="H27" s="63"/>
      <c r="AA27" s="63"/>
    </row>
    <row r="28" spans="2:27" ht="17.399999999999999" x14ac:dyDescent="0.3">
      <c r="B28" s="62"/>
      <c r="C28" s="531" t="s">
        <v>199</v>
      </c>
      <c r="D28" s="532"/>
      <c r="F28" s="532" t="s">
        <v>200</v>
      </c>
      <c r="G28" s="533"/>
      <c r="H28" s="63"/>
      <c r="AA28" s="63"/>
    </row>
    <row r="29" spans="2:27" x14ac:dyDescent="0.25">
      <c r="B29" s="62"/>
      <c r="C29" s="447"/>
      <c r="D29" s="440"/>
      <c r="F29" s="440"/>
      <c r="G29" s="441"/>
      <c r="H29" s="63"/>
      <c r="K29" s="529" t="s">
        <v>298</v>
      </c>
      <c r="L29" s="529"/>
      <c r="M29" s="529"/>
      <c r="N29" s="529"/>
      <c r="O29" s="530">
        <f>'Convert-BE'!B31</f>
        <v>0.61710477957678544</v>
      </c>
      <c r="P29" s="530"/>
      <c r="Q29" s="530"/>
      <c r="R29" s="530"/>
      <c r="S29" s="530"/>
      <c r="T29" s="530"/>
      <c r="AA29" s="63"/>
    </row>
    <row r="30" spans="2:27" ht="17.399999999999999" customHeight="1" x14ac:dyDescent="0.3">
      <c r="B30" s="62"/>
      <c r="C30" s="443" t="s">
        <v>9</v>
      </c>
      <c r="D30" s="444">
        <v>0.08</v>
      </c>
      <c r="F30" s="436" t="s">
        <v>9</v>
      </c>
      <c r="G30" s="437">
        <v>0.89</v>
      </c>
      <c r="H30" s="63"/>
      <c r="K30" s="529"/>
      <c r="L30" s="529"/>
      <c r="M30" s="529"/>
      <c r="N30" s="529"/>
      <c r="O30" s="530"/>
      <c r="P30" s="530"/>
      <c r="Q30" s="530"/>
      <c r="R30" s="530"/>
      <c r="S30" s="530"/>
      <c r="T30" s="530"/>
      <c r="AA30" s="63"/>
    </row>
    <row r="31" spans="2:27" ht="17.399999999999999" customHeight="1" x14ac:dyDescent="0.3">
      <c r="B31" s="62"/>
      <c r="C31" s="443" t="s">
        <v>197</v>
      </c>
      <c r="D31" s="445" t="s">
        <v>4</v>
      </c>
      <c r="F31" s="436" t="s">
        <v>197</v>
      </c>
      <c r="G31" s="438" t="s">
        <v>4</v>
      </c>
      <c r="H31" s="63"/>
      <c r="K31" s="529"/>
      <c r="L31" s="529"/>
      <c r="M31" s="529"/>
      <c r="N31" s="529"/>
      <c r="O31" s="530"/>
      <c r="P31" s="530"/>
      <c r="Q31" s="530"/>
      <c r="R31" s="530"/>
      <c r="S31" s="530"/>
      <c r="T31" s="530"/>
      <c r="AA31" s="63"/>
    </row>
    <row r="32" spans="2:27" ht="17.399999999999999" customHeight="1" x14ac:dyDescent="0.3">
      <c r="B32" s="62"/>
      <c r="C32" s="443" t="s">
        <v>276</v>
      </c>
      <c r="D32" s="445">
        <v>4</v>
      </c>
      <c r="F32" s="436" t="s">
        <v>276</v>
      </c>
      <c r="G32" s="438">
        <v>4</v>
      </c>
      <c r="H32" s="63"/>
      <c r="K32" s="529"/>
      <c r="L32" s="529"/>
      <c r="M32" s="529"/>
      <c r="N32" s="529"/>
      <c r="O32" s="530"/>
      <c r="P32" s="530"/>
      <c r="Q32" s="530"/>
      <c r="R32" s="530"/>
      <c r="S32" s="530"/>
      <c r="T32" s="530"/>
      <c r="AA32" s="63"/>
    </row>
    <row r="33" spans="2:27" ht="17.399999999999999" customHeight="1" x14ac:dyDescent="0.3">
      <c r="B33" s="62"/>
      <c r="C33" s="443" t="s">
        <v>198</v>
      </c>
      <c r="D33" s="448">
        <v>3</v>
      </c>
      <c r="F33" s="436" t="s">
        <v>198</v>
      </c>
      <c r="G33" s="442">
        <v>5</v>
      </c>
      <c r="H33" s="63"/>
      <c r="K33" s="529"/>
      <c r="L33" s="529"/>
      <c r="M33" s="529"/>
      <c r="N33" s="529"/>
      <c r="O33" s="530"/>
      <c r="P33" s="530"/>
      <c r="Q33" s="530"/>
      <c r="R33" s="530"/>
      <c r="S33" s="530"/>
      <c r="T33" s="530"/>
      <c r="AA33" s="63"/>
    </row>
    <row r="34" spans="2:27" x14ac:dyDescent="0.25">
      <c r="B34" s="62"/>
      <c r="C34" s="35"/>
      <c r="D34" s="33"/>
      <c r="E34" s="33"/>
      <c r="F34" s="33"/>
      <c r="G34" s="37"/>
      <c r="H34" s="63"/>
      <c r="AA34" s="63"/>
    </row>
    <row r="35" spans="2:27" x14ac:dyDescent="0.25">
      <c r="B35" s="62"/>
      <c r="H35" s="63"/>
      <c r="AA35" s="63"/>
    </row>
    <row r="36" spans="2:27" x14ac:dyDescent="0.25">
      <c r="B36" s="62"/>
      <c r="H36" s="63"/>
      <c r="AA36" s="63"/>
    </row>
    <row r="37" spans="2:27" x14ac:dyDescent="0.25">
      <c r="B37" s="62"/>
      <c r="H37" s="63"/>
      <c r="AA37" s="63"/>
    </row>
    <row r="38" spans="2:27" ht="14.4" thickBot="1" x14ac:dyDescent="0.3">
      <c r="B38" s="64"/>
      <c r="C38" s="65"/>
      <c r="D38" s="65"/>
      <c r="E38" s="65"/>
      <c r="F38" s="65"/>
      <c r="G38" s="65"/>
      <c r="H38" s="66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6"/>
    </row>
  </sheetData>
  <sheetProtection algorithmName="SHA-512" hashValue="WC9uAwfjhW6xCJBE7PsKJut9uLRMCvalo0OU8mlbCB0jSs1QiJ9ck0quI+mg46Alu5DzTLFZn3jCdyd+Md2gWQ==" saltValue="kzaaH9E5Id0Cs/T1UTR3qA==" spinCount="100000" sheet="1" objects="1" scenarios="1" selectLockedCells="1"/>
  <mergeCells count="15">
    <mergeCell ref="K29:N33"/>
    <mergeCell ref="O29:T33"/>
    <mergeCell ref="C28:D28"/>
    <mergeCell ref="F28:G28"/>
    <mergeCell ref="W21:X22"/>
    <mergeCell ref="W23:X23"/>
    <mergeCell ref="F15:G15"/>
    <mergeCell ref="C21:D21"/>
    <mergeCell ref="F21:G21"/>
    <mergeCell ref="I12:J12"/>
    <mergeCell ref="B2:AA6"/>
    <mergeCell ref="C8:G10"/>
    <mergeCell ref="C13:D13"/>
    <mergeCell ref="F13:G13"/>
    <mergeCell ref="I9:J11"/>
  </mergeCells>
  <conditionalFormatting sqref="C15:D15">
    <cfRule type="expression" dxfId="45" priority="2">
      <formula>$C$13="Number of years"</formula>
    </cfRule>
  </conditionalFormatting>
  <conditionalFormatting sqref="C16:D16">
    <cfRule type="expression" dxfId="44" priority="3">
      <formula>$C$13="Date"</formula>
    </cfRule>
  </conditionalFormatting>
  <conditionalFormatting sqref="C17:D17">
    <cfRule type="expression" dxfId="43" priority="1">
      <formula>$C$13="Number of years"</formula>
    </cfRule>
  </conditionalFormatting>
  <dataValidations count="1">
    <dataValidation type="date" allowBlank="1" showInputMessage="1" showErrorMessage="1" sqref="D15 D17" xr:uid="{0FFC78F6-2A2C-46C2-86F3-6856CBD53D21}">
      <formula1>1</formula1>
      <formula2>73051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A337BB9-1F98-46DF-A1F9-595F0C46B199}">
          <x14:formula1>
            <xm:f>Dropdown!$D$8:$D$9</xm:f>
          </x14:formula1>
          <xm:sqref>C13:D13</xm:sqref>
        </x14:dataValidation>
        <x14:dataValidation type="list" allowBlank="1" showInputMessage="1" showErrorMessage="1" xr:uid="{49F51C14-0344-48E1-8BDC-90B913395311}">
          <x14:formula1>
            <xm:f>Dropdown!$A$1:$A$5</xm:f>
          </x14:formula1>
          <xm:sqref>D24 G24 D31 G31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CC8BE-7C95-4267-99BE-B21AF7212003}">
  <sheetPr codeName="Sheet7">
    <tabColor theme="2" tint="-0.749992370372631"/>
  </sheetPr>
  <dimension ref="D6:AB531"/>
  <sheetViews>
    <sheetView showGridLines="0" showRowColHeaders="0" zoomScale="63" zoomScaleNormal="65" workbookViewId="0">
      <selection activeCell="E30" sqref="E30:F30"/>
    </sheetView>
  </sheetViews>
  <sheetFormatPr defaultColWidth="8.69921875" defaultRowHeight="13.8" x14ac:dyDescent="0.25"/>
  <cols>
    <col min="1" max="2" width="8.69921875" style="15"/>
    <col min="3" max="3" width="8.69921875" style="15" customWidth="1"/>
    <col min="4" max="4" width="9.69921875" style="15" bestFit="1" customWidth="1"/>
    <col min="5" max="6" width="8.69921875" style="15"/>
    <col min="7" max="7" width="13.09765625" style="15" customWidth="1"/>
    <col min="8" max="8" width="10.09765625" style="15" customWidth="1"/>
    <col min="9" max="9" width="11.59765625" style="15" customWidth="1"/>
    <col min="10" max="10" width="11.69921875" style="15" customWidth="1"/>
    <col min="11" max="11" width="14" style="15" customWidth="1"/>
    <col min="12" max="12" width="1.19921875" style="15" customWidth="1"/>
    <col min="13" max="13" width="15.5" style="15" customWidth="1"/>
    <col min="14" max="14" width="1.8984375" style="15" customWidth="1"/>
    <col min="15" max="15" width="8.69921875" style="15"/>
    <col min="16" max="16" width="8.69921875" style="38"/>
    <col min="17" max="17" width="8.69921875" style="15"/>
    <col min="18" max="18" width="9.3984375" style="15" customWidth="1"/>
    <col min="19" max="19" width="1.69921875" style="15" customWidth="1"/>
    <col min="20" max="20" width="12.8984375" style="15" customWidth="1"/>
    <col min="21" max="21" width="13.8984375" style="15" customWidth="1"/>
    <col min="22" max="22" width="13.3984375" style="15" customWidth="1"/>
    <col min="23" max="23" width="12.8984375" style="15" customWidth="1"/>
    <col min="24" max="24" width="12.796875" style="15" customWidth="1"/>
    <col min="25" max="25" width="13.19921875" style="15" customWidth="1"/>
    <col min="26" max="26" width="12.3984375" style="15" customWidth="1"/>
    <col min="27" max="27" width="13.296875" style="15" customWidth="1"/>
    <col min="28" max="28" width="15.5" style="15" customWidth="1"/>
    <col min="29" max="16384" width="8.69921875" style="15"/>
  </cols>
  <sheetData>
    <row r="6" spans="4:28" x14ac:dyDescent="0.25">
      <c r="D6" s="25"/>
      <c r="E6" s="25"/>
      <c r="F6" s="25"/>
      <c r="G6" s="25"/>
      <c r="H6" s="25"/>
      <c r="I6" s="25"/>
      <c r="J6" s="25"/>
      <c r="K6" s="25"/>
      <c r="L6" s="204"/>
      <c r="M6" s="204"/>
      <c r="N6" s="204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</row>
    <row r="7" spans="4:28" ht="13.95" customHeight="1" x14ac:dyDescent="0.25">
      <c r="D7" s="550" t="s">
        <v>30</v>
      </c>
      <c r="E7" s="550"/>
      <c r="F7" s="550"/>
      <c r="G7" s="550"/>
      <c r="H7" s="550"/>
      <c r="I7" s="550"/>
      <c r="J7" s="550"/>
      <c r="K7" s="550"/>
      <c r="L7" s="27"/>
      <c r="M7" s="26"/>
      <c r="N7" s="26"/>
    </row>
    <row r="8" spans="4:28" ht="13.95" customHeight="1" x14ac:dyDescent="0.25">
      <c r="D8" s="529"/>
      <c r="E8" s="529"/>
      <c r="F8" s="529"/>
      <c r="G8" s="529"/>
      <c r="H8" s="529"/>
      <c r="I8" s="529"/>
      <c r="J8" s="529"/>
      <c r="K8" s="529"/>
      <c r="L8" s="27"/>
      <c r="M8" s="26"/>
      <c r="N8" s="26"/>
    </row>
    <row r="9" spans="4:28" ht="13.95" customHeight="1" x14ac:dyDescent="0.25">
      <c r="D9" s="529"/>
      <c r="E9" s="529"/>
      <c r="F9" s="529"/>
      <c r="G9" s="529"/>
      <c r="H9" s="529"/>
      <c r="I9" s="529"/>
      <c r="J9" s="529"/>
      <c r="K9" s="529"/>
      <c r="L9" s="27"/>
      <c r="M9" s="26"/>
      <c r="N9" s="26"/>
      <c r="R9" s="549" t="str">
        <f>D11</f>
        <v>Future Value</v>
      </c>
      <c r="S9" s="549"/>
      <c r="T9" s="549"/>
      <c r="U9" s="549"/>
      <c r="V9" s="549"/>
      <c r="W9" s="554" t="s">
        <v>41</v>
      </c>
      <c r="X9" s="546" t="str">
        <f>IF(AND(M12="Future Value",D11="Future Value"),TEXT('Annuity-BE'!D8,"R#,00"),IF(AND(M12="Future Value",D11="Present Value"),TEXT('Annuity-BE'!D9,"R#,00"),IF(AND(M12="Future Value",D11="Interest"),TEXT('Annuity-BE'!D14,"0,00%"),IF(AND(M12="Future Value",D11="Number of years"),TEXT('Annuity-BE'!D11,"#"),IF(AND(M12="Future Value",D11="Number of periods"),TEXT('Annuity-BE'!D13,"#,00"),IF(AND(M12="Future Value",D11="Payments"),TEXT('Annuity-BE'!D10,"R#,00"),IF(AND(M12="Present Value",D11="Future Value"),TEXT('Annuity-BE'!E8,"R#,00"),IF(AND(M12="Present Value",D11="Present Value"),TEXT('Annuity-BE'!E9,"R#,00"),IF(AND(M12="Present Value",D11="Interest"),TEXT('Annuity-BE'!E14,"0,00%"),IF(AND(M12="Present Value",D11="Number of years"),TEXT('Annuity-BE'!E11,"#,00"),IF(AND(M12="Present Value",D11="Number of periods"),TEXT('Annuity-BE'!E13,"#,00"),IF(AND(M12="Present Value",D11="Payments"),TEXT('Annuity-BE'!E10,"R#,00"),IF(AND(M12="Both(No x value)",D11="Future Value"),TEXT('Annuity-BE'!F8,"R#,00"),IF(AND(M12="Both(No x value)",D11="Present Value"),TEXT('Annuity-BE'!F9,"R#,00"),IF(AND(M12="Both(No x value)",D11="Interest"),TEXT('Annuity-BE'!F14,"0,00%"),IF(AND(M12="Both(No x value)",D11="Number of years"),TEXT('Annuity-BE'!F11,"#,00"),IF(AND(M12="Both(No x value)",D11="Number of periods"),TEXT('Annuity-BE'!F13,"#,00"),IF(AND(M12="Both(No x value)",D11="Payments"),TEXT('Annuity-BE'!F10,"R#,00)"),"Do more"))))))))))))))))))</f>
        <v>R51994,37</v>
      </c>
      <c r="Y9" s="546"/>
      <c r="Z9" s="546"/>
    </row>
    <row r="10" spans="4:28" ht="13.95" customHeight="1" x14ac:dyDescent="0.25">
      <c r="D10" s="529"/>
      <c r="E10" s="529"/>
      <c r="F10" s="529"/>
      <c r="G10" s="529"/>
      <c r="H10" s="529"/>
      <c r="I10" s="529"/>
      <c r="J10" s="529"/>
      <c r="K10" s="529"/>
      <c r="L10" s="27"/>
      <c r="M10" s="26"/>
      <c r="N10" s="26"/>
      <c r="R10" s="549"/>
      <c r="S10" s="549"/>
      <c r="T10" s="549"/>
      <c r="U10" s="549"/>
      <c r="V10" s="549"/>
      <c r="W10" s="554"/>
      <c r="X10" s="546"/>
      <c r="Y10" s="546"/>
      <c r="Z10" s="546"/>
    </row>
    <row r="11" spans="4:28" ht="17.399999999999999" customHeight="1" x14ac:dyDescent="0.25">
      <c r="D11" s="551" t="s">
        <v>31</v>
      </c>
      <c r="E11" s="551"/>
      <c r="F11" s="551"/>
      <c r="G11" s="551"/>
      <c r="H11" s="551"/>
      <c r="I11" s="551"/>
      <c r="J11" s="551"/>
      <c r="K11" s="551"/>
      <c r="L11" s="29"/>
      <c r="M11" s="507" t="s">
        <v>65</v>
      </c>
      <c r="N11" s="507"/>
      <c r="R11" s="549"/>
      <c r="S11" s="549"/>
      <c r="T11" s="549"/>
      <c r="U11" s="549"/>
      <c r="V11" s="549"/>
      <c r="W11" s="554"/>
      <c r="X11" s="547"/>
      <c r="Y11" s="547"/>
      <c r="Z11" s="547"/>
    </row>
    <row r="12" spans="4:28" ht="17.399999999999999" x14ac:dyDescent="0.25">
      <c r="D12" s="551"/>
      <c r="E12" s="551"/>
      <c r="F12" s="551"/>
      <c r="G12" s="551"/>
      <c r="H12" s="551"/>
      <c r="I12" s="551"/>
      <c r="J12" s="551"/>
      <c r="K12" s="551"/>
      <c r="L12" s="29"/>
      <c r="M12" s="72" t="s">
        <v>31</v>
      </c>
      <c r="N12" s="46"/>
      <c r="Z12" s="44"/>
    </row>
    <row r="14" spans="4:28" ht="18" customHeight="1" x14ac:dyDescent="0.25">
      <c r="D14" s="25"/>
      <c r="E14" s="25"/>
      <c r="F14" s="25"/>
      <c r="G14" s="25"/>
      <c r="H14" s="25"/>
      <c r="I14" s="25"/>
      <c r="J14" s="25"/>
      <c r="K14" s="204"/>
      <c r="L14" s="204"/>
      <c r="M14" s="204"/>
      <c r="N14" s="204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</row>
    <row r="15" spans="4:28" ht="18" customHeight="1" x14ac:dyDescent="0.25"/>
    <row r="16" spans="4:28" ht="13.8" customHeight="1" x14ac:dyDescent="0.25">
      <c r="R16" s="473" t="s">
        <v>224</v>
      </c>
      <c r="S16" s="473"/>
      <c r="T16" s="473"/>
      <c r="U16" s="473"/>
      <c r="V16" s="473"/>
      <c r="W16" s="473"/>
      <c r="X16" s="473"/>
      <c r="Y16" s="473"/>
      <c r="Z16" s="473"/>
      <c r="AA16" s="473"/>
      <c r="AB16" s="473"/>
    </row>
    <row r="17" spans="4:28" ht="13.95" customHeight="1" x14ac:dyDescent="0.25">
      <c r="D17" s="541" t="s">
        <v>63</v>
      </c>
      <c r="E17" s="541"/>
      <c r="F17" s="541"/>
      <c r="G17" s="48"/>
      <c r="I17" s="553" t="s">
        <v>64</v>
      </c>
      <c r="J17" s="553"/>
      <c r="K17" s="51"/>
      <c r="L17" s="28"/>
      <c r="R17" s="552"/>
      <c r="S17" s="552"/>
      <c r="T17" s="552"/>
      <c r="U17" s="552"/>
      <c r="V17" s="552"/>
      <c r="W17" s="552"/>
      <c r="X17" s="552"/>
      <c r="Y17" s="552"/>
      <c r="Z17" s="552"/>
      <c r="AA17" s="552"/>
      <c r="AB17" s="552"/>
    </row>
    <row r="18" spans="4:28" ht="13.95" customHeight="1" x14ac:dyDescent="0.25">
      <c r="D18" s="541"/>
      <c r="E18" s="541"/>
      <c r="F18" s="541"/>
      <c r="G18" s="79">
        <v>36100</v>
      </c>
      <c r="I18" s="553"/>
      <c r="J18" s="553"/>
      <c r="K18" s="73">
        <v>5200</v>
      </c>
      <c r="L18" s="28"/>
      <c r="R18" s="302"/>
      <c r="S18" s="303"/>
      <c r="T18" s="303"/>
      <c r="U18" s="303"/>
      <c r="V18" s="303"/>
      <c r="W18" s="303"/>
      <c r="X18" s="303"/>
      <c r="Y18" s="303"/>
      <c r="Z18" s="303"/>
      <c r="AA18" s="303"/>
      <c r="AB18" s="304"/>
    </row>
    <row r="19" spans="4:28" x14ac:dyDescent="0.25">
      <c r="R19" s="30"/>
      <c r="AB19" s="31"/>
    </row>
    <row r="20" spans="4:28" ht="18" customHeight="1" x14ac:dyDescent="0.3">
      <c r="D20" s="541" t="s">
        <v>66</v>
      </c>
      <c r="E20" s="541"/>
      <c r="F20" s="541"/>
      <c r="G20" s="49"/>
      <c r="H20" s="541" t="s">
        <v>11</v>
      </c>
      <c r="I20" s="541"/>
      <c r="K20" s="49"/>
      <c r="R20" s="543" t="s">
        <v>214</v>
      </c>
      <c r="S20" s="544"/>
      <c r="T20" s="201">
        <v>31</v>
      </c>
      <c r="V20" s="545" t="s">
        <v>217</v>
      </c>
      <c r="W20" s="545"/>
      <c r="X20" s="308">
        <f>VLOOKUP(T20,R32:AB531,11,FALSE)</f>
        <v>42379.440789271008</v>
      </c>
      <c r="Z20" s="306" t="s">
        <v>9</v>
      </c>
      <c r="AA20" s="307">
        <f>X20-AA23</f>
        <v>11379.440789271008</v>
      </c>
      <c r="AB20" s="31"/>
    </row>
    <row r="21" spans="4:28" ht="13.95" customHeight="1" x14ac:dyDescent="0.25">
      <c r="D21" s="541"/>
      <c r="E21" s="541"/>
      <c r="F21" s="541"/>
      <c r="G21" s="80">
        <v>1000</v>
      </c>
      <c r="H21" s="541"/>
      <c r="I21" s="541"/>
      <c r="J21" s="540" t="s">
        <v>34</v>
      </c>
      <c r="K21" s="540"/>
      <c r="R21" s="30"/>
      <c r="AB21" s="31"/>
    </row>
    <row r="22" spans="4:28" x14ac:dyDescent="0.25">
      <c r="I22" s="33"/>
      <c r="R22" s="30"/>
      <c r="AB22" s="31"/>
    </row>
    <row r="23" spans="4:28" ht="15.6" customHeight="1" x14ac:dyDescent="0.25">
      <c r="E23" s="541" t="s">
        <v>10</v>
      </c>
      <c r="F23" s="541"/>
      <c r="G23" s="49"/>
      <c r="H23" s="31"/>
      <c r="J23" s="32"/>
      <c r="K23" s="32"/>
      <c r="L23" s="32"/>
      <c r="M23" s="32"/>
      <c r="N23" s="36"/>
      <c r="R23" s="30"/>
      <c r="Z23" s="305" t="s">
        <v>238</v>
      </c>
      <c r="AA23" s="307">
        <f>T20*G21</f>
        <v>31000</v>
      </c>
      <c r="AB23" s="31"/>
    </row>
    <row r="24" spans="4:28" ht="15.6" customHeight="1" x14ac:dyDescent="0.25">
      <c r="E24" s="541"/>
      <c r="F24" s="541"/>
      <c r="G24" s="77">
        <v>12</v>
      </c>
      <c r="I24" s="40" t="s">
        <v>67</v>
      </c>
      <c r="J24" s="75"/>
      <c r="K24" s="538" t="s">
        <v>68</v>
      </c>
      <c r="L24" s="538"/>
      <c r="M24" s="76"/>
      <c r="N24" s="31"/>
      <c r="R24" s="30"/>
      <c r="AB24" s="31"/>
    </row>
    <row r="25" spans="4:28" x14ac:dyDescent="0.25">
      <c r="I25" s="30"/>
      <c r="O25" s="30"/>
      <c r="R25" s="30"/>
      <c r="AB25" s="31"/>
    </row>
    <row r="26" spans="4:28" ht="15.6" customHeight="1" x14ac:dyDescent="0.25">
      <c r="D26" s="541" t="s">
        <v>9</v>
      </c>
      <c r="E26" s="541"/>
      <c r="F26" s="541"/>
      <c r="G26" s="50"/>
      <c r="I26" s="539" t="s">
        <v>36</v>
      </c>
      <c r="J26" s="538"/>
      <c r="K26" s="74">
        <v>3</v>
      </c>
      <c r="O26" s="30"/>
      <c r="R26" s="35"/>
      <c r="S26" s="33"/>
      <c r="T26" s="33"/>
      <c r="U26" s="33"/>
      <c r="V26" s="385" t="s">
        <v>296</v>
      </c>
      <c r="W26" s="33"/>
      <c r="X26" s="33"/>
      <c r="Y26" s="33"/>
      <c r="Z26" s="33"/>
      <c r="AA26" s="33"/>
      <c r="AB26" s="37"/>
    </row>
    <row r="27" spans="4:28" ht="13.95" customHeight="1" x14ac:dyDescent="0.25">
      <c r="D27" s="541"/>
      <c r="E27" s="541"/>
      <c r="F27" s="541"/>
      <c r="G27" s="78">
        <f>IF(E30="No",E32,Converter!X29)</f>
        <v>0.02</v>
      </c>
      <c r="I27" s="30"/>
      <c r="N27" s="31"/>
      <c r="O27" s="30"/>
    </row>
    <row r="28" spans="4:28" x14ac:dyDescent="0.25">
      <c r="I28" s="30"/>
      <c r="N28" s="31"/>
    </row>
    <row r="29" spans="4:28" ht="13.95" customHeight="1" x14ac:dyDescent="0.25">
      <c r="D29" s="34"/>
      <c r="E29" s="32"/>
      <c r="F29" s="32"/>
      <c r="G29" s="36"/>
      <c r="I29" s="30"/>
      <c r="J29" s="41"/>
      <c r="K29" s="43"/>
      <c r="L29" s="55"/>
      <c r="M29" s="41"/>
      <c r="N29" s="31"/>
      <c r="R29" s="542" t="s">
        <v>237</v>
      </c>
      <c r="S29" s="542"/>
      <c r="T29" s="542"/>
      <c r="U29" s="542"/>
      <c r="V29" s="542"/>
      <c r="W29" s="542"/>
      <c r="X29" s="542"/>
      <c r="Y29" s="542"/>
      <c r="Z29" s="542"/>
      <c r="AA29" s="542"/>
      <c r="AB29" s="542"/>
    </row>
    <row r="30" spans="4:28" ht="15.6" customHeight="1" x14ac:dyDescent="0.25">
      <c r="D30" s="40" t="s">
        <v>69</v>
      </c>
      <c r="E30" s="540" t="s">
        <v>15</v>
      </c>
      <c r="F30" s="540"/>
      <c r="G30" s="31"/>
      <c r="I30" s="30"/>
      <c r="J30" s="41"/>
      <c r="K30" s="42">
        <f>IF(J21="Dates",YEARFRAC(J24,M24,1),K26)</f>
        <v>3</v>
      </c>
      <c r="L30" s="55"/>
      <c r="M30" s="41"/>
      <c r="N30" s="31"/>
      <c r="R30" s="542"/>
      <c r="S30" s="542"/>
      <c r="T30" s="542"/>
      <c r="U30" s="542"/>
      <c r="V30" s="542"/>
      <c r="W30" s="542"/>
      <c r="X30" s="542"/>
      <c r="Y30" s="542"/>
      <c r="Z30" s="542"/>
      <c r="AA30" s="542"/>
      <c r="AB30" s="542"/>
    </row>
    <row r="31" spans="4:28" ht="13.95" customHeight="1" x14ac:dyDescent="0.3">
      <c r="D31" s="30"/>
      <c r="G31" s="31"/>
      <c r="I31" s="30"/>
      <c r="J31" s="41"/>
      <c r="K31" s="55"/>
      <c r="L31" s="55"/>
      <c r="M31" s="41"/>
      <c r="N31" s="31"/>
      <c r="R31" s="333" t="s">
        <v>13</v>
      </c>
      <c r="S31" s="333"/>
      <c r="T31" s="334">
        <v>5.0000000000000001E-3</v>
      </c>
      <c r="U31" s="335">
        <v>0.01</v>
      </c>
      <c r="V31" s="335">
        <v>1.4999999999999999E-2</v>
      </c>
      <c r="W31" s="335">
        <v>0.02</v>
      </c>
      <c r="X31" s="335">
        <v>0.03</v>
      </c>
      <c r="Y31" s="335">
        <v>0.04</v>
      </c>
      <c r="Z31" s="335">
        <v>0.05</v>
      </c>
      <c r="AA31" s="335">
        <v>0.1</v>
      </c>
      <c r="AB31" s="335">
        <f>G27</f>
        <v>0.02</v>
      </c>
    </row>
    <row r="32" spans="4:28" ht="15.6" x14ac:dyDescent="0.3">
      <c r="D32" s="39" t="s">
        <v>9</v>
      </c>
      <c r="E32" s="87">
        <v>0.02</v>
      </c>
      <c r="G32" s="258"/>
      <c r="I32" s="35"/>
      <c r="J32" s="33"/>
      <c r="K32" s="33"/>
      <c r="L32" s="33"/>
      <c r="M32" s="33"/>
      <c r="N32" s="37"/>
      <c r="R32" s="254">
        <f>1</f>
        <v>1</v>
      </c>
      <c r="S32" s="254"/>
      <c r="T32" s="301">
        <f>$G$21*(((1+T$31)^($R32)-1)/(T$31))</f>
        <v>999.99999999997863</v>
      </c>
      <c r="U32" s="301">
        <f t="shared" ref="U32:AB47" si="0">$G$21*(((1+U$31)^($R32)-1)/(U$31))</f>
        <v>1000.0000000000009</v>
      </c>
      <c r="V32" s="301">
        <f t="shared" si="0"/>
        <v>999.99999999999352</v>
      </c>
      <c r="W32" s="301">
        <f t="shared" si="0"/>
        <v>1000.0000000000009</v>
      </c>
      <c r="X32" s="301">
        <f t="shared" si="0"/>
        <v>1000.0000000000009</v>
      </c>
      <c r="Y32" s="301">
        <f t="shared" si="0"/>
        <v>1000.0000000000009</v>
      </c>
      <c r="Z32" s="301">
        <f t="shared" si="0"/>
        <v>1000.0000000000009</v>
      </c>
      <c r="AA32" s="301">
        <f t="shared" si="0"/>
        <v>1000.0000000000009</v>
      </c>
      <c r="AB32" s="301">
        <f t="shared" si="0"/>
        <v>1000.0000000000009</v>
      </c>
    </row>
    <row r="33" spans="4:28" x14ac:dyDescent="0.25">
      <c r="D33" s="30"/>
      <c r="G33" s="31"/>
      <c r="I33" s="34"/>
      <c r="N33" s="31"/>
      <c r="Q33" s="30"/>
      <c r="R33" s="254">
        <f>1+R32</f>
        <v>2</v>
      </c>
      <c r="S33" s="254"/>
      <c r="T33" s="301">
        <f t="shared" ref="T33:X96" si="1">$G$21*(((1+T$31)^($R33)-1)/(T$31))</f>
        <v>2004.9999999999457</v>
      </c>
      <c r="U33" s="301">
        <f t="shared" si="0"/>
        <v>2010.0000000000007</v>
      </c>
      <c r="V33" s="301">
        <f t="shared" si="0"/>
        <v>2014.9999999999818</v>
      </c>
      <c r="W33" s="301">
        <f t="shared" si="0"/>
        <v>2019.9999999999995</v>
      </c>
      <c r="X33" s="301">
        <f t="shared" si="0"/>
        <v>2029.9999999999984</v>
      </c>
      <c r="Y33" s="301">
        <f t="shared" si="0"/>
        <v>2040.0000000000027</v>
      </c>
      <c r="Z33" s="301">
        <f t="shared" si="0"/>
        <v>2050.0000000000009</v>
      </c>
      <c r="AA33" s="301">
        <f t="shared" si="0"/>
        <v>2100.0000000000018</v>
      </c>
      <c r="AB33" s="301">
        <f t="shared" si="0"/>
        <v>2019.9999999999995</v>
      </c>
    </row>
    <row r="34" spans="4:28" ht="13.95" customHeight="1" x14ac:dyDescent="0.25">
      <c r="D34" s="30"/>
      <c r="G34" s="31"/>
      <c r="I34" s="536" t="s">
        <v>70</v>
      </c>
      <c r="J34" s="537"/>
      <c r="K34" s="548">
        <f>G24*K30</f>
        <v>36</v>
      </c>
      <c r="L34" s="548"/>
      <c r="N34" s="31"/>
      <c r="R34" s="254">
        <f t="shared" ref="R34:R97" si="2">1+R33</f>
        <v>3</v>
      </c>
      <c r="S34" s="254"/>
      <c r="T34" s="301">
        <f t="shared" si="1"/>
        <v>3015.0249999999269</v>
      </c>
      <c r="U34" s="301">
        <f t="shared" si="0"/>
        <v>3030.0999999999913</v>
      </c>
      <c r="V34" s="301">
        <f t="shared" si="0"/>
        <v>3045.2249999999735</v>
      </c>
      <c r="W34" s="301">
        <f t="shared" si="0"/>
        <v>3060.3999999999965</v>
      </c>
      <c r="X34" s="301">
        <f t="shared" si="0"/>
        <v>3090.9000000000005</v>
      </c>
      <c r="Y34" s="301">
        <f t="shared" si="0"/>
        <v>3121.6000000000022</v>
      </c>
      <c r="Z34" s="301">
        <f t="shared" si="0"/>
        <v>3152.5000000000027</v>
      </c>
      <c r="AA34" s="301">
        <f t="shared" si="0"/>
        <v>3310.0000000000041</v>
      </c>
      <c r="AB34" s="301">
        <f t="shared" si="0"/>
        <v>3060.3999999999965</v>
      </c>
    </row>
    <row r="35" spans="4:28" ht="13.8" customHeight="1" x14ac:dyDescent="0.25">
      <c r="D35" s="30"/>
      <c r="G35" s="31"/>
      <c r="I35" s="536"/>
      <c r="J35" s="537"/>
      <c r="K35" s="548"/>
      <c r="L35" s="548"/>
      <c r="N35" s="31"/>
      <c r="R35" s="254">
        <f t="shared" si="2"/>
        <v>4</v>
      </c>
      <c r="S35" s="254"/>
      <c r="T35" s="301">
        <f t="shared" si="1"/>
        <v>4030.100124999869</v>
      </c>
      <c r="U35" s="301">
        <f t="shared" si="0"/>
        <v>4060.4010000000026</v>
      </c>
      <c r="V35" s="301">
        <f t="shared" si="0"/>
        <v>4090.9033749999626</v>
      </c>
      <c r="W35" s="301">
        <f t="shared" si="0"/>
        <v>4121.6079999999984</v>
      </c>
      <c r="X35" s="301">
        <f t="shared" si="0"/>
        <v>4183.6269999999977</v>
      </c>
      <c r="Y35" s="301">
        <f t="shared" si="0"/>
        <v>4246.4640000000045</v>
      </c>
      <c r="Z35" s="301">
        <f t="shared" si="0"/>
        <v>4310.125</v>
      </c>
      <c r="AA35" s="301">
        <f t="shared" si="0"/>
        <v>4641.0000000000036</v>
      </c>
      <c r="AB35" s="301">
        <f t="shared" si="0"/>
        <v>4121.6079999999984</v>
      </c>
    </row>
    <row r="36" spans="4:28" x14ac:dyDescent="0.25">
      <c r="D36" s="35"/>
      <c r="E36" s="33"/>
      <c r="F36" s="33"/>
      <c r="G36" s="37"/>
      <c r="I36" s="35"/>
      <c r="J36" s="33"/>
      <c r="K36" s="33"/>
      <c r="L36" s="33"/>
      <c r="M36" s="33"/>
      <c r="N36" s="37"/>
      <c r="R36" s="254">
        <f t="shared" si="2"/>
        <v>5</v>
      </c>
      <c r="S36" s="254"/>
      <c r="T36" s="301">
        <f t="shared" si="1"/>
        <v>5050.2506256248307</v>
      </c>
      <c r="U36" s="301">
        <f t="shared" si="0"/>
        <v>5101.0050099999926</v>
      </c>
      <c r="V36" s="301">
        <f t="shared" si="0"/>
        <v>5152.2669256249528</v>
      </c>
      <c r="W36" s="301">
        <f t="shared" si="0"/>
        <v>5204.0401600000005</v>
      </c>
      <c r="X36" s="301">
        <f t="shared" si="0"/>
        <v>5309.1358099999952</v>
      </c>
      <c r="Y36" s="301">
        <f t="shared" si="0"/>
        <v>5416.3225600000078</v>
      </c>
      <c r="Z36" s="301">
        <f t="shared" si="0"/>
        <v>5525.6312500000031</v>
      </c>
      <c r="AA36" s="301">
        <f t="shared" si="0"/>
        <v>6105.1000000000058</v>
      </c>
      <c r="AB36" s="301">
        <f t="shared" si="0"/>
        <v>5204.0401600000005</v>
      </c>
    </row>
    <row r="37" spans="4:28" x14ac:dyDescent="0.25">
      <c r="R37" s="254">
        <f t="shared" si="2"/>
        <v>6</v>
      </c>
      <c r="S37" s="254"/>
      <c r="T37" s="301">
        <f t="shared" si="1"/>
        <v>6075.5018787529207</v>
      </c>
      <c r="U37" s="301">
        <f t="shared" si="0"/>
        <v>6152.0150601000132</v>
      </c>
      <c r="V37" s="301">
        <f t="shared" si="0"/>
        <v>6229.5509295093125</v>
      </c>
      <c r="W37" s="301">
        <f t="shared" si="0"/>
        <v>6308.1209632000027</v>
      </c>
      <c r="X37" s="301">
        <f t="shared" si="0"/>
        <v>6468.4098842999974</v>
      </c>
      <c r="Y37" s="301">
        <f t="shared" si="0"/>
        <v>6632.9754624000088</v>
      </c>
      <c r="Z37" s="301">
        <f t="shared" si="0"/>
        <v>6801.9128124999997</v>
      </c>
      <c r="AA37" s="301">
        <f t="shared" si="0"/>
        <v>7715.6100000000079</v>
      </c>
      <c r="AB37" s="301">
        <f t="shared" si="0"/>
        <v>6308.1209632000027</v>
      </c>
    </row>
    <row r="38" spans="4:28" x14ac:dyDescent="0.25">
      <c r="R38" s="254">
        <f t="shared" si="2"/>
        <v>7</v>
      </c>
      <c r="S38" s="254"/>
      <c r="T38" s="301">
        <f t="shared" si="1"/>
        <v>7105.8793881466627</v>
      </c>
      <c r="U38" s="301">
        <f t="shared" si="0"/>
        <v>7213.535210700983</v>
      </c>
      <c r="V38" s="301">
        <f t="shared" si="0"/>
        <v>7322.9941934519411</v>
      </c>
      <c r="W38" s="301">
        <f t="shared" si="0"/>
        <v>7434.2833824639911</v>
      </c>
      <c r="X38" s="301">
        <f t="shared" si="0"/>
        <v>7662.4621808289994</v>
      </c>
      <c r="Y38" s="301">
        <f t="shared" si="0"/>
        <v>7898.2944808960065</v>
      </c>
      <c r="Z38" s="301">
        <f t="shared" si="0"/>
        <v>8142.008453125005</v>
      </c>
      <c r="AA38" s="301">
        <f t="shared" si="0"/>
        <v>9487.1710000000112</v>
      </c>
      <c r="AB38" s="301">
        <f t="shared" si="0"/>
        <v>7434.2833824639911</v>
      </c>
    </row>
    <row r="39" spans="4:28" x14ac:dyDescent="0.25">
      <c r="R39" s="254">
        <f t="shared" si="2"/>
        <v>8</v>
      </c>
      <c r="S39" s="254"/>
      <c r="T39" s="301">
        <f t="shared" si="1"/>
        <v>8141.4087850873784</v>
      </c>
      <c r="U39" s="301">
        <f t="shared" si="0"/>
        <v>8285.6705628080217</v>
      </c>
      <c r="V39" s="301">
        <f t="shared" si="0"/>
        <v>8432.8391063537147</v>
      </c>
      <c r="W39" s="301">
        <f t="shared" si="0"/>
        <v>8582.9690501132754</v>
      </c>
      <c r="X39" s="301">
        <f t="shared" si="0"/>
        <v>8892.3360462538658</v>
      </c>
      <c r="Y39" s="301">
        <f t="shared" si="0"/>
        <v>9214.2262601318525</v>
      </c>
      <c r="Z39" s="301">
        <f t="shared" si="0"/>
        <v>9549.1088757812504</v>
      </c>
      <c r="AA39" s="301">
        <f t="shared" si="0"/>
        <v>11435.888100000011</v>
      </c>
      <c r="AB39" s="301">
        <f t="shared" si="0"/>
        <v>8582.9690501132754</v>
      </c>
    </row>
    <row r="40" spans="4:28" x14ac:dyDescent="0.25">
      <c r="R40" s="254">
        <f t="shared" si="2"/>
        <v>9</v>
      </c>
      <c r="S40" s="254"/>
      <c r="T40" s="301">
        <f t="shared" si="1"/>
        <v>9182.1158290128042</v>
      </c>
      <c r="U40" s="301">
        <f t="shared" si="0"/>
        <v>9368.5272684361116</v>
      </c>
      <c r="V40" s="301">
        <f t="shared" si="0"/>
        <v>9559.3316929490102</v>
      </c>
      <c r="W40" s="301">
        <f t="shared" si="0"/>
        <v>9754.6284311155414</v>
      </c>
      <c r="X40" s="301">
        <f t="shared" si="0"/>
        <v>10159.106127641482</v>
      </c>
      <c r="Y40" s="301">
        <f t="shared" si="0"/>
        <v>10582.795310537129</v>
      </c>
      <c r="Z40" s="301">
        <f t="shared" si="0"/>
        <v>11026.564319570316</v>
      </c>
      <c r="AA40" s="301">
        <f t="shared" si="0"/>
        <v>13579.476910000014</v>
      </c>
      <c r="AB40" s="301">
        <f t="shared" si="0"/>
        <v>9754.6284311155414</v>
      </c>
    </row>
    <row r="41" spans="4:28" x14ac:dyDescent="0.25">
      <c r="R41" s="254">
        <f t="shared" si="2"/>
        <v>10</v>
      </c>
      <c r="S41" s="254"/>
      <c r="T41" s="301">
        <f t="shared" si="1"/>
        <v>10228.026408157832</v>
      </c>
      <c r="U41" s="301">
        <f t="shared" si="0"/>
        <v>10462.212541120474</v>
      </c>
      <c r="V41" s="301">
        <f t="shared" si="0"/>
        <v>10702.721668343238</v>
      </c>
      <c r="W41" s="301">
        <f t="shared" si="0"/>
        <v>10949.720999737854</v>
      </c>
      <c r="X41" s="301">
        <f t="shared" si="0"/>
        <v>11463.879311470728</v>
      </c>
      <c r="Y41" s="301">
        <f t="shared" si="0"/>
        <v>12006.107122958614</v>
      </c>
      <c r="Z41" s="301">
        <f t="shared" si="0"/>
        <v>12577.89253554883</v>
      </c>
      <c r="AA41" s="301">
        <f t="shared" si="0"/>
        <v>15937.424601000017</v>
      </c>
      <c r="AB41" s="301">
        <f t="shared" si="0"/>
        <v>10949.720999737854</v>
      </c>
    </row>
    <row r="42" spans="4:28" x14ac:dyDescent="0.25">
      <c r="R42" s="254">
        <f t="shared" si="2"/>
        <v>11</v>
      </c>
      <c r="S42" s="254"/>
      <c r="T42" s="301">
        <f t="shared" si="1"/>
        <v>11279.166540198605</v>
      </c>
      <c r="U42" s="301">
        <f t="shared" si="0"/>
        <v>11566.834666531655</v>
      </c>
      <c r="V42" s="301">
        <f t="shared" si="0"/>
        <v>11863.262493368376</v>
      </c>
      <c r="W42" s="301">
        <f t="shared" si="0"/>
        <v>12168.715419732602</v>
      </c>
      <c r="X42" s="301">
        <f t="shared" si="0"/>
        <v>12807.79569081485</v>
      </c>
      <c r="Y42" s="301">
        <f t="shared" si="0"/>
        <v>13486.351407876957</v>
      </c>
      <c r="Z42" s="301">
        <f t="shared" si="0"/>
        <v>14206.787162326274</v>
      </c>
      <c r="AA42" s="301">
        <f t="shared" si="0"/>
        <v>18531.167061100026</v>
      </c>
      <c r="AB42" s="301">
        <f t="shared" si="0"/>
        <v>12168.715419732602</v>
      </c>
    </row>
    <row r="43" spans="4:28" x14ac:dyDescent="0.25">
      <c r="R43" s="254">
        <f t="shared" si="2"/>
        <v>12</v>
      </c>
      <c r="S43" s="254"/>
      <c r="T43" s="301">
        <f t="shared" si="1"/>
        <v>12335.562372899522</v>
      </c>
      <c r="U43" s="301">
        <f t="shared" si="0"/>
        <v>12682.503013196976</v>
      </c>
      <c r="V43" s="301">
        <f t="shared" si="0"/>
        <v>13041.211430768884</v>
      </c>
      <c r="W43" s="301">
        <f t="shared" si="0"/>
        <v>13412.089728127263</v>
      </c>
      <c r="X43" s="301">
        <f t="shared" si="0"/>
        <v>14192.029561539288</v>
      </c>
      <c r="Y43" s="301">
        <f t="shared" si="0"/>
        <v>15025.805464192043</v>
      </c>
      <c r="Z43" s="301">
        <f t="shared" si="0"/>
        <v>15917.126520442584</v>
      </c>
      <c r="AA43" s="301">
        <f t="shared" si="0"/>
        <v>21384.283767210025</v>
      </c>
      <c r="AB43" s="301">
        <f t="shared" si="0"/>
        <v>13412.089728127263</v>
      </c>
    </row>
    <row r="44" spans="4:28" x14ac:dyDescent="0.25">
      <c r="R44" s="254">
        <f t="shared" si="2"/>
        <v>13</v>
      </c>
      <c r="S44" s="254"/>
      <c r="T44" s="301">
        <f t="shared" si="1"/>
        <v>13397.240184764003</v>
      </c>
      <c r="U44" s="301">
        <f t="shared" si="0"/>
        <v>13809.328043328949</v>
      </c>
      <c r="V44" s="301">
        <f t="shared" si="0"/>
        <v>14236.829602230413</v>
      </c>
      <c r="W44" s="301">
        <f t="shared" si="0"/>
        <v>14680.331522689805</v>
      </c>
      <c r="X44" s="301">
        <f t="shared" si="0"/>
        <v>15617.790448385465</v>
      </c>
      <c r="Y44" s="301">
        <f t="shared" si="0"/>
        <v>16626.837682759724</v>
      </c>
      <c r="Z44" s="301">
        <f t="shared" si="0"/>
        <v>17712.982846464718</v>
      </c>
      <c r="AA44" s="301">
        <f t="shared" si="0"/>
        <v>24522.712143931029</v>
      </c>
      <c r="AB44" s="301">
        <f t="shared" si="0"/>
        <v>14680.331522689805</v>
      </c>
    </row>
    <row r="45" spans="4:28" x14ac:dyDescent="0.25">
      <c r="R45" s="254">
        <f t="shared" si="2"/>
        <v>14</v>
      </c>
      <c r="S45" s="254"/>
      <c r="T45" s="301">
        <f t="shared" si="1"/>
        <v>14464.226385687783</v>
      </c>
      <c r="U45" s="301">
        <f t="shared" si="0"/>
        <v>14947.421323762255</v>
      </c>
      <c r="V45" s="301">
        <f t="shared" si="0"/>
        <v>15450.382046263849</v>
      </c>
      <c r="W45" s="301">
        <f t="shared" si="0"/>
        <v>15973.938153143607</v>
      </c>
      <c r="X45" s="301">
        <f t="shared" si="0"/>
        <v>17086.324161837034</v>
      </c>
      <c r="Y45" s="301">
        <f t="shared" si="0"/>
        <v>18291.911190070114</v>
      </c>
      <c r="Z45" s="301">
        <f t="shared" si="0"/>
        <v>19598.631988787947</v>
      </c>
      <c r="AA45" s="301">
        <f t="shared" si="0"/>
        <v>27974.983358324138</v>
      </c>
      <c r="AB45" s="301">
        <f t="shared" si="0"/>
        <v>15973.938153143607</v>
      </c>
    </row>
    <row r="46" spans="4:28" x14ac:dyDescent="0.25">
      <c r="R46" s="254">
        <f t="shared" si="2"/>
        <v>15</v>
      </c>
      <c r="S46" s="254"/>
      <c r="T46" s="301">
        <f t="shared" si="1"/>
        <v>15536.547517616173</v>
      </c>
      <c r="U46" s="301">
        <f t="shared" si="0"/>
        <v>16096.895536999846</v>
      </c>
      <c r="V46" s="301">
        <f t="shared" si="0"/>
        <v>16682.137776957796</v>
      </c>
      <c r="W46" s="301">
        <f t="shared" si="0"/>
        <v>17293.416916206461</v>
      </c>
      <c r="X46" s="301">
        <f t="shared" si="0"/>
        <v>18598.913886692149</v>
      </c>
      <c r="Y46" s="301">
        <f t="shared" si="0"/>
        <v>20023.587637672917</v>
      </c>
      <c r="Z46" s="301">
        <f t="shared" si="0"/>
        <v>21578.563588227356</v>
      </c>
      <c r="AA46" s="301">
        <f t="shared" si="0"/>
        <v>31772.481694156555</v>
      </c>
      <c r="AB46" s="301">
        <f t="shared" si="0"/>
        <v>17293.416916206461</v>
      </c>
    </row>
    <row r="47" spans="4:28" x14ac:dyDescent="0.25">
      <c r="R47" s="254">
        <f t="shared" si="2"/>
        <v>16</v>
      </c>
      <c r="S47" s="254"/>
      <c r="T47" s="301">
        <f t="shared" si="1"/>
        <v>16614.230255204231</v>
      </c>
      <c r="U47" s="301">
        <f t="shared" si="0"/>
        <v>17257.864492369881</v>
      </c>
      <c r="V47" s="301">
        <f t="shared" si="0"/>
        <v>17932.369843612149</v>
      </c>
      <c r="W47" s="301">
        <f t="shared" si="0"/>
        <v>18639.285254530601</v>
      </c>
      <c r="X47" s="301">
        <f t="shared" si="0"/>
        <v>20156.881303292903</v>
      </c>
      <c r="Y47" s="301">
        <f t="shared" si="0"/>
        <v>21824.531143179844</v>
      </c>
      <c r="Z47" s="301">
        <f t="shared" si="0"/>
        <v>23657.491767638719</v>
      </c>
      <c r="AA47" s="301">
        <f t="shared" si="0"/>
        <v>35949.729863572211</v>
      </c>
      <c r="AB47" s="301">
        <f t="shared" si="0"/>
        <v>18639.285254530601</v>
      </c>
    </row>
    <row r="48" spans="4:28" x14ac:dyDescent="0.25">
      <c r="R48" s="254">
        <f t="shared" si="2"/>
        <v>17</v>
      </c>
      <c r="S48" s="254"/>
      <c r="T48" s="301">
        <f t="shared" si="1"/>
        <v>17697.301406480245</v>
      </c>
      <c r="U48" s="301">
        <f t="shared" si="1"/>
        <v>18430.443137293583</v>
      </c>
      <c r="V48" s="301">
        <f t="shared" si="1"/>
        <v>19201.355391266323</v>
      </c>
      <c r="W48" s="301">
        <f t="shared" si="1"/>
        <v>20012.070959621218</v>
      </c>
      <c r="X48" s="301">
        <f t="shared" si="1"/>
        <v>21761.58774239169</v>
      </c>
      <c r="Y48" s="301">
        <f t="shared" ref="Y48:AB111" si="3">$G$21*(((1+Y$31)^($R48)-1)/(Y$31))</f>
        <v>23697.512388907035</v>
      </c>
      <c r="Z48" s="301">
        <f t="shared" si="3"/>
        <v>25840.366356020662</v>
      </c>
      <c r="AA48" s="301">
        <f t="shared" si="3"/>
        <v>40544.702849929432</v>
      </c>
      <c r="AB48" s="301">
        <f t="shared" si="3"/>
        <v>20012.070959621218</v>
      </c>
    </row>
    <row r="49" spans="18:28" x14ac:dyDescent="0.25">
      <c r="R49" s="254">
        <f t="shared" si="2"/>
        <v>18</v>
      </c>
      <c r="S49" s="254"/>
      <c r="T49" s="301">
        <f t="shared" si="1"/>
        <v>18785.787913512573</v>
      </c>
      <c r="U49" s="301">
        <f t="shared" si="1"/>
        <v>19614.747568666524</v>
      </c>
      <c r="V49" s="301">
        <f t="shared" si="1"/>
        <v>20489.375722135312</v>
      </c>
      <c r="W49" s="301">
        <f t="shared" si="1"/>
        <v>21412.312378813636</v>
      </c>
      <c r="X49" s="301">
        <f t="shared" si="1"/>
        <v>23414.435374663441</v>
      </c>
      <c r="Y49" s="301">
        <f t="shared" si="3"/>
        <v>25645.412884463327</v>
      </c>
      <c r="Z49" s="301">
        <f t="shared" si="3"/>
        <v>28132.384673821693</v>
      </c>
      <c r="AA49" s="301">
        <f t="shared" si="3"/>
        <v>45599.173134922377</v>
      </c>
      <c r="AB49" s="301">
        <f t="shared" si="3"/>
        <v>21412.312378813636</v>
      </c>
    </row>
    <row r="50" spans="18:28" x14ac:dyDescent="0.25">
      <c r="R50" s="254">
        <f t="shared" si="2"/>
        <v>19</v>
      </c>
      <c r="S50" s="254"/>
      <c r="T50" s="301">
        <f t="shared" si="1"/>
        <v>19879.716853080117</v>
      </c>
      <c r="U50" s="301">
        <f t="shared" si="1"/>
        <v>20810.895044353161</v>
      </c>
      <c r="V50" s="301">
        <f t="shared" si="1"/>
        <v>21796.716357967329</v>
      </c>
      <c r="W50" s="301">
        <f t="shared" si="1"/>
        <v>22840.558626389906</v>
      </c>
      <c r="X50" s="301">
        <f t="shared" si="1"/>
        <v>25116.868435903343</v>
      </c>
      <c r="Y50" s="301">
        <f t="shared" si="3"/>
        <v>27671.229399841857</v>
      </c>
      <c r="Z50" s="301">
        <f t="shared" si="3"/>
        <v>30539.003907512779</v>
      </c>
      <c r="AA50" s="301">
        <f t="shared" si="3"/>
        <v>51159.09044841463</v>
      </c>
      <c r="AB50" s="301">
        <f t="shared" si="3"/>
        <v>22840.558626389906</v>
      </c>
    </row>
    <row r="51" spans="18:28" x14ac:dyDescent="0.25">
      <c r="R51" s="254">
        <f t="shared" si="2"/>
        <v>20</v>
      </c>
      <c r="S51" s="254"/>
      <c r="T51" s="301">
        <f t="shared" si="1"/>
        <v>20979.115437345496</v>
      </c>
      <c r="U51" s="301">
        <f t="shared" si="1"/>
        <v>22019.003994796705</v>
      </c>
      <c r="V51" s="301">
        <f t="shared" si="1"/>
        <v>23123.667103336815</v>
      </c>
      <c r="W51" s="301">
        <f t="shared" si="1"/>
        <v>24297.369798917709</v>
      </c>
      <c r="X51" s="301">
        <f t="shared" si="1"/>
        <v>26870.37448898044</v>
      </c>
      <c r="Y51" s="301">
        <f t="shared" si="3"/>
        <v>29778.078575835531</v>
      </c>
      <c r="Z51" s="301">
        <f t="shared" si="3"/>
        <v>33065.954102888412</v>
      </c>
      <c r="AA51" s="301">
        <f t="shared" si="3"/>
        <v>57274.999493256088</v>
      </c>
      <c r="AB51" s="301">
        <f t="shared" si="3"/>
        <v>24297.369798917709</v>
      </c>
    </row>
    <row r="52" spans="18:28" x14ac:dyDescent="0.25">
      <c r="R52" s="254">
        <f t="shared" si="2"/>
        <v>21</v>
      </c>
      <c r="S52" s="254"/>
      <c r="T52" s="301">
        <f t="shared" si="1"/>
        <v>22084.011014532167</v>
      </c>
      <c r="U52" s="301">
        <f t="shared" si="1"/>
        <v>23239.194034744662</v>
      </c>
      <c r="V52" s="301">
        <f t="shared" si="1"/>
        <v>24470.522109886857</v>
      </c>
      <c r="W52" s="301">
        <f t="shared" si="1"/>
        <v>25783.317194896059</v>
      </c>
      <c r="X52" s="301">
        <f t="shared" si="1"/>
        <v>28676.485723649846</v>
      </c>
      <c r="Y52" s="301">
        <f t="shared" si="3"/>
        <v>31969.201718868968</v>
      </c>
      <c r="Z52" s="301">
        <f t="shared" si="3"/>
        <v>35719.251808032837</v>
      </c>
      <c r="AA52" s="301">
        <f t="shared" si="3"/>
        <v>64002.499442581706</v>
      </c>
      <c r="AB52" s="301">
        <f t="shared" si="3"/>
        <v>25783.317194896059</v>
      </c>
    </row>
    <row r="53" spans="18:28" x14ac:dyDescent="0.25">
      <c r="R53" s="254">
        <f t="shared" si="2"/>
        <v>22</v>
      </c>
      <c r="S53" s="254"/>
      <c r="T53" s="301">
        <f t="shared" si="1"/>
        <v>23194.431069604794</v>
      </c>
      <c r="U53" s="301">
        <f t="shared" si="1"/>
        <v>24471.585975092137</v>
      </c>
      <c r="V53" s="301">
        <f t="shared" si="1"/>
        <v>25837.579941535143</v>
      </c>
      <c r="W53" s="301">
        <f t="shared" si="1"/>
        <v>27298.983538793986</v>
      </c>
      <c r="X53" s="301">
        <f t="shared" si="1"/>
        <v>30536.780295359349</v>
      </c>
      <c r="Y53" s="301">
        <f t="shared" si="3"/>
        <v>34247.969787623726</v>
      </c>
      <c r="Z53" s="301">
        <f t="shared" si="3"/>
        <v>38505.214398434473</v>
      </c>
      <c r="AA53" s="301">
        <f t="shared" si="3"/>
        <v>71402.749386839889</v>
      </c>
      <c r="AB53" s="301">
        <f t="shared" si="3"/>
        <v>27298.983538793986</v>
      </c>
    </row>
    <row r="54" spans="18:28" x14ac:dyDescent="0.25">
      <c r="R54" s="254">
        <f t="shared" si="2"/>
        <v>23</v>
      </c>
      <c r="S54" s="254"/>
      <c r="T54" s="301">
        <f t="shared" si="1"/>
        <v>24310.40322495277</v>
      </c>
      <c r="U54" s="301">
        <f t="shared" si="1"/>
        <v>25716.301834843038</v>
      </c>
      <c r="V54" s="301">
        <f t="shared" si="1"/>
        <v>27225.143640658163</v>
      </c>
      <c r="W54" s="301">
        <f t="shared" si="1"/>
        <v>28844.963209569851</v>
      </c>
      <c r="X54" s="301">
        <f t="shared" si="1"/>
        <v>32452.883704220134</v>
      </c>
      <c r="Y54" s="301">
        <f t="shared" si="3"/>
        <v>36617.888579128667</v>
      </c>
      <c r="Z54" s="301">
        <f t="shared" si="3"/>
        <v>41430.475118356204</v>
      </c>
      <c r="AA54" s="301">
        <f t="shared" si="3"/>
        <v>79543.024325523889</v>
      </c>
      <c r="AB54" s="301">
        <f t="shared" si="3"/>
        <v>28844.963209569851</v>
      </c>
    </row>
    <row r="55" spans="18:28" x14ac:dyDescent="0.25">
      <c r="R55" s="254">
        <f t="shared" si="2"/>
        <v>24</v>
      </c>
      <c r="S55" s="254"/>
      <c r="T55" s="301">
        <f t="shared" si="1"/>
        <v>25431.955241077554</v>
      </c>
      <c r="U55" s="301">
        <f t="shared" si="1"/>
        <v>26973.464853191497</v>
      </c>
      <c r="V55" s="301">
        <f t="shared" si="1"/>
        <v>28633.520795268018</v>
      </c>
      <c r="W55" s="301">
        <f t="shared" si="1"/>
        <v>30421.862473761252</v>
      </c>
      <c r="X55" s="301">
        <f t="shared" si="1"/>
        <v>34426.470215346722</v>
      </c>
      <c r="Y55" s="301">
        <f t="shared" si="3"/>
        <v>39082.604122293815</v>
      </c>
      <c r="Z55" s="301">
        <f t="shared" si="3"/>
        <v>44501.99887427401</v>
      </c>
      <c r="AA55" s="301">
        <f t="shared" si="3"/>
        <v>88497.326758076262</v>
      </c>
      <c r="AB55" s="301">
        <f t="shared" si="3"/>
        <v>30421.862473761252</v>
      </c>
    </row>
    <row r="56" spans="18:28" x14ac:dyDescent="0.25">
      <c r="R56" s="254">
        <f t="shared" si="2"/>
        <v>25</v>
      </c>
      <c r="S56" s="254"/>
      <c r="T56" s="301">
        <f t="shared" si="1"/>
        <v>26559.115017282897</v>
      </c>
      <c r="U56" s="301">
        <f t="shared" si="1"/>
        <v>28243.199501723426</v>
      </c>
      <c r="V56" s="301">
        <f t="shared" si="1"/>
        <v>30063.023607197039</v>
      </c>
      <c r="W56" s="301">
        <f t="shared" si="1"/>
        <v>32030.299723236476</v>
      </c>
      <c r="X56" s="301">
        <f t="shared" si="1"/>
        <v>36459.264321807124</v>
      </c>
      <c r="Y56" s="301">
        <f t="shared" si="3"/>
        <v>41645.908287185586</v>
      </c>
      <c r="Z56" s="301">
        <f t="shared" si="3"/>
        <v>47727.098817987717</v>
      </c>
      <c r="AA56" s="301">
        <f t="shared" si="3"/>
        <v>98347.0594338839</v>
      </c>
      <c r="AB56" s="301">
        <f t="shared" si="3"/>
        <v>32030.299723236476</v>
      </c>
    </row>
    <row r="57" spans="18:28" x14ac:dyDescent="0.25">
      <c r="R57" s="254">
        <f t="shared" si="2"/>
        <v>26</v>
      </c>
      <c r="S57" s="254"/>
      <c r="T57" s="301">
        <f t="shared" si="1"/>
        <v>27691.910592369284</v>
      </c>
      <c r="U57" s="301">
        <f t="shared" si="1"/>
        <v>29525.631496740654</v>
      </c>
      <c r="V57" s="301">
        <f t="shared" si="1"/>
        <v>31513.968961304974</v>
      </c>
      <c r="W57" s="301">
        <f t="shared" si="1"/>
        <v>33670.905717701215</v>
      </c>
      <c r="X57" s="301">
        <f t="shared" si="1"/>
        <v>38553.042251461353</v>
      </c>
      <c r="Y57" s="301">
        <f t="shared" si="3"/>
        <v>44311.744618672994</v>
      </c>
      <c r="Z57" s="301">
        <f t="shared" si="3"/>
        <v>51113.453758887103</v>
      </c>
      <c r="AA57" s="301">
        <f t="shared" si="3"/>
        <v>109181.7653772723</v>
      </c>
      <c r="AB57" s="301">
        <f t="shared" si="3"/>
        <v>33670.905717701215</v>
      </c>
    </row>
    <row r="58" spans="18:28" x14ac:dyDescent="0.25">
      <c r="R58" s="254">
        <f t="shared" si="2"/>
        <v>27</v>
      </c>
      <c r="S58" s="254"/>
      <c r="T58" s="301">
        <f t="shared" si="1"/>
        <v>28830.370145331093</v>
      </c>
      <c r="U58" s="301">
        <f t="shared" si="1"/>
        <v>30820.88781170802</v>
      </c>
      <c r="V58" s="301">
        <f t="shared" si="1"/>
        <v>32986.67849572454</v>
      </c>
      <c r="W58" s="301">
        <f t="shared" si="1"/>
        <v>35344.323832055226</v>
      </c>
      <c r="X58" s="301">
        <f t="shared" si="1"/>
        <v>40709.63351900519</v>
      </c>
      <c r="Y58" s="301">
        <f t="shared" si="3"/>
        <v>47084.214403419923</v>
      </c>
      <c r="Z58" s="301">
        <f t="shared" si="3"/>
        <v>54669.126446831462</v>
      </c>
      <c r="AA58" s="301">
        <f t="shared" si="3"/>
        <v>121099.94191499955</v>
      </c>
      <c r="AB58" s="301">
        <f t="shared" si="3"/>
        <v>35344.323832055226</v>
      </c>
    </row>
    <row r="59" spans="18:28" x14ac:dyDescent="0.25">
      <c r="R59" s="254">
        <f t="shared" si="2"/>
        <v>28</v>
      </c>
      <c r="S59" s="254"/>
      <c r="T59" s="301">
        <f t="shared" si="1"/>
        <v>29974.521996057698</v>
      </c>
      <c r="U59" s="301">
        <f t="shared" si="1"/>
        <v>32129.09668982511</v>
      </c>
      <c r="V59" s="301">
        <f t="shared" si="1"/>
        <v>34481.478673160382</v>
      </c>
      <c r="W59" s="301">
        <f t="shared" si="1"/>
        <v>37051.210308696347</v>
      </c>
      <c r="X59" s="301">
        <f t="shared" si="1"/>
        <v>42930.922524575341</v>
      </c>
      <c r="Y59" s="301">
        <f t="shared" si="3"/>
        <v>49967.582979556733</v>
      </c>
      <c r="Z59" s="301">
        <f t="shared" si="3"/>
        <v>58402.582769173023</v>
      </c>
      <c r="AA59" s="301">
        <f t="shared" si="3"/>
        <v>134209.93610649949</v>
      </c>
      <c r="AB59" s="301">
        <f t="shared" si="3"/>
        <v>37051.210308696347</v>
      </c>
    </row>
    <row r="60" spans="18:28" x14ac:dyDescent="0.25">
      <c r="R60" s="254">
        <f t="shared" si="2"/>
        <v>29</v>
      </c>
      <c r="S60" s="254"/>
      <c r="T60" s="301">
        <f t="shared" si="1"/>
        <v>31124.394606037953</v>
      </c>
      <c r="U60" s="301">
        <f t="shared" si="1"/>
        <v>33450.387656723367</v>
      </c>
      <c r="V60" s="301">
        <f t="shared" si="1"/>
        <v>35998.700853257789</v>
      </c>
      <c r="W60" s="301">
        <f t="shared" si="1"/>
        <v>38792.234514870259</v>
      </c>
      <c r="X60" s="301">
        <f t="shared" si="1"/>
        <v>45218.850200312598</v>
      </c>
      <c r="Y60" s="301">
        <f t="shared" si="3"/>
        <v>52966.286298739004</v>
      </c>
      <c r="Z60" s="301">
        <f t="shared" si="3"/>
        <v>62322.711907631696</v>
      </c>
      <c r="AA60" s="301">
        <f t="shared" si="3"/>
        <v>148630.92971714947</v>
      </c>
      <c r="AB60" s="301">
        <f t="shared" si="3"/>
        <v>38792.234514870259</v>
      </c>
    </row>
    <row r="61" spans="18:28" x14ac:dyDescent="0.25">
      <c r="R61" s="254">
        <f t="shared" si="2"/>
        <v>30</v>
      </c>
      <c r="S61" s="254"/>
      <c r="T61" s="301">
        <f t="shared" si="1"/>
        <v>32280.016579068117</v>
      </c>
      <c r="U61" s="301">
        <f t="shared" si="1"/>
        <v>34784.891533290625</v>
      </c>
      <c r="V61" s="301">
        <f t="shared" si="1"/>
        <v>37538.681366056626</v>
      </c>
      <c r="W61" s="301">
        <f t="shared" si="1"/>
        <v>40568.079205167669</v>
      </c>
      <c r="X61" s="301">
        <f t="shared" si="1"/>
        <v>47575.415706321968</v>
      </c>
      <c r="Y61" s="301">
        <f t="shared" si="3"/>
        <v>56084.93775068855</v>
      </c>
      <c r="Z61" s="301">
        <f t="shared" si="3"/>
        <v>66438.847503013254</v>
      </c>
      <c r="AA61" s="301">
        <f t="shared" si="3"/>
        <v>164494.02268886444</v>
      </c>
      <c r="AB61" s="301">
        <f t="shared" si="3"/>
        <v>40568.079205167669</v>
      </c>
    </row>
    <row r="62" spans="18:28" x14ac:dyDescent="0.25">
      <c r="R62" s="254">
        <f t="shared" si="2"/>
        <v>31</v>
      </c>
      <c r="S62" s="254"/>
      <c r="T62" s="301">
        <f t="shared" si="1"/>
        <v>33441.416661963391</v>
      </c>
      <c r="U62" s="301">
        <f t="shared" si="1"/>
        <v>36132.740448623488</v>
      </c>
      <c r="V62" s="301">
        <f t="shared" si="1"/>
        <v>39101.761586547465</v>
      </c>
      <c r="W62" s="301">
        <f t="shared" si="1"/>
        <v>42379.440789271008</v>
      </c>
      <c r="X62" s="301">
        <f t="shared" si="1"/>
        <v>50002.678177511647</v>
      </c>
      <c r="Y62" s="301">
        <f t="shared" si="3"/>
        <v>59328.3352607161</v>
      </c>
      <c r="Z62" s="301">
        <f t="shared" si="3"/>
        <v>70760.789878163952</v>
      </c>
      <c r="AA62" s="301">
        <f t="shared" si="3"/>
        <v>181943.42495775089</v>
      </c>
      <c r="AB62" s="301">
        <f t="shared" si="3"/>
        <v>42379.440789271008</v>
      </c>
    </row>
    <row r="63" spans="18:28" x14ac:dyDescent="0.25">
      <c r="R63" s="254">
        <f t="shared" si="2"/>
        <v>32</v>
      </c>
      <c r="S63" s="254"/>
      <c r="T63" s="301">
        <f t="shared" si="1"/>
        <v>34608.62374527318</v>
      </c>
      <c r="U63" s="301">
        <f t="shared" si="1"/>
        <v>37494.067853109751</v>
      </c>
      <c r="V63" s="301">
        <f t="shared" si="1"/>
        <v>40688.288010345655</v>
      </c>
      <c r="W63" s="301">
        <f t="shared" si="1"/>
        <v>44227.029605056443</v>
      </c>
      <c r="X63" s="301">
        <f t="shared" si="1"/>
        <v>52502.758522836979</v>
      </c>
      <c r="Y63" s="301">
        <f t="shared" si="3"/>
        <v>62701.46867114475</v>
      </c>
      <c r="Z63" s="301">
        <f t="shared" si="3"/>
        <v>75298.829372072141</v>
      </c>
      <c r="AA63" s="301">
        <f t="shared" si="3"/>
        <v>201137.76745352597</v>
      </c>
      <c r="AB63" s="301">
        <f t="shared" si="3"/>
        <v>44227.029605056443</v>
      </c>
    </row>
    <row r="64" spans="18:28" x14ac:dyDescent="0.25">
      <c r="R64" s="254">
        <f t="shared" si="2"/>
        <v>33</v>
      </c>
      <c r="S64" s="254"/>
      <c r="T64" s="301">
        <f t="shared" si="1"/>
        <v>35781.666863999504</v>
      </c>
      <c r="U64" s="301">
        <f t="shared" si="1"/>
        <v>38869.008531640859</v>
      </c>
      <c r="V64" s="301">
        <f t="shared" si="1"/>
        <v>42298.61233050083</v>
      </c>
      <c r="W64" s="301">
        <f t="shared" si="1"/>
        <v>46111.570197157584</v>
      </c>
      <c r="X64" s="301">
        <f t="shared" si="1"/>
        <v>55077.841278522093</v>
      </c>
      <c r="Y64" s="301">
        <f t="shared" si="3"/>
        <v>66209.527417990539</v>
      </c>
      <c r="Z64" s="301">
        <f t="shared" si="3"/>
        <v>80063.770840675745</v>
      </c>
      <c r="AA64" s="301">
        <f t="shared" si="3"/>
        <v>222251.5441988786</v>
      </c>
      <c r="AB64" s="301">
        <f t="shared" si="3"/>
        <v>46111.570197157584</v>
      </c>
    </row>
    <row r="65" spans="18:28" x14ac:dyDescent="0.25">
      <c r="R65" s="254">
        <f t="shared" si="2"/>
        <v>34</v>
      </c>
      <c r="S65" s="254"/>
      <c r="T65" s="301">
        <f t="shared" si="1"/>
        <v>36960.575198319479</v>
      </c>
      <c r="U65" s="301">
        <f t="shared" si="1"/>
        <v>40257.69861695727</v>
      </c>
      <c r="V65" s="301">
        <f t="shared" si="1"/>
        <v>43933.09151545832</v>
      </c>
      <c r="W65" s="301">
        <f t="shared" si="1"/>
        <v>48033.80160110072</v>
      </c>
      <c r="X65" s="301">
        <f t="shared" si="1"/>
        <v>57730.176516877742</v>
      </c>
      <c r="Y65" s="301">
        <f t="shared" si="3"/>
        <v>69857.908514710172</v>
      </c>
      <c r="Z65" s="301">
        <f t="shared" si="3"/>
        <v>85066.959382709523</v>
      </c>
      <c r="AA65" s="301">
        <f t="shared" si="3"/>
        <v>245476.69861876647</v>
      </c>
      <c r="AB65" s="301">
        <f t="shared" si="3"/>
        <v>48033.80160110072</v>
      </c>
    </row>
    <row r="66" spans="18:28" x14ac:dyDescent="0.25">
      <c r="R66" s="254">
        <f t="shared" si="2"/>
        <v>35</v>
      </c>
      <c r="S66" s="254"/>
      <c r="T66" s="301">
        <f t="shared" si="1"/>
        <v>38145.378074311062</v>
      </c>
      <c r="U66" s="301">
        <f t="shared" si="1"/>
        <v>41660.275603126822</v>
      </c>
      <c r="V66" s="301">
        <f t="shared" si="1"/>
        <v>45592.087888190203</v>
      </c>
      <c r="W66" s="301">
        <f t="shared" si="1"/>
        <v>49994.477633122733</v>
      </c>
      <c r="X66" s="301">
        <f t="shared" si="1"/>
        <v>60462.081812384087</v>
      </c>
      <c r="Y66" s="301">
        <f t="shared" si="3"/>
        <v>73652.224855298584</v>
      </c>
      <c r="Z66" s="301">
        <f t="shared" si="3"/>
        <v>90320.307351845011</v>
      </c>
      <c r="AA66" s="301">
        <f t="shared" si="3"/>
        <v>271024.36848064314</v>
      </c>
      <c r="AB66" s="301">
        <f t="shared" si="3"/>
        <v>49994.477633122733</v>
      </c>
    </row>
    <row r="67" spans="18:28" x14ac:dyDescent="0.25">
      <c r="R67" s="254">
        <f t="shared" si="2"/>
        <v>36</v>
      </c>
      <c r="S67" s="254"/>
      <c r="T67" s="301">
        <f t="shared" si="1"/>
        <v>39336.104964682541</v>
      </c>
      <c r="U67" s="301">
        <f t="shared" si="1"/>
        <v>43076.878359158101</v>
      </c>
      <c r="V67" s="301">
        <f t="shared" si="1"/>
        <v>47275.969206513029</v>
      </c>
      <c r="W67" s="301">
        <f t="shared" si="1"/>
        <v>51994.36718578518</v>
      </c>
      <c r="X67" s="301">
        <f t="shared" si="1"/>
        <v>63275.9442667556</v>
      </c>
      <c r="Y67" s="301">
        <f t="shared" si="3"/>
        <v>77598.313849510523</v>
      </c>
      <c r="Z67" s="301">
        <f t="shared" si="3"/>
        <v>95836.322719437245</v>
      </c>
      <c r="AA67" s="301">
        <f t="shared" si="3"/>
        <v>299126.80532870744</v>
      </c>
      <c r="AB67" s="301">
        <f t="shared" si="3"/>
        <v>51994.36718578518</v>
      </c>
    </row>
    <row r="68" spans="18:28" x14ac:dyDescent="0.25">
      <c r="R68" s="254">
        <f t="shared" si="2"/>
        <v>37</v>
      </c>
      <c r="S68" s="254"/>
      <c r="T68" s="301">
        <f t="shared" si="1"/>
        <v>40532.785489505899</v>
      </c>
      <c r="U68" s="301">
        <f t="shared" si="1"/>
        <v>44507.64714274968</v>
      </c>
      <c r="V68" s="301">
        <f t="shared" si="1"/>
        <v>48985.108744610705</v>
      </c>
      <c r="W68" s="301">
        <f t="shared" si="1"/>
        <v>54034.254529500897</v>
      </c>
      <c r="X68" s="301">
        <f t="shared" si="1"/>
        <v>66174.222594758263</v>
      </c>
      <c r="Y68" s="301">
        <f t="shared" si="3"/>
        <v>81702.246403490979</v>
      </c>
      <c r="Z68" s="301">
        <f t="shared" si="3"/>
        <v>101628.13885540914</v>
      </c>
      <c r="AA68" s="301">
        <f t="shared" si="3"/>
        <v>330039.4858615782</v>
      </c>
      <c r="AB68" s="301">
        <f t="shared" si="3"/>
        <v>54034.254529500897</v>
      </c>
    </row>
    <row r="69" spans="18:28" x14ac:dyDescent="0.25">
      <c r="R69" s="254">
        <f t="shared" si="2"/>
        <v>38</v>
      </c>
      <c r="S69" s="254"/>
      <c r="T69" s="301">
        <f t="shared" si="1"/>
        <v>41735.449416953415</v>
      </c>
      <c r="U69" s="301">
        <f t="shared" si="1"/>
        <v>45952.723614177194</v>
      </c>
      <c r="V69" s="301">
        <f t="shared" si="1"/>
        <v>50719.88537577985</v>
      </c>
      <c r="W69" s="301">
        <f t="shared" si="1"/>
        <v>56114.939620090932</v>
      </c>
      <c r="X69" s="301">
        <f t="shared" si="1"/>
        <v>69159.449272601007</v>
      </c>
      <c r="Y69" s="301">
        <f t="shared" si="3"/>
        <v>85970.336259630596</v>
      </c>
      <c r="Z69" s="301">
        <f t="shared" si="3"/>
        <v>107709.54579817956</v>
      </c>
      <c r="AA69" s="301">
        <f t="shared" si="3"/>
        <v>364043.43444773619</v>
      </c>
      <c r="AB69" s="301">
        <f t="shared" si="3"/>
        <v>56114.939620090932</v>
      </c>
    </row>
    <row r="70" spans="18:28" x14ac:dyDescent="0.25">
      <c r="R70" s="254">
        <f t="shared" si="2"/>
        <v>39</v>
      </c>
      <c r="S70" s="254"/>
      <c r="T70" s="301">
        <f t="shared" si="1"/>
        <v>42944.126664038151</v>
      </c>
      <c r="U70" s="301">
        <f t="shared" si="1"/>
        <v>47412.250850318924</v>
      </c>
      <c r="V70" s="301">
        <f t="shared" si="1"/>
        <v>52480.683656416521</v>
      </c>
      <c r="W70" s="301">
        <f t="shared" si="1"/>
        <v>58237.238412492705</v>
      </c>
      <c r="X70" s="301">
        <f t="shared" si="1"/>
        <v>72234.232750779061</v>
      </c>
      <c r="Y70" s="301">
        <f t="shared" si="3"/>
        <v>90409.149710015816</v>
      </c>
      <c r="Z70" s="301">
        <f t="shared" si="3"/>
        <v>114095.02308808856</v>
      </c>
      <c r="AA70" s="301">
        <f t="shared" si="3"/>
        <v>401447.77789250982</v>
      </c>
      <c r="AB70" s="301">
        <f t="shared" si="3"/>
        <v>58237.238412492705</v>
      </c>
    </row>
    <row r="71" spans="18:28" x14ac:dyDescent="0.25">
      <c r="R71" s="254">
        <f t="shared" si="2"/>
        <v>40</v>
      </c>
      <c r="S71" s="254"/>
      <c r="T71" s="301">
        <f t="shared" si="1"/>
        <v>44158.847297358327</v>
      </c>
      <c r="U71" s="301">
        <f t="shared" si="1"/>
        <v>48886.373358822158</v>
      </c>
      <c r="V71" s="301">
        <f t="shared" si="1"/>
        <v>54267.89391126277</v>
      </c>
      <c r="W71" s="301">
        <f t="shared" si="1"/>
        <v>60401.983180742587</v>
      </c>
      <c r="X71" s="301">
        <f t="shared" si="1"/>
        <v>75401.259733302402</v>
      </c>
      <c r="Y71" s="301">
        <f t="shared" si="3"/>
        <v>95025.515698416479</v>
      </c>
      <c r="Z71" s="301">
        <f t="shared" si="3"/>
        <v>120799.77424249297</v>
      </c>
      <c r="AA71" s="301">
        <f t="shared" si="3"/>
        <v>442592.55568176071</v>
      </c>
      <c r="AB71" s="301">
        <f t="shared" si="3"/>
        <v>60401.983180742587</v>
      </c>
    </row>
    <row r="72" spans="18:28" x14ac:dyDescent="0.25">
      <c r="R72" s="254">
        <f t="shared" si="2"/>
        <v>41</v>
      </c>
      <c r="S72" s="254"/>
      <c r="T72" s="301">
        <f t="shared" si="1"/>
        <v>45379.641533845082</v>
      </c>
      <c r="U72" s="301">
        <f t="shared" si="1"/>
        <v>50375.237092410389</v>
      </c>
      <c r="V72" s="301">
        <f t="shared" si="1"/>
        <v>56081.912319931696</v>
      </c>
      <c r="W72" s="301">
        <f t="shared" si="1"/>
        <v>62610.022844357438</v>
      </c>
      <c r="X72" s="301">
        <f t="shared" si="1"/>
        <v>78663.297525301488</v>
      </c>
      <c r="Y72" s="301">
        <f t="shared" si="3"/>
        <v>99826.536326353133</v>
      </c>
      <c r="Z72" s="301">
        <f t="shared" si="3"/>
        <v>127839.76295461765</v>
      </c>
      <c r="AA72" s="301">
        <f t="shared" si="3"/>
        <v>487851.81124993681</v>
      </c>
      <c r="AB72" s="301">
        <f t="shared" si="3"/>
        <v>62610.022844357438</v>
      </c>
    </row>
    <row r="73" spans="18:28" x14ac:dyDescent="0.25">
      <c r="R73" s="254">
        <f t="shared" si="2"/>
        <v>42</v>
      </c>
      <c r="S73" s="254"/>
      <c r="T73" s="301">
        <f t="shared" si="1"/>
        <v>46606.539741514251</v>
      </c>
      <c r="U73" s="301">
        <f t="shared" si="1"/>
        <v>51878.98946333451</v>
      </c>
      <c r="V73" s="301">
        <f t="shared" si="1"/>
        <v>57923.141004730649</v>
      </c>
      <c r="W73" s="301">
        <f t="shared" si="1"/>
        <v>64862.223301244587</v>
      </c>
      <c r="X73" s="301">
        <f t="shared" si="1"/>
        <v>82023.196451060532</v>
      </c>
      <c r="Y73" s="301">
        <f t="shared" si="3"/>
        <v>104819.59777940725</v>
      </c>
      <c r="Z73" s="301">
        <f t="shared" si="3"/>
        <v>135231.7511023485</v>
      </c>
      <c r="AA73" s="301">
        <f t="shared" si="3"/>
        <v>537636.99237493053</v>
      </c>
      <c r="AB73" s="301">
        <f t="shared" si="3"/>
        <v>64862.223301244587</v>
      </c>
    </row>
    <row r="74" spans="18:28" x14ac:dyDescent="0.25">
      <c r="R74" s="254">
        <f t="shared" si="2"/>
        <v>43</v>
      </c>
      <c r="S74" s="254"/>
      <c r="T74" s="301">
        <f t="shared" si="1"/>
        <v>47839.572440221811</v>
      </c>
      <c r="U74" s="301">
        <f t="shared" si="1"/>
        <v>53397.779357967811</v>
      </c>
      <c r="V74" s="301">
        <f t="shared" si="1"/>
        <v>59791.988119801601</v>
      </c>
      <c r="W74" s="301">
        <f t="shared" si="1"/>
        <v>67159.467767269467</v>
      </c>
      <c r="X74" s="301">
        <f t="shared" si="1"/>
        <v>85483.892344592343</v>
      </c>
      <c r="Y74" s="301">
        <f t="shared" si="3"/>
        <v>110012.38169058356</v>
      </c>
      <c r="Z74" s="301">
        <f t="shared" si="3"/>
        <v>142993.33865746597</v>
      </c>
      <c r="AA74" s="301">
        <f t="shared" si="3"/>
        <v>592400.69161242363</v>
      </c>
      <c r="AB74" s="301">
        <f t="shared" si="3"/>
        <v>67159.467767269467</v>
      </c>
    </row>
    <row r="75" spans="18:28" x14ac:dyDescent="0.25">
      <c r="R75" s="254">
        <f t="shared" si="2"/>
        <v>44</v>
      </c>
      <c r="S75" s="254"/>
      <c r="T75" s="301">
        <f t="shared" si="1"/>
        <v>49078.770302422869</v>
      </c>
      <c r="U75" s="301">
        <f t="shared" si="1"/>
        <v>54931.757151547499</v>
      </c>
      <c r="V75" s="301">
        <f t="shared" si="1"/>
        <v>61688.86794159859</v>
      </c>
      <c r="W75" s="301">
        <f t="shared" si="1"/>
        <v>69502.657122614881</v>
      </c>
      <c r="X75" s="301">
        <f t="shared" si="1"/>
        <v>89048.409114930095</v>
      </c>
      <c r="Y75" s="301">
        <f t="shared" si="3"/>
        <v>115412.87695820692</v>
      </c>
      <c r="Z75" s="301">
        <f t="shared" si="3"/>
        <v>151143.00559033925</v>
      </c>
      <c r="AA75" s="301">
        <f t="shared" si="3"/>
        <v>652640.76077366609</v>
      </c>
      <c r="AB75" s="301">
        <f t="shared" si="3"/>
        <v>69502.657122614881</v>
      </c>
    </row>
    <row r="76" spans="18:28" x14ac:dyDescent="0.25">
      <c r="R76" s="254">
        <f t="shared" si="2"/>
        <v>45</v>
      </c>
      <c r="S76" s="254"/>
      <c r="T76" s="301">
        <f t="shared" si="1"/>
        <v>50324.164153934922</v>
      </c>
      <c r="U76" s="301">
        <f t="shared" si="1"/>
        <v>56481.074723062979</v>
      </c>
      <c r="V76" s="301">
        <f t="shared" si="1"/>
        <v>63614.20096072257</v>
      </c>
      <c r="W76" s="301">
        <f t="shared" si="1"/>
        <v>71892.710265067159</v>
      </c>
      <c r="X76" s="301">
        <f t="shared" si="1"/>
        <v>92719.861388378005</v>
      </c>
      <c r="Y76" s="301">
        <f t="shared" si="3"/>
        <v>121029.3920365352</v>
      </c>
      <c r="Z76" s="301">
        <f t="shared" si="3"/>
        <v>159700.15586985624</v>
      </c>
      <c r="AA76" s="301">
        <f t="shared" si="3"/>
        <v>718904.8368510328</v>
      </c>
      <c r="AB76" s="301">
        <f t="shared" si="3"/>
        <v>71892.710265067159</v>
      </c>
    </row>
    <row r="77" spans="18:28" x14ac:dyDescent="0.25">
      <c r="R77" s="254">
        <f t="shared" si="2"/>
        <v>46</v>
      </c>
      <c r="S77" s="254"/>
      <c r="T77" s="301">
        <f t="shared" si="1"/>
        <v>51575.784974704584</v>
      </c>
      <c r="U77" s="301">
        <f t="shared" si="1"/>
        <v>58045.885470293637</v>
      </c>
      <c r="V77" s="301">
        <f t="shared" si="1"/>
        <v>65568.413975133371</v>
      </c>
      <c r="W77" s="301">
        <f t="shared" si="1"/>
        <v>74330.56447036851</v>
      </c>
      <c r="X77" s="301">
        <f t="shared" si="1"/>
        <v>96501.457230029351</v>
      </c>
      <c r="Y77" s="301">
        <f t="shared" si="3"/>
        <v>126870.5677179966</v>
      </c>
      <c r="Z77" s="301">
        <f t="shared" si="3"/>
        <v>168685.16366334903</v>
      </c>
      <c r="AA77" s="301">
        <f t="shared" si="3"/>
        <v>791795.32053613605</v>
      </c>
      <c r="AB77" s="301">
        <f t="shared" si="3"/>
        <v>74330.56447036851</v>
      </c>
    </row>
    <row r="78" spans="18:28" x14ac:dyDescent="0.25">
      <c r="R78" s="254">
        <f t="shared" si="2"/>
        <v>47</v>
      </c>
      <c r="S78" s="254"/>
      <c r="T78" s="301">
        <f t="shared" si="1"/>
        <v>52833.663899578023</v>
      </c>
      <c r="U78" s="301">
        <f t="shared" si="1"/>
        <v>59626.344324996513</v>
      </c>
      <c r="V78" s="301">
        <f t="shared" si="1"/>
        <v>67551.940184760373</v>
      </c>
      <c r="W78" s="301">
        <f t="shared" si="1"/>
        <v>76817.175759775855</v>
      </c>
      <c r="X78" s="301">
        <f t="shared" si="1"/>
        <v>100396.50094693025</v>
      </c>
      <c r="Y78" s="301">
        <f t="shared" si="3"/>
        <v>132945.39042671648</v>
      </c>
      <c r="Z78" s="301">
        <f t="shared" si="3"/>
        <v>178119.42184651649</v>
      </c>
      <c r="AA78" s="301">
        <f t="shared" si="3"/>
        <v>871974.85258974973</v>
      </c>
      <c r="AB78" s="301">
        <f t="shared" si="3"/>
        <v>76817.175759775855</v>
      </c>
    </row>
    <row r="79" spans="18:28" x14ac:dyDescent="0.25">
      <c r="R79" s="254">
        <f t="shared" si="2"/>
        <v>48</v>
      </c>
      <c r="S79" s="254"/>
      <c r="T79" s="301">
        <f t="shared" si="1"/>
        <v>54097.832219075892</v>
      </c>
      <c r="U79" s="301">
        <f t="shared" si="1"/>
        <v>61222.607768246526</v>
      </c>
      <c r="V79" s="301">
        <f t="shared" si="1"/>
        <v>69565.219287531741</v>
      </c>
      <c r="W79" s="301">
        <f t="shared" si="1"/>
        <v>79353.51927497139</v>
      </c>
      <c r="X79" s="301">
        <f t="shared" si="1"/>
        <v>104408.39597533814</v>
      </c>
      <c r="Y79" s="301">
        <f t="shared" si="3"/>
        <v>139263.20604378515</v>
      </c>
      <c r="Z79" s="301">
        <f t="shared" si="3"/>
        <v>188025.39293884233</v>
      </c>
      <c r="AA79" s="301">
        <f t="shared" si="3"/>
        <v>960172.33784872468</v>
      </c>
      <c r="AB79" s="301">
        <f t="shared" si="3"/>
        <v>79353.51927497139</v>
      </c>
    </row>
    <row r="80" spans="18:28" x14ac:dyDescent="0.25">
      <c r="R80" s="254">
        <f t="shared" si="2"/>
        <v>49</v>
      </c>
      <c r="S80" s="254"/>
      <c r="T80" s="301">
        <f t="shared" si="1"/>
        <v>55368.32138017127</v>
      </c>
      <c r="U80" s="301">
        <f t="shared" si="1"/>
        <v>62834.833845929003</v>
      </c>
      <c r="V80" s="301">
        <f t="shared" si="1"/>
        <v>71608.697576844686</v>
      </c>
      <c r="W80" s="301">
        <f t="shared" si="1"/>
        <v>81940.589660470825</v>
      </c>
      <c r="X80" s="301">
        <f t="shared" si="1"/>
        <v>108540.64785459827</v>
      </c>
      <c r="Y80" s="301">
        <f t="shared" si="3"/>
        <v>145833.73428553657</v>
      </c>
      <c r="Z80" s="301">
        <f t="shared" si="3"/>
        <v>198426.66258578448</v>
      </c>
      <c r="AA80" s="301">
        <f t="shared" si="3"/>
        <v>1057189.5716335974</v>
      </c>
      <c r="AB80" s="301">
        <f t="shared" si="3"/>
        <v>81940.589660470825</v>
      </c>
    </row>
    <row r="81" spans="18:28" x14ac:dyDescent="0.25">
      <c r="R81" s="254">
        <f t="shared" si="2"/>
        <v>50</v>
      </c>
      <c r="S81" s="254"/>
      <c r="T81" s="301">
        <f t="shared" si="1"/>
        <v>56645.162987072028</v>
      </c>
      <c r="U81" s="301">
        <f t="shared" si="1"/>
        <v>64463.182184388315</v>
      </c>
      <c r="V81" s="301">
        <f t="shared" si="1"/>
        <v>73682.828040497363</v>
      </c>
      <c r="W81" s="301">
        <f t="shared" si="1"/>
        <v>84579.401453680228</v>
      </c>
      <c r="X81" s="301">
        <f t="shared" si="1"/>
        <v>112796.8672902362</v>
      </c>
      <c r="Y81" s="301">
        <f t="shared" si="3"/>
        <v>152667.08365695804</v>
      </c>
      <c r="Z81" s="301">
        <f t="shared" si="3"/>
        <v>209347.99571507369</v>
      </c>
      <c r="AA81" s="301">
        <f t="shared" si="3"/>
        <v>1163908.5287969571</v>
      </c>
      <c r="AB81" s="301">
        <f t="shared" si="3"/>
        <v>84579.401453680228</v>
      </c>
    </row>
    <row r="82" spans="18:28" x14ac:dyDescent="0.25">
      <c r="R82" s="254">
        <f t="shared" si="2"/>
        <v>51</v>
      </c>
      <c r="S82" s="254"/>
      <c r="T82" s="301">
        <f t="shared" si="1"/>
        <v>57928.388802007372</v>
      </c>
      <c r="U82" s="301">
        <f t="shared" si="1"/>
        <v>66107.814006232162</v>
      </c>
      <c r="V82" s="301">
        <f t="shared" si="1"/>
        <v>75788.070461104828</v>
      </c>
      <c r="W82" s="301">
        <f t="shared" si="1"/>
        <v>87270.989482753823</v>
      </c>
      <c r="X82" s="301">
        <f t="shared" si="1"/>
        <v>117180.7733089433</v>
      </c>
      <c r="Y82" s="301">
        <f t="shared" si="3"/>
        <v>159773.76700323637</v>
      </c>
      <c r="Z82" s="301">
        <f t="shared" si="3"/>
        <v>220815.39550082738</v>
      </c>
      <c r="AA82" s="301">
        <f t="shared" si="3"/>
        <v>1281299.3816766529</v>
      </c>
      <c r="AB82" s="301">
        <f t="shared" si="3"/>
        <v>87270.989482753823</v>
      </c>
    </row>
    <row r="83" spans="18:28" x14ac:dyDescent="0.25">
      <c r="R83" s="254">
        <f t="shared" si="2"/>
        <v>52</v>
      </c>
      <c r="S83" s="254"/>
      <c r="T83" s="301">
        <f t="shared" si="1"/>
        <v>59218.030746017372</v>
      </c>
      <c r="U83" s="301">
        <f t="shared" si="1"/>
        <v>67768.892146294485</v>
      </c>
      <c r="V83" s="301">
        <f t="shared" si="1"/>
        <v>77924.891518021337</v>
      </c>
      <c r="W83" s="301">
        <f t="shared" si="1"/>
        <v>90016.409272408928</v>
      </c>
      <c r="X83" s="301">
        <f t="shared" si="1"/>
        <v>121696.19650821159</v>
      </c>
      <c r="Y83" s="301">
        <f t="shared" si="3"/>
        <v>167164.71768336583</v>
      </c>
      <c r="Z83" s="301">
        <f t="shared" si="3"/>
        <v>232856.16527586873</v>
      </c>
      <c r="AA83" s="301">
        <f t="shared" si="3"/>
        <v>1410429.3198443183</v>
      </c>
      <c r="AB83" s="301">
        <f t="shared" si="3"/>
        <v>90016.409272408928</v>
      </c>
    </row>
    <row r="84" spans="18:28" x14ac:dyDescent="0.25">
      <c r="R84" s="254">
        <f t="shared" si="2"/>
        <v>53</v>
      </c>
      <c r="S84" s="254"/>
      <c r="T84" s="301">
        <f t="shared" si="1"/>
        <v>60514.12089974741</v>
      </c>
      <c r="U84" s="301">
        <f t="shared" si="1"/>
        <v>69446.581067757405</v>
      </c>
      <c r="V84" s="301">
        <f t="shared" si="1"/>
        <v>80093.764890791645</v>
      </c>
      <c r="W84" s="301">
        <f t="shared" si="1"/>
        <v>92816.737457857074</v>
      </c>
      <c r="X84" s="301">
        <f t="shared" si="1"/>
        <v>126347.08240345791</v>
      </c>
      <c r="Y84" s="301">
        <f t="shared" si="3"/>
        <v>174851.30639070051</v>
      </c>
      <c r="Z84" s="301">
        <f t="shared" si="3"/>
        <v>245498.97353966217</v>
      </c>
      <c r="AA84" s="301">
        <f t="shared" si="3"/>
        <v>1552472.2518287504</v>
      </c>
      <c r="AB84" s="301">
        <f t="shared" si="3"/>
        <v>92816.737457857074</v>
      </c>
    </row>
    <row r="85" spans="18:28" x14ac:dyDescent="0.25">
      <c r="R85" s="254">
        <f t="shared" si="2"/>
        <v>54</v>
      </c>
      <c r="S85" s="254"/>
      <c r="T85" s="301">
        <f t="shared" si="1"/>
        <v>61816.69150424609</v>
      </c>
      <c r="U85" s="301">
        <f t="shared" si="1"/>
        <v>71141.046878435038</v>
      </c>
      <c r="V85" s="301">
        <f t="shared" si="1"/>
        <v>82295.171364153473</v>
      </c>
      <c r="W85" s="301">
        <f t="shared" si="1"/>
        <v>95673.072207014236</v>
      </c>
      <c r="X85" s="301">
        <f t="shared" si="1"/>
        <v>131137.49487556168</v>
      </c>
      <c r="Y85" s="301">
        <f t="shared" si="3"/>
        <v>182845.35864632853</v>
      </c>
      <c r="Z85" s="301">
        <f t="shared" si="3"/>
        <v>258773.92221664524</v>
      </c>
      <c r="AA85" s="301">
        <f t="shared" si="3"/>
        <v>1708719.4770116254</v>
      </c>
      <c r="AB85" s="301">
        <f t="shared" si="3"/>
        <v>95673.072207014236</v>
      </c>
    </row>
    <row r="86" spans="18:28" x14ac:dyDescent="0.25">
      <c r="R86" s="254">
        <f t="shared" si="2"/>
        <v>55</v>
      </c>
      <c r="S86" s="254"/>
      <c r="T86" s="301">
        <f t="shared" si="1"/>
        <v>63125.774961767296</v>
      </c>
      <c r="U86" s="301">
        <f t="shared" si="1"/>
        <v>72852.457347219344</v>
      </c>
      <c r="V86" s="301">
        <f t="shared" si="1"/>
        <v>84529.598934615773</v>
      </c>
      <c r="W86" s="301">
        <f t="shared" si="1"/>
        <v>98586.533651154488</v>
      </c>
      <c r="X86" s="301">
        <f t="shared" si="1"/>
        <v>136071.61972182855</v>
      </c>
      <c r="Y86" s="301">
        <f t="shared" si="3"/>
        <v>191159.17299218161</v>
      </c>
      <c r="Z86" s="301">
        <f t="shared" si="3"/>
        <v>272712.6183274776</v>
      </c>
      <c r="AA86" s="301">
        <f t="shared" si="3"/>
        <v>1880591.4247127885</v>
      </c>
      <c r="AB86" s="301">
        <f t="shared" si="3"/>
        <v>98586.533651154488</v>
      </c>
    </row>
    <row r="87" spans="18:28" x14ac:dyDescent="0.25">
      <c r="R87" s="254">
        <f t="shared" si="2"/>
        <v>56</v>
      </c>
      <c r="S87" s="254"/>
      <c r="T87" s="301">
        <f t="shared" si="1"/>
        <v>64441.403836576144</v>
      </c>
      <c r="U87" s="301">
        <f t="shared" si="1"/>
        <v>74580.981920691585</v>
      </c>
      <c r="V87" s="301">
        <f t="shared" si="1"/>
        <v>86797.542918635008</v>
      </c>
      <c r="W87" s="301">
        <f t="shared" si="1"/>
        <v>101558.26432417758</v>
      </c>
      <c r="X87" s="301">
        <f t="shared" si="1"/>
        <v>141153.76831348334</v>
      </c>
      <c r="Y87" s="301">
        <f t="shared" si="3"/>
        <v>199805.53991186892</v>
      </c>
      <c r="Z87" s="301">
        <f t="shared" si="3"/>
        <v>287348.2492438514</v>
      </c>
      <c r="AA87" s="301">
        <f t="shared" si="3"/>
        <v>2069650.5671840669</v>
      </c>
      <c r="AB87" s="301">
        <f t="shared" si="3"/>
        <v>101558.26432417758</v>
      </c>
    </row>
    <row r="88" spans="18:28" x14ac:dyDescent="0.25">
      <c r="R88" s="254">
        <f t="shared" si="2"/>
        <v>57</v>
      </c>
      <c r="S88" s="254"/>
      <c r="T88" s="301">
        <f t="shared" si="1"/>
        <v>65763.610855758976</v>
      </c>
      <c r="U88" s="301">
        <f t="shared" si="1"/>
        <v>76326.791739898516</v>
      </c>
      <c r="V88" s="301">
        <f t="shared" si="1"/>
        <v>89099.506062414512</v>
      </c>
      <c r="W88" s="301">
        <f t="shared" si="1"/>
        <v>104589.42961066113</v>
      </c>
      <c r="X88" s="301">
        <f t="shared" si="1"/>
        <v>146388.38136288789</v>
      </c>
      <c r="Y88" s="301">
        <f t="shared" si="3"/>
        <v>208797.76150834374</v>
      </c>
      <c r="Z88" s="301">
        <f t="shared" si="3"/>
        <v>302715.66170604399</v>
      </c>
      <c r="AA88" s="301">
        <f t="shared" si="3"/>
        <v>2277615.6239024741</v>
      </c>
      <c r="AB88" s="301">
        <f t="shared" si="3"/>
        <v>104589.42961066113</v>
      </c>
    </row>
    <row r="89" spans="18:28" x14ac:dyDescent="0.25">
      <c r="R89" s="254">
        <f t="shared" si="2"/>
        <v>58</v>
      </c>
      <c r="S89" s="254"/>
      <c r="T89" s="301">
        <f t="shared" si="1"/>
        <v>67092.428910037721</v>
      </c>
      <c r="U89" s="301">
        <f t="shared" si="1"/>
        <v>78090.05965729749</v>
      </c>
      <c r="V89" s="301">
        <f t="shared" si="1"/>
        <v>91435.998653350689</v>
      </c>
      <c r="W89" s="301">
        <f t="shared" si="1"/>
        <v>107681.21820287437</v>
      </c>
      <c r="X89" s="301">
        <f t="shared" si="1"/>
        <v>151780.03280377449</v>
      </c>
      <c r="Y89" s="301">
        <f t="shared" si="3"/>
        <v>218149.6719686774</v>
      </c>
      <c r="Z89" s="301">
        <f t="shared" si="3"/>
        <v>318851.44479134626</v>
      </c>
      <c r="AA89" s="301">
        <f t="shared" si="3"/>
        <v>2506377.1862927214</v>
      </c>
      <c r="AB89" s="301">
        <f t="shared" si="3"/>
        <v>107681.21820287437</v>
      </c>
    </row>
    <row r="90" spans="18:28" x14ac:dyDescent="0.25">
      <c r="R90" s="254">
        <f t="shared" si="2"/>
        <v>59</v>
      </c>
      <c r="S90" s="254"/>
      <c r="T90" s="301">
        <f t="shared" si="1"/>
        <v>68427.891054587861</v>
      </c>
      <c r="U90" s="301">
        <f t="shared" si="1"/>
        <v>79870.960253870406</v>
      </c>
      <c r="V90" s="301">
        <f t="shared" si="1"/>
        <v>93807.538633150936</v>
      </c>
      <c r="W90" s="301">
        <f t="shared" si="1"/>
        <v>110834.84256693182</v>
      </c>
      <c r="X90" s="301">
        <f t="shared" si="1"/>
        <v>157333.43378788774</v>
      </c>
      <c r="Y90" s="301">
        <f t="shared" si="3"/>
        <v>227875.65884742452</v>
      </c>
      <c r="Z90" s="301">
        <f t="shared" si="3"/>
        <v>335794.01703091356</v>
      </c>
      <c r="AA90" s="301">
        <f t="shared" si="3"/>
        <v>2758014.9049219941</v>
      </c>
      <c r="AB90" s="301">
        <f t="shared" si="3"/>
        <v>110834.84256693182</v>
      </c>
    </row>
    <row r="91" spans="18:28" x14ac:dyDescent="0.25">
      <c r="R91" s="254">
        <f t="shared" si="2"/>
        <v>60</v>
      </c>
      <c r="S91" s="254"/>
      <c r="T91" s="301">
        <f t="shared" si="1"/>
        <v>69770.03050986075</v>
      </c>
      <c r="U91" s="301">
        <f t="shared" si="1"/>
        <v>81669.669856409135</v>
      </c>
      <c r="V91" s="301">
        <f t="shared" si="1"/>
        <v>96214.651712648149</v>
      </c>
      <c r="W91" s="301">
        <f t="shared" si="1"/>
        <v>114051.53941827051</v>
      </c>
      <c r="X91" s="301">
        <f t="shared" si="1"/>
        <v>163053.4368015244</v>
      </c>
      <c r="Y91" s="301">
        <f t="shared" si="3"/>
        <v>237990.68520132161</v>
      </c>
      <c r="Z91" s="301">
        <f t="shared" si="3"/>
        <v>353583.71788245917</v>
      </c>
      <c r="AA91" s="301">
        <f t="shared" si="3"/>
        <v>3034816.3954141932</v>
      </c>
      <c r="AB91" s="301">
        <f t="shared" si="3"/>
        <v>114051.53941827051</v>
      </c>
    </row>
    <row r="92" spans="18:28" x14ac:dyDescent="0.25">
      <c r="R92" s="254">
        <f t="shared" si="2"/>
        <v>61</v>
      </c>
      <c r="S92" s="254"/>
      <c r="T92" s="301">
        <f t="shared" si="1"/>
        <v>71118.88066241004</v>
      </c>
      <c r="U92" s="301">
        <f t="shared" si="1"/>
        <v>83486.366554973225</v>
      </c>
      <c r="V92" s="301">
        <f t="shared" si="1"/>
        <v>98657.871488337885</v>
      </c>
      <c r="W92" s="301">
        <f t="shared" si="1"/>
        <v>117332.57020663589</v>
      </c>
      <c r="X92" s="301">
        <f t="shared" ref="X92:AA155" si="4">$G$21*(((1+X$31)^($R92)-1)/(X$31))</f>
        <v>168945.03990557007</v>
      </c>
      <c r="Y92" s="301">
        <f t="shared" si="3"/>
        <v>248510.31260937446</v>
      </c>
      <c r="Z92" s="301">
        <f t="shared" si="3"/>
        <v>372262.90377658221</v>
      </c>
      <c r="AA92" s="301">
        <f t="shared" si="3"/>
        <v>3339298.0349556128</v>
      </c>
      <c r="AB92" s="301">
        <f t="shared" si="3"/>
        <v>117332.57020663589</v>
      </c>
    </row>
    <row r="93" spans="18:28" x14ac:dyDescent="0.25">
      <c r="R93" s="254">
        <f t="shared" si="2"/>
        <v>62</v>
      </c>
      <c r="S93" s="254"/>
      <c r="T93" s="301">
        <f t="shared" si="1"/>
        <v>72474.475065722014</v>
      </c>
      <c r="U93" s="301">
        <f t="shared" si="1"/>
        <v>85321.230220523008</v>
      </c>
      <c r="V93" s="301">
        <f t="shared" si="1"/>
        <v>101137.73956066291</v>
      </c>
      <c r="W93" s="301">
        <f t="shared" si="1"/>
        <v>120679.22161076863</v>
      </c>
      <c r="X93" s="301">
        <f t="shared" si="4"/>
        <v>175013.39110273719</v>
      </c>
      <c r="Y93" s="301">
        <f t="shared" si="3"/>
        <v>259450.72511374939</v>
      </c>
      <c r="Z93" s="301">
        <f t="shared" si="3"/>
        <v>391876.04896541114</v>
      </c>
      <c r="AA93" s="301">
        <f t="shared" si="3"/>
        <v>3674227.838451175</v>
      </c>
      <c r="AB93" s="301">
        <f t="shared" si="3"/>
        <v>120679.22161076863</v>
      </c>
    </row>
    <row r="94" spans="18:28" x14ac:dyDescent="0.25">
      <c r="R94" s="254">
        <f t="shared" si="2"/>
        <v>63</v>
      </c>
      <c r="S94" s="254"/>
      <c r="T94" s="301">
        <f t="shared" si="1"/>
        <v>73836.847441050588</v>
      </c>
      <c r="U94" s="301">
        <f t="shared" si="1"/>
        <v>87174.442522728175</v>
      </c>
      <c r="V94" s="301">
        <f t="shared" si="1"/>
        <v>103654.80565407284</v>
      </c>
      <c r="W94" s="301">
        <f t="shared" si="1"/>
        <v>124092.80604298395</v>
      </c>
      <c r="X94" s="301">
        <f t="shared" si="4"/>
        <v>181263.7928358193</v>
      </c>
      <c r="Y94" s="301">
        <f t="shared" si="3"/>
        <v>270828.7541182994</v>
      </c>
      <c r="Z94" s="301">
        <f t="shared" si="3"/>
        <v>412469.85141368193</v>
      </c>
      <c r="AA94" s="301">
        <f t="shared" si="3"/>
        <v>4042650.6222962923</v>
      </c>
      <c r="AB94" s="301">
        <f t="shared" si="3"/>
        <v>124092.80604298395</v>
      </c>
    </row>
    <row r="95" spans="18:28" x14ac:dyDescent="0.25">
      <c r="R95" s="254">
        <f t="shared" si="2"/>
        <v>64</v>
      </c>
      <c r="S95" s="254"/>
      <c r="T95" s="301">
        <f t="shared" si="1"/>
        <v>75206.031678255807</v>
      </c>
      <c r="U95" s="301">
        <f t="shared" si="1"/>
        <v>89046.186947955488</v>
      </c>
      <c r="V95" s="301">
        <f t="shared" si="1"/>
        <v>106209.62773888391</v>
      </c>
      <c r="W95" s="301">
        <f t="shared" si="1"/>
        <v>127574.66216384366</v>
      </c>
      <c r="X95" s="301">
        <f t="shared" si="4"/>
        <v>187701.70662089388</v>
      </c>
      <c r="Y95" s="301">
        <f t="shared" si="3"/>
        <v>282661.90428303141</v>
      </c>
      <c r="Z95" s="301">
        <f t="shared" si="3"/>
        <v>434093.34398436599</v>
      </c>
      <c r="AA95" s="301">
        <f t="shared" si="3"/>
        <v>4447915.684525921</v>
      </c>
      <c r="AB95" s="301">
        <f t="shared" si="3"/>
        <v>127574.66216384366</v>
      </c>
    </row>
    <row r="96" spans="18:28" x14ac:dyDescent="0.25">
      <c r="R96" s="254">
        <f t="shared" si="2"/>
        <v>65</v>
      </c>
      <c r="S96" s="254"/>
      <c r="T96" s="301">
        <f t="shared" si="1"/>
        <v>76582.061836647059</v>
      </c>
      <c r="U96" s="301">
        <f t="shared" si="1"/>
        <v>90936.648817435052</v>
      </c>
      <c r="V96" s="301">
        <f t="shared" si="1"/>
        <v>108802.77215496716</v>
      </c>
      <c r="W96" s="301">
        <f t="shared" si="1"/>
        <v>131126.15540712056</v>
      </c>
      <c r="X96" s="301">
        <f t="shared" si="4"/>
        <v>194332.75781952069</v>
      </c>
      <c r="Y96" s="301">
        <f t="shared" si="3"/>
        <v>294968.38045435265</v>
      </c>
      <c r="Z96" s="301">
        <f t="shared" si="3"/>
        <v>456798.01118358434</v>
      </c>
      <c r="AA96" s="301">
        <f t="shared" si="3"/>
        <v>4893707.2529785139</v>
      </c>
      <c r="AB96" s="301">
        <f t="shared" si="3"/>
        <v>131126.15540712056</v>
      </c>
    </row>
    <row r="97" spans="18:28" x14ac:dyDescent="0.25">
      <c r="R97" s="254">
        <f t="shared" si="2"/>
        <v>66</v>
      </c>
      <c r="S97" s="254"/>
      <c r="T97" s="301">
        <f t="shared" ref="T97:W160" si="5">$G$21*(((1+T$31)^($R97)-1)/(T$31))</f>
        <v>77964.972145830252</v>
      </c>
      <c r="U97" s="301">
        <f t="shared" si="5"/>
        <v>92846.015305609413</v>
      </c>
      <c r="V97" s="301">
        <f t="shared" si="5"/>
        <v>111434.81373729164</v>
      </c>
      <c r="W97" s="301">
        <f t="shared" si="5"/>
        <v>134748.67851526296</v>
      </c>
      <c r="X97" s="301">
        <f t="shared" si="4"/>
        <v>201162.74055410628</v>
      </c>
      <c r="Y97" s="301">
        <f t="shared" si="3"/>
        <v>307767.11567252682</v>
      </c>
      <c r="Z97" s="301">
        <f t="shared" si="3"/>
        <v>480637.91174276348</v>
      </c>
      <c r="AA97" s="301">
        <f t="shared" si="3"/>
        <v>5384077.9782763654</v>
      </c>
      <c r="AB97" s="301">
        <f t="shared" si="3"/>
        <v>134748.67851526296</v>
      </c>
    </row>
    <row r="98" spans="18:28" x14ac:dyDescent="0.25">
      <c r="R98" s="254">
        <f t="shared" ref="R98:R161" si="6">1+R97</f>
        <v>67</v>
      </c>
      <c r="S98" s="254"/>
      <c r="T98" s="301">
        <f t="shared" si="5"/>
        <v>79354.797006559384</v>
      </c>
      <c r="U98" s="301">
        <f t="shared" si="5"/>
        <v>94774.475458665474</v>
      </c>
      <c r="V98" s="301">
        <f t="shared" si="5"/>
        <v>114106.33594335099</v>
      </c>
      <c r="W98" s="301">
        <f t="shared" si="5"/>
        <v>138443.6520855682</v>
      </c>
      <c r="X98" s="301">
        <f t="shared" si="4"/>
        <v>208197.62277072947</v>
      </c>
      <c r="Y98" s="301">
        <f t="shared" si="3"/>
        <v>321077.80029942782</v>
      </c>
      <c r="Z98" s="301">
        <f t="shared" si="3"/>
        <v>505669.80732990173</v>
      </c>
      <c r="AA98" s="301">
        <f t="shared" si="3"/>
        <v>5923485.7761040041</v>
      </c>
      <c r="AB98" s="301">
        <f t="shared" si="3"/>
        <v>138443.6520855682</v>
      </c>
    </row>
    <row r="99" spans="18:28" x14ac:dyDescent="0.25">
      <c r="R99" s="254">
        <f t="shared" si="6"/>
        <v>68</v>
      </c>
      <c r="S99" s="254"/>
      <c r="T99" s="301">
        <f t="shared" si="5"/>
        <v>80751.570991592118</v>
      </c>
      <c r="U99" s="301">
        <f t="shared" si="5"/>
        <v>96722.220213252163</v>
      </c>
      <c r="V99" s="301">
        <f t="shared" si="5"/>
        <v>116817.93098250122</v>
      </c>
      <c r="W99" s="301">
        <f t="shared" si="5"/>
        <v>142212.52512727957</v>
      </c>
      <c r="X99" s="301">
        <f t="shared" si="4"/>
        <v>215443.55145385134</v>
      </c>
      <c r="Y99" s="301">
        <f t="shared" si="3"/>
        <v>334920.912311405</v>
      </c>
      <c r="Z99" s="301">
        <f t="shared" si="3"/>
        <v>531953.29769639671</v>
      </c>
      <c r="AA99" s="301">
        <f t="shared" si="3"/>
        <v>6516834.3537144037</v>
      </c>
      <c r="AB99" s="301">
        <f t="shared" si="3"/>
        <v>142212.52512727957</v>
      </c>
    </row>
    <row r="100" spans="18:28" x14ac:dyDescent="0.25">
      <c r="R100" s="254">
        <f t="shared" si="6"/>
        <v>69</v>
      </c>
      <c r="S100" s="254"/>
      <c r="T100" s="301">
        <f t="shared" si="5"/>
        <v>82155.328846550008</v>
      </c>
      <c r="U100" s="301">
        <f t="shared" si="5"/>
        <v>98689.442415384663</v>
      </c>
      <c r="V100" s="301">
        <f t="shared" si="5"/>
        <v>119570.19994723873</v>
      </c>
      <c r="W100" s="301">
        <f t="shared" si="5"/>
        <v>146056.77562982519</v>
      </c>
      <c r="X100" s="301">
        <f t="shared" si="4"/>
        <v>222906.8579974669</v>
      </c>
      <c r="Y100" s="301">
        <f t="shared" si="3"/>
        <v>349317.74880386121</v>
      </c>
      <c r="Z100" s="301">
        <f t="shared" si="3"/>
        <v>559550.96258121659</v>
      </c>
      <c r="AA100" s="301">
        <f t="shared" si="3"/>
        <v>7169517.7890858445</v>
      </c>
      <c r="AB100" s="301">
        <f t="shared" si="3"/>
        <v>146056.77562982519</v>
      </c>
    </row>
    <row r="101" spans="18:28" x14ac:dyDescent="0.25">
      <c r="R101" s="254">
        <f t="shared" si="6"/>
        <v>70</v>
      </c>
      <c r="S101" s="254"/>
      <c r="T101" s="301">
        <f t="shared" si="5"/>
        <v>83566.10549078272</v>
      </c>
      <c r="U101" s="301">
        <f t="shared" si="5"/>
        <v>100676.33683953856</v>
      </c>
      <c r="V101" s="301">
        <f t="shared" si="5"/>
        <v>122363.75294644726</v>
      </c>
      <c r="W101" s="301">
        <f t="shared" si="5"/>
        <v>149977.91114242171</v>
      </c>
      <c r="X101" s="301">
        <f t="shared" si="4"/>
        <v>230594.06373739088</v>
      </c>
      <c r="Y101" s="301">
        <f t="shared" si="3"/>
        <v>364290.45875601569</v>
      </c>
      <c r="Z101" s="301">
        <f t="shared" si="3"/>
        <v>588528.51071027736</v>
      </c>
      <c r="AA101" s="301">
        <f t="shared" si="3"/>
        <v>7887469.5679944307</v>
      </c>
      <c r="AB101" s="301">
        <f t="shared" si="3"/>
        <v>149977.91114242171</v>
      </c>
    </row>
    <row r="102" spans="18:28" x14ac:dyDescent="0.25">
      <c r="R102" s="254">
        <f t="shared" si="6"/>
        <v>71</v>
      </c>
      <c r="S102" s="254"/>
      <c r="T102" s="301">
        <f t="shared" si="5"/>
        <v>84983.936018236593</v>
      </c>
      <c r="U102" s="301">
        <f t="shared" si="5"/>
        <v>102683.10020793385</v>
      </c>
      <c r="V102" s="301">
        <f t="shared" si="5"/>
        <v>125199.20924064393</v>
      </c>
      <c r="W102" s="301">
        <f t="shared" si="5"/>
        <v>153977.46936527011</v>
      </c>
      <c r="X102" s="301">
        <f t="shared" si="4"/>
        <v>238511.88564951264</v>
      </c>
      <c r="Y102" s="301">
        <f t="shared" si="3"/>
        <v>379862.07710625627</v>
      </c>
      <c r="Z102" s="301">
        <f t="shared" si="3"/>
        <v>618954.93624579138</v>
      </c>
      <c r="AA102" s="301">
        <f t="shared" si="3"/>
        <v>8677216.5247938745</v>
      </c>
      <c r="AB102" s="301">
        <f t="shared" si="3"/>
        <v>153977.46936527011</v>
      </c>
    </row>
    <row r="103" spans="18:28" x14ac:dyDescent="0.25">
      <c r="R103" s="254">
        <f t="shared" si="6"/>
        <v>72</v>
      </c>
      <c r="S103" s="254"/>
      <c r="T103" s="301">
        <f t="shared" si="5"/>
        <v>86408.855698327738</v>
      </c>
      <c r="U103" s="301">
        <f t="shared" si="5"/>
        <v>104709.93121001327</v>
      </c>
      <c r="V103" s="301">
        <f t="shared" si="5"/>
        <v>128077.19737925359</v>
      </c>
      <c r="W103" s="301">
        <f t="shared" si="5"/>
        <v>158057.0187525755</v>
      </c>
      <c r="X103" s="301">
        <f t="shared" si="4"/>
        <v>246667.24221899797</v>
      </c>
      <c r="Y103" s="301">
        <f t="shared" si="3"/>
        <v>396056.56019050663</v>
      </c>
      <c r="Z103" s="301">
        <f t="shared" si="3"/>
        <v>650902.68305808096</v>
      </c>
      <c r="AA103" s="301">
        <f t="shared" si="3"/>
        <v>9545938.1772732604</v>
      </c>
      <c r="AB103" s="301">
        <f t="shared" si="3"/>
        <v>158057.0187525755</v>
      </c>
    </row>
    <row r="104" spans="18:28" x14ac:dyDescent="0.25">
      <c r="R104" s="254">
        <f t="shared" si="6"/>
        <v>73</v>
      </c>
      <c r="S104" s="254"/>
      <c r="T104" s="301">
        <f t="shared" si="5"/>
        <v>87840.89997681939</v>
      </c>
      <c r="U104" s="301">
        <f t="shared" si="5"/>
        <v>106757.03052211339</v>
      </c>
      <c r="V104" s="301">
        <f t="shared" si="5"/>
        <v>130998.35533994238</v>
      </c>
      <c r="W104" s="301">
        <f t="shared" si="5"/>
        <v>162218.15912762698</v>
      </c>
      <c r="X104" s="301">
        <f t="shared" si="4"/>
        <v>255067.25948556795</v>
      </c>
      <c r="Y104" s="301">
        <f t="shared" si="3"/>
        <v>412898.82259812683</v>
      </c>
      <c r="Z104" s="301">
        <f t="shared" si="3"/>
        <v>684447.81721098488</v>
      </c>
      <c r="AA104" s="301">
        <f t="shared" si="3"/>
        <v>10501531.99500059</v>
      </c>
      <c r="AB104" s="301">
        <f t="shared" si="3"/>
        <v>162218.15912762698</v>
      </c>
    </row>
    <row r="105" spans="18:28" x14ac:dyDescent="0.25">
      <c r="R105" s="254">
        <f t="shared" si="6"/>
        <v>74</v>
      </c>
      <c r="S105" s="254"/>
      <c r="T105" s="301">
        <f t="shared" si="5"/>
        <v>89280.104476703404</v>
      </c>
      <c r="U105" s="301">
        <f t="shared" si="5"/>
        <v>108824.60082733454</v>
      </c>
      <c r="V105" s="301">
        <f t="shared" si="5"/>
        <v>133963.33067004147</v>
      </c>
      <c r="W105" s="301">
        <f t="shared" si="5"/>
        <v>166462.52231017957</v>
      </c>
      <c r="X105" s="301">
        <f t="shared" si="4"/>
        <v>263719.27727013495</v>
      </c>
      <c r="Y105" s="301">
        <f t="shared" si="3"/>
        <v>430414.77550205198</v>
      </c>
      <c r="Z105" s="301">
        <f t="shared" si="3"/>
        <v>719670.20807153417</v>
      </c>
      <c r="AA105" s="301">
        <f t="shared" si="3"/>
        <v>11552685.194500647</v>
      </c>
      <c r="AB105" s="301">
        <f t="shared" si="3"/>
        <v>166462.52231017957</v>
      </c>
    </row>
    <row r="106" spans="18:28" x14ac:dyDescent="0.25">
      <c r="R106" s="254">
        <f t="shared" si="6"/>
        <v>75</v>
      </c>
      <c r="S106" s="254"/>
      <c r="T106" s="301">
        <f t="shared" si="5"/>
        <v>90726.504999086901</v>
      </c>
      <c r="U106" s="301">
        <f t="shared" si="5"/>
        <v>110912.84683560785</v>
      </c>
      <c r="V106" s="301">
        <f t="shared" si="5"/>
        <v>136972.78063009208</v>
      </c>
      <c r="W106" s="301">
        <f t="shared" si="5"/>
        <v>170791.77275638308</v>
      </c>
      <c r="X106" s="301">
        <f t="shared" si="4"/>
        <v>272630.85558823904</v>
      </c>
      <c r="Y106" s="301">
        <f t="shared" si="3"/>
        <v>448631.36652213399</v>
      </c>
      <c r="Z106" s="301">
        <f t="shared" si="3"/>
        <v>756653.71847511095</v>
      </c>
      <c r="AA106" s="301">
        <f t="shared" si="3"/>
        <v>12708953.713950714</v>
      </c>
      <c r="AB106" s="301">
        <f t="shared" si="3"/>
        <v>170791.77275638308</v>
      </c>
    </row>
    <row r="107" spans="18:28" x14ac:dyDescent="0.25">
      <c r="R107" s="254">
        <f t="shared" si="6"/>
        <v>76</v>
      </c>
      <c r="S107" s="254"/>
      <c r="T107" s="301">
        <f t="shared" si="5"/>
        <v>92180.137524082224</v>
      </c>
      <c r="U107" s="301">
        <f t="shared" si="5"/>
        <v>113021.97530396395</v>
      </c>
      <c r="V107" s="301">
        <f t="shared" si="5"/>
        <v>140027.37233954339</v>
      </c>
      <c r="W107" s="301">
        <f t="shared" si="5"/>
        <v>175207.60821151084</v>
      </c>
      <c r="X107" s="301">
        <f t="shared" si="4"/>
        <v>281809.78125588613</v>
      </c>
      <c r="Y107" s="301">
        <f t="shared" si="3"/>
        <v>467576.62118301942</v>
      </c>
      <c r="Z107" s="301">
        <f t="shared" si="3"/>
        <v>795486.40439886635</v>
      </c>
      <c r="AA107" s="301">
        <f t="shared" si="3"/>
        <v>13980849.085345784</v>
      </c>
      <c r="AB107" s="301">
        <f t="shared" si="3"/>
        <v>175207.60821151084</v>
      </c>
    </row>
    <row r="108" spans="18:28" x14ac:dyDescent="0.25">
      <c r="R108" s="254">
        <f t="shared" si="6"/>
        <v>77</v>
      </c>
      <c r="S108" s="254"/>
      <c r="T108" s="301">
        <f t="shared" si="5"/>
        <v>93641.038211702631</v>
      </c>
      <c r="U108" s="301">
        <f t="shared" si="5"/>
        <v>115152.19505700358</v>
      </c>
      <c r="V108" s="301">
        <f t="shared" si="5"/>
        <v>143127.78292463656</v>
      </c>
      <c r="W108" s="301">
        <f t="shared" si="5"/>
        <v>179711.76037574103</v>
      </c>
      <c r="X108" s="301">
        <f t="shared" si="4"/>
        <v>291264.07469356275</v>
      </c>
      <c r="Y108" s="301">
        <f t="shared" si="3"/>
        <v>487279.68603034026</v>
      </c>
      <c r="Z108" s="301">
        <f t="shared" si="3"/>
        <v>836260.72461881</v>
      </c>
      <c r="AA108" s="301">
        <f t="shared" si="3"/>
        <v>15379933.993880365</v>
      </c>
      <c r="AB108" s="301">
        <f t="shared" si="3"/>
        <v>179711.76037574103</v>
      </c>
    </row>
    <row r="109" spans="18:28" x14ac:dyDescent="0.25">
      <c r="R109" s="254">
        <f t="shared" si="6"/>
        <v>78</v>
      </c>
      <c r="S109" s="254"/>
      <c r="T109" s="301">
        <f t="shared" si="5"/>
        <v>95109.243402761087</v>
      </c>
      <c r="U109" s="301">
        <f t="shared" si="5"/>
        <v>117303.71700757365</v>
      </c>
      <c r="V109" s="301">
        <f t="shared" si="5"/>
        <v>146274.69966850607</v>
      </c>
      <c r="W109" s="301">
        <f t="shared" si="5"/>
        <v>184305.99558325586</v>
      </c>
      <c r="X109" s="301">
        <f t="shared" si="4"/>
        <v>301001.99693436967</v>
      </c>
      <c r="Y109" s="301">
        <f t="shared" si="3"/>
        <v>507770.87347155396</v>
      </c>
      <c r="Z109" s="301">
        <f t="shared" si="3"/>
        <v>879073.76084975014</v>
      </c>
      <c r="AA109" s="301">
        <f t="shared" si="3"/>
        <v>16918927.393268406</v>
      </c>
      <c r="AB109" s="301">
        <f t="shared" si="3"/>
        <v>184305.99558325586</v>
      </c>
    </row>
    <row r="110" spans="18:28" x14ac:dyDescent="0.25">
      <c r="R110" s="254">
        <f t="shared" si="6"/>
        <v>79</v>
      </c>
      <c r="S110" s="254"/>
      <c r="T110" s="301">
        <f t="shared" si="5"/>
        <v>96584.789619774805</v>
      </c>
      <c r="U110" s="301">
        <f t="shared" si="5"/>
        <v>119476.75417764932</v>
      </c>
      <c r="V110" s="301">
        <f t="shared" si="5"/>
        <v>149468.82016353359</v>
      </c>
      <c r="W110" s="301">
        <f t="shared" si="5"/>
        <v>188992.1154949209</v>
      </c>
      <c r="X110" s="301">
        <f t="shared" si="4"/>
        <v>311032.05684240075</v>
      </c>
      <c r="Y110" s="301">
        <f t="shared" si="3"/>
        <v>529081.70841041603</v>
      </c>
      <c r="Z110" s="301">
        <f t="shared" si="3"/>
        <v>924027.44889223785</v>
      </c>
      <c r="AA110" s="301">
        <f t="shared" si="3"/>
        <v>18611820.132595245</v>
      </c>
      <c r="AB110" s="301">
        <f t="shared" si="3"/>
        <v>188992.1154949209</v>
      </c>
    </row>
    <row r="111" spans="18:28" x14ac:dyDescent="0.25">
      <c r="R111" s="254">
        <f t="shared" si="6"/>
        <v>80</v>
      </c>
      <c r="S111" s="254"/>
      <c r="T111" s="301">
        <f t="shared" si="5"/>
        <v>98067.713567873667</v>
      </c>
      <c r="U111" s="301">
        <f t="shared" si="5"/>
        <v>121671.52171942589</v>
      </c>
      <c r="V111" s="301">
        <f t="shared" si="5"/>
        <v>152710.85246598657</v>
      </c>
      <c r="W111" s="301">
        <f t="shared" si="5"/>
        <v>193771.95780481937</v>
      </c>
      <c r="X111" s="301">
        <f t="shared" si="4"/>
        <v>321363.01854767272</v>
      </c>
      <c r="Y111" s="301">
        <f t="shared" si="3"/>
        <v>551244.97674683272</v>
      </c>
      <c r="Z111" s="301">
        <f t="shared" si="3"/>
        <v>971228.82133684983</v>
      </c>
      <c r="AA111" s="301">
        <f t="shared" si="3"/>
        <v>20474002.145854767</v>
      </c>
      <c r="AB111" s="301">
        <f t="shared" ref="AB111:AB174" si="7">$G$21*(((1+AB$31)^($R111)-1)/(AB$31))</f>
        <v>193771.95780481937</v>
      </c>
    </row>
    <row r="112" spans="18:28" x14ac:dyDescent="0.25">
      <c r="R112" s="254">
        <f t="shared" si="6"/>
        <v>81</v>
      </c>
      <c r="S112" s="254"/>
      <c r="T112" s="301">
        <f t="shared" si="5"/>
        <v>99558.05213571302</v>
      </c>
      <c r="U112" s="301">
        <f t="shared" si="5"/>
        <v>123888.23693662015</v>
      </c>
      <c r="V112" s="301">
        <f t="shared" si="5"/>
        <v>156001.51525297636</v>
      </c>
      <c r="W112" s="301">
        <f t="shared" si="5"/>
        <v>198647.39696091576</v>
      </c>
      <c r="X112" s="301">
        <f t="shared" si="4"/>
        <v>332003.90910410293</v>
      </c>
      <c r="Y112" s="301">
        <f t="shared" si="4"/>
        <v>574294.77581670613</v>
      </c>
      <c r="Z112" s="301">
        <f t="shared" si="4"/>
        <v>1020790.2624036924</v>
      </c>
      <c r="AA112" s="301">
        <f t="shared" si="4"/>
        <v>22522402.360440247</v>
      </c>
      <c r="AB112" s="301">
        <f t="shared" si="7"/>
        <v>198647.39696091576</v>
      </c>
    </row>
    <row r="113" spans="18:28" x14ac:dyDescent="0.25">
      <c r="R113" s="254">
        <f t="shared" si="6"/>
        <v>82</v>
      </c>
      <c r="S113" s="254"/>
      <c r="T113" s="301">
        <f t="shared" si="5"/>
        <v>101055.84239639151</v>
      </c>
      <c r="U113" s="301">
        <f t="shared" si="5"/>
        <v>126127.11930598639</v>
      </c>
      <c r="V113" s="301">
        <f t="shared" si="5"/>
        <v>159341.53798177099</v>
      </c>
      <c r="W113" s="301">
        <f t="shared" si="5"/>
        <v>203620.34490013405</v>
      </c>
      <c r="X113" s="301">
        <f t="shared" si="4"/>
        <v>342964.02637722599</v>
      </c>
      <c r="Y113" s="301">
        <f t="shared" si="4"/>
        <v>598266.56684937433</v>
      </c>
      <c r="Z113" s="301">
        <f t="shared" si="4"/>
        <v>1072829.775523877</v>
      </c>
      <c r="AA113" s="301">
        <f t="shared" si="4"/>
        <v>24775642.59648427</v>
      </c>
      <c r="AB113" s="301">
        <f t="shared" si="7"/>
        <v>203620.34490013405</v>
      </c>
    </row>
    <row r="114" spans="18:28" x14ac:dyDescent="0.25">
      <c r="R114" s="254">
        <f t="shared" si="6"/>
        <v>83</v>
      </c>
      <c r="S114" s="254"/>
      <c r="T114" s="301">
        <f t="shared" si="5"/>
        <v>102561.12160837346</v>
      </c>
      <c r="U114" s="301">
        <f t="shared" si="5"/>
        <v>128388.3904990462</v>
      </c>
      <c r="V114" s="301">
        <f t="shared" si="5"/>
        <v>162731.6610514975</v>
      </c>
      <c r="W114" s="301">
        <f t="shared" si="5"/>
        <v>208692.75179813671</v>
      </c>
      <c r="X114" s="301">
        <f t="shared" si="4"/>
        <v>354252.94716854271</v>
      </c>
      <c r="Y114" s="301">
        <f t="shared" si="4"/>
        <v>623197.22952334944</v>
      </c>
      <c r="Z114" s="301">
        <f t="shared" si="4"/>
        <v>1127471.2643000707</v>
      </c>
      <c r="AA114" s="301">
        <f t="shared" si="4"/>
        <v>27254206.856132708</v>
      </c>
      <c r="AB114" s="301">
        <f t="shared" si="7"/>
        <v>208692.75179813671</v>
      </c>
    </row>
    <row r="115" spans="18:28" x14ac:dyDescent="0.25">
      <c r="R115" s="254">
        <f t="shared" si="6"/>
        <v>84</v>
      </c>
      <c r="S115" s="254"/>
      <c r="T115" s="301">
        <f t="shared" si="5"/>
        <v>104073.92721641528</v>
      </c>
      <c r="U115" s="301">
        <f t="shared" si="5"/>
        <v>130672.27440403667</v>
      </c>
      <c r="V115" s="301">
        <f t="shared" si="5"/>
        <v>166172.63596726992</v>
      </c>
      <c r="W115" s="301">
        <f t="shared" si="5"/>
        <v>213866.60683409948</v>
      </c>
      <c r="X115" s="301">
        <f t="shared" si="4"/>
        <v>365880.53558359906</v>
      </c>
      <c r="Y115" s="301">
        <f t="shared" si="4"/>
        <v>649125.11870428338</v>
      </c>
      <c r="Z115" s="301">
        <f t="shared" si="4"/>
        <v>1184844.8275150743</v>
      </c>
      <c r="AA115" s="301">
        <f t="shared" si="4"/>
        <v>29980627.541745972</v>
      </c>
      <c r="AB115" s="301">
        <f t="shared" si="7"/>
        <v>213866.60683409948</v>
      </c>
    </row>
    <row r="116" spans="18:28" x14ac:dyDescent="0.25">
      <c r="R116" s="254">
        <f t="shared" si="6"/>
        <v>85</v>
      </c>
      <c r="S116" s="254"/>
      <c r="T116" s="301">
        <f t="shared" si="5"/>
        <v>105594.29685249725</v>
      </c>
      <c r="U116" s="301">
        <f t="shared" si="5"/>
        <v>132978.99714807697</v>
      </c>
      <c r="V116" s="301">
        <f t="shared" si="5"/>
        <v>169665.22550677895</v>
      </c>
      <c r="W116" s="301">
        <f t="shared" si="5"/>
        <v>219143.93897078148</v>
      </c>
      <c r="X116" s="301">
        <f t="shared" si="4"/>
        <v>377856.95165110694</v>
      </c>
      <c r="Y116" s="301">
        <f t="shared" si="4"/>
        <v>676090.12345245481</v>
      </c>
      <c r="Z116" s="301">
        <f t="shared" si="4"/>
        <v>1245087.0688908279</v>
      </c>
      <c r="AA116" s="301">
        <f t="shared" si="4"/>
        <v>32979690.295920577</v>
      </c>
      <c r="AB116" s="301">
        <f t="shared" si="7"/>
        <v>219143.93897078148</v>
      </c>
    </row>
    <row r="117" spans="18:28" x14ac:dyDescent="0.25">
      <c r="R117" s="254">
        <f t="shared" si="6"/>
        <v>86</v>
      </c>
      <c r="S117" s="254"/>
      <c r="T117" s="301">
        <f t="shared" si="5"/>
        <v>107122.26833675969</v>
      </c>
      <c r="U117" s="301">
        <f t="shared" si="5"/>
        <v>135308.78711955782</v>
      </c>
      <c r="V117" s="301">
        <f t="shared" si="5"/>
        <v>173210.20388938059</v>
      </c>
      <c r="W117" s="301">
        <f t="shared" si="5"/>
        <v>224526.81775019714</v>
      </c>
      <c r="X117" s="301">
        <f t="shared" si="4"/>
        <v>390192.66020064021</v>
      </c>
      <c r="Y117" s="301">
        <f t="shared" si="4"/>
        <v>704133.72839055303</v>
      </c>
      <c r="Z117" s="301">
        <f t="shared" si="4"/>
        <v>1308341.4223353693</v>
      </c>
      <c r="AA117" s="301">
        <f t="shared" si="4"/>
        <v>36278659.325512633</v>
      </c>
      <c r="AB117" s="301">
        <f t="shared" si="7"/>
        <v>224526.81775019714</v>
      </c>
    </row>
    <row r="118" spans="18:28" x14ac:dyDescent="0.25">
      <c r="R118" s="254">
        <f t="shared" si="6"/>
        <v>87</v>
      </c>
      <c r="S118" s="254"/>
      <c r="T118" s="301">
        <f t="shared" si="5"/>
        <v>108657.87967844342</v>
      </c>
      <c r="U118" s="301">
        <f t="shared" si="5"/>
        <v>137661.87499075333</v>
      </c>
      <c r="V118" s="301">
        <f t="shared" si="5"/>
        <v>176808.35694772124</v>
      </c>
      <c r="W118" s="301">
        <f t="shared" si="5"/>
        <v>230017.35410520097</v>
      </c>
      <c r="X118" s="301">
        <f t="shared" si="4"/>
        <v>402898.44000665948</v>
      </c>
      <c r="Y118" s="301">
        <f t="shared" si="4"/>
        <v>733299.07752617495</v>
      </c>
      <c r="Z118" s="301">
        <f t="shared" si="4"/>
        <v>1374758.493452138</v>
      </c>
      <c r="AA118" s="301">
        <f t="shared" si="4"/>
        <v>39907525.258063905</v>
      </c>
      <c r="AB118" s="301">
        <f t="shared" si="7"/>
        <v>230017.35410520097</v>
      </c>
    </row>
    <row r="119" spans="18:28" x14ac:dyDescent="0.25">
      <c r="R119" s="254">
        <f t="shared" si="6"/>
        <v>88</v>
      </c>
      <c r="S119" s="254"/>
      <c r="T119" s="301">
        <f t="shared" si="5"/>
        <v>110201.16907683568</v>
      </c>
      <c r="U119" s="301">
        <f t="shared" si="5"/>
        <v>140038.49374066095</v>
      </c>
      <c r="V119" s="301">
        <f t="shared" si="5"/>
        <v>180460.48230193704</v>
      </c>
      <c r="W119" s="301">
        <f t="shared" si="5"/>
        <v>235617.70118730501</v>
      </c>
      <c r="X119" s="301">
        <f t="shared" si="4"/>
        <v>415985.39320685918</v>
      </c>
      <c r="Y119" s="301">
        <f t="shared" si="4"/>
        <v>763631.04062722204</v>
      </c>
      <c r="Z119" s="301">
        <f t="shared" si="4"/>
        <v>1444496.4181247447</v>
      </c>
      <c r="AA119" s="301">
        <f t="shared" si="4"/>
        <v>43899277.783870287</v>
      </c>
      <c r="AB119" s="301">
        <f t="shared" si="7"/>
        <v>235617.70118730501</v>
      </c>
    </row>
    <row r="120" spans="18:28" x14ac:dyDescent="0.25">
      <c r="R120" s="254">
        <f t="shared" si="6"/>
        <v>89</v>
      </c>
      <c r="S120" s="254"/>
      <c r="T120" s="301">
        <f t="shared" si="5"/>
        <v>111752.17492221981</v>
      </c>
      <c r="U120" s="301">
        <f t="shared" si="5"/>
        <v>142438.87867806762</v>
      </c>
      <c r="V120" s="301">
        <f t="shared" si="5"/>
        <v>184167.3895364661</v>
      </c>
      <c r="W120" s="301">
        <f t="shared" si="5"/>
        <v>241330.05521105116</v>
      </c>
      <c r="X120" s="301">
        <f t="shared" si="4"/>
        <v>429464.95500306494</v>
      </c>
      <c r="Y120" s="301">
        <f t="shared" si="4"/>
        <v>795176.28225231112</v>
      </c>
      <c r="Z120" s="301">
        <f t="shared" si="4"/>
        <v>1517721.2390309821</v>
      </c>
      <c r="AA120" s="301">
        <f t="shared" si="4"/>
        <v>48290205.562257335</v>
      </c>
      <c r="AB120" s="301">
        <f t="shared" si="7"/>
        <v>241330.05521105116</v>
      </c>
    </row>
    <row r="121" spans="18:28" x14ac:dyDescent="0.25">
      <c r="R121" s="254">
        <f t="shared" si="6"/>
        <v>90</v>
      </c>
      <c r="S121" s="254"/>
      <c r="T121" s="301">
        <f t="shared" si="5"/>
        <v>113310.93579683085</v>
      </c>
      <c r="U121" s="301">
        <f t="shared" si="5"/>
        <v>144863.26746484826</v>
      </c>
      <c r="V121" s="301">
        <f t="shared" si="5"/>
        <v>187929.90037951304</v>
      </c>
      <c r="W121" s="301">
        <f t="shared" si="5"/>
        <v>247156.65631527218</v>
      </c>
      <c r="X121" s="301">
        <f t="shared" si="4"/>
        <v>443348.90365315694</v>
      </c>
      <c r="Y121" s="301">
        <f t="shared" si="4"/>
        <v>827983.33354240353</v>
      </c>
      <c r="Z121" s="301">
        <f t="shared" si="4"/>
        <v>1594607.3009825312</v>
      </c>
      <c r="AA121" s="301">
        <f t="shared" si="4"/>
        <v>53120226.118483067</v>
      </c>
      <c r="AB121" s="301">
        <f t="shared" si="7"/>
        <v>247156.65631527218</v>
      </c>
    </row>
    <row r="122" spans="18:28" x14ac:dyDescent="0.25">
      <c r="R122" s="254">
        <f t="shared" si="6"/>
        <v>91</v>
      </c>
      <c r="S122" s="254"/>
      <c r="T122" s="301">
        <f t="shared" si="5"/>
        <v>114877.49047581496</v>
      </c>
      <c r="U122" s="301">
        <f t="shared" si="5"/>
        <v>147311.90013949669</v>
      </c>
      <c r="V122" s="301">
        <f t="shared" si="5"/>
        <v>191748.84888520572</v>
      </c>
      <c r="W122" s="301">
        <f t="shared" si="5"/>
        <v>253099.78944157757</v>
      </c>
      <c r="X122" s="301">
        <f t="shared" si="4"/>
        <v>457649.37076275155</v>
      </c>
      <c r="Y122" s="301">
        <f t="shared" si="4"/>
        <v>862102.66688409972</v>
      </c>
      <c r="Z122" s="301">
        <f t="shared" si="4"/>
        <v>1675337.666031658</v>
      </c>
      <c r="AA122" s="301">
        <f t="shared" si="4"/>
        <v>58433248.730331376</v>
      </c>
      <c r="AB122" s="301">
        <f t="shared" si="7"/>
        <v>253099.78944157757</v>
      </c>
    </row>
    <row r="123" spans="18:28" x14ac:dyDescent="0.25">
      <c r="R123" s="254">
        <f t="shared" si="6"/>
        <v>92</v>
      </c>
      <c r="S123" s="254"/>
      <c r="T123" s="301">
        <f t="shared" si="5"/>
        <v>116451.87792819395</v>
      </c>
      <c r="U123" s="301">
        <f t="shared" si="5"/>
        <v>149785.01914089164</v>
      </c>
      <c r="V123" s="301">
        <f t="shared" si="5"/>
        <v>195625.08161848373</v>
      </c>
      <c r="W123" s="301">
        <f t="shared" si="5"/>
        <v>259161.78523040918</v>
      </c>
      <c r="X123" s="301">
        <f t="shared" si="4"/>
        <v>472378.85188563418</v>
      </c>
      <c r="Y123" s="301">
        <f t="shared" si="4"/>
        <v>897586.77355946379</v>
      </c>
      <c r="Z123" s="301">
        <f t="shared" si="4"/>
        <v>1760104.5493332406</v>
      </c>
      <c r="AA123" s="301">
        <f t="shared" si="4"/>
        <v>64277573.603364512</v>
      </c>
      <c r="AB123" s="301">
        <f t="shared" si="7"/>
        <v>259161.78523040918</v>
      </c>
    </row>
    <row r="124" spans="18:28" x14ac:dyDescent="0.25">
      <c r="R124" s="254">
        <f t="shared" si="6"/>
        <v>93</v>
      </c>
      <c r="S124" s="254"/>
      <c r="T124" s="301">
        <f t="shared" si="5"/>
        <v>118034.13731783489</v>
      </c>
      <c r="U124" s="301">
        <f t="shared" si="5"/>
        <v>152282.86933230059</v>
      </c>
      <c r="V124" s="301">
        <f t="shared" si="5"/>
        <v>199559.45784276098</v>
      </c>
      <c r="W124" s="301">
        <f t="shared" si="5"/>
        <v>265345.02093501732</v>
      </c>
      <c r="X124" s="301">
        <f t="shared" si="4"/>
        <v>487550.21744220314</v>
      </c>
      <c r="Y124" s="301">
        <f t="shared" si="4"/>
        <v>934490.24450184254</v>
      </c>
      <c r="Z124" s="301">
        <f t="shared" si="4"/>
        <v>1849109.776799903</v>
      </c>
      <c r="AA124" s="301">
        <f t="shared" si="4"/>
        <v>70706330.963700965</v>
      </c>
      <c r="AB124" s="301">
        <f t="shared" si="7"/>
        <v>265345.02093501732</v>
      </c>
    </row>
    <row r="125" spans="18:28" x14ac:dyDescent="0.25">
      <c r="R125" s="254">
        <f t="shared" si="6"/>
        <v>94</v>
      </c>
      <c r="S125" s="254"/>
      <c r="T125" s="301">
        <f t="shared" si="5"/>
        <v>119624.30800442401</v>
      </c>
      <c r="U125" s="301">
        <f t="shared" si="5"/>
        <v>154805.69802562366</v>
      </c>
      <c r="V125" s="301">
        <f t="shared" si="5"/>
        <v>203552.84971040231</v>
      </c>
      <c r="W125" s="301">
        <f t="shared" si="5"/>
        <v>271651.92135371774</v>
      </c>
      <c r="X125" s="301">
        <f t="shared" si="4"/>
        <v>503176.72396546922</v>
      </c>
      <c r="Y125" s="301">
        <f t="shared" si="4"/>
        <v>972869.85428191593</v>
      </c>
      <c r="Z125" s="301">
        <f t="shared" si="4"/>
        <v>1942565.2656398974</v>
      </c>
      <c r="AA125" s="301">
        <f t="shared" si="4"/>
        <v>77777964.060071081</v>
      </c>
      <c r="AB125" s="301">
        <f t="shared" si="7"/>
        <v>271651.92135371774</v>
      </c>
    </row>
    <row r="126" spans="18:28" x14ac:dyDescent="0.25">
      <c r="R126" s="254">
        <f t="shared" si="6"/>
        <v>95</v>
      </c>
      <c r="S126" s="254"/>
      <c r="T126" s="301">
        <f t="shared" si="5"/>
        <v>121222.42954444604</v>
      </c>
      <c r="U126" s="301">
        <f t="shared" si="5"/>
        <v>157353.75500587979</v>
      </c>
      <c r="V126" s="301">
        <f t="shared" si="5"/>
        <v>207606.14245605833</v>
      </c>
      <c r="W126" s="301">
        <f t="shared" si="5"/>
        <v>278084.95978079195</v>
      </c>
      <c r="X126" s="301">
        <f t="shared" si="4"/>
        <v>519272.02568443329</v>
      </c>
      <c r="Y126" s="301">
        <f t="shared" si="4"/>
        <v>1012784.6484531928</v>
      </c>
      <c r="Z126" s="301">
        <f t="shared" si="4"/>
        <v>2040693.5289218931</v>
      </c>
      <c r="AA126" s="301">
        <f t="shared" si="4"/>
        <v>85556760.466078192</v>
      </c>
      <c r="AB126" s="301">
        <f t="shared" si="7"/>
        <v>278084.95978079195</v>
      </c>
    </row>
    <row r="127" spans="18:28" x14ac:dyDescent="0.25">
      <c r="R127" s="254">
        <f t="shared" si="6"/>
        <v>96</v>
      </c>
      <c r="S127" s="254"/>
      <c r="T127" s="301">
        <f t="shared" si="5"/>
        <v>122828.54169216826</v>
      </c>
      <c r="U127" s="301">
        <f t="shared" si="5"/>
        <v>159927.29255593865</v>
      </c>
      <c r="V127" s="301">
        <f t="shared" si="5"/>
        <v>211720.23459289919</v>
      </c>
      <c r="W127" s="301">
        <f t="shared" si="5"/>
        <v>284646.6589764079</v>
      </c>
      <c r="X127" s="301">
        <f t="shared" si="4"/>
        <v>535850.18645496632</v>
      </c>
      <c r="Y127" s="301">
        <f t="shared" si="4"/>
        <v>1054296.0343913205</v>
      </c>
      <c r="Z127" s="301">
        <f t="shared" si="4"/>
        <v>2143728.2053679875</v>
      </c>
      <c r="AA127" s="301">
        <f t="shared" si="4"/>
        <v>94113436.512686014</v>
      </c>
      <c r="AB127" s="301">
        <f t="shared" si="7"/>
        <v>284646.6589764079</v>
      </c>
    </row>
    <row r="128" spans="18:28" x14ac:dyDescent="0.25">
      <c r="R128" s="254">
        <f t="shared" si="6"/>
        <v>97</v>
      </c>
      <c r="S128" s="254"/>
      <c r="T128" s="301">
        <f t="shared" si="5"/>
        <v>124442.68440062905</v>
      </c>
      <c r="U128" s="301">
        <f t="shared" si="5"/>
        <v>162526.56548149808</v>
      </c>
      <c r="V128" s="301">
        <f t="shared" si="5"/>
        <v>215896.03811179259</v>
      </c>
      <c r="W128" s="301">
        <f t="shared" si="5"/>
        <v>291339.59215593612</v>
      </c>
      <c r="X128" s="301">
        <f t="shared" si="4"/>
        <v>552925.69204861519</v>
      </c>
      <c r="Y128" s="301">
        <f t="shared" si="4"/>
        <v>1097467.8757669732</v>
      </c>
      <c r="Z128" s="301">
        <f t="shared" si="4"/>
        <v>2251914.6156363869</v>
      </c>
      <c r="AA128" s="301">
        <f t="shared" si="4"/>
        <v>103525780.16395463</v>
      </c>
      <c r="AB128" s="301">
        <f t="shared" si="7"/>
        <v>291339.59215593612</v>
      </c>
    </row>
    <row r="129" spans="18:28" x14ac:dyDescent="0.25">
      <c r="R129" s="254">
        <f t="shared" si="6"/>
        <v>98</v>
      </c>
      <c r="S129" s="254"/>
      <c r="T129" s="301">
        <f t="shared" si="5"/>
        <v>126064.89782263215</v>
      </c>
      <c r="U129" s="301">
        <f t="shared" si="5"/>
        <v>165151.83113631301</v>
      </c>
      <c r="V129" s="301">
        <f t="shared" si="5"/>
        <v>220134.47868346947</v>
      </c>
      <c r="W129" s="301">
        <f t="shared" si="5"/>
        <v>298166.38399905473</v>
      </c>
      <c r="X129" s="301">
        <f t="shared" si="4"/>
        <v>570513.46281007363</v>
      </c>
      <c r="Y129" s="301">
        <f t="shared" si="4"/>
        <v>1142366.5907976525</v>
      </c>
      <c r="Z129" s="301">
        <f t="shared" si="4"/>
        <v>2365510.3464182061</v>
      </c>
      <c r="AA129" s="301">
        <f t="shared" si="4"/>
        <v>113879358.1803501</v>
      </c>
      <c r="AB129" s="301">
        <f t="shared" si="7"/>
        <v>298166.38399905473</v>
      </c>
    </row>
    <row r="130" spans="18:28" x14ac:dyDescent="0.25">
      <c r="R130" s="254">
        <f t="shared" si="6"/>
        <v>99</v>
      </c>
      <c r="S130" s="254"/>
      <c r="T130" s="301">
        <f t="shared" si="5"/>
        <v>127695.2223117453</v>
      </c>
      <c r="U130" s="301">
        <f t="shared" si="5"/>
        <v>167803.3494476761</v>
      </c>
      <c r="V130" s="301">
        <f t="shared" si="5"/>
        <v>224436.49586372153</v>
      </c>
      <c r="W130" s="301">
        <f t="shared" si="5"/>
        <v>305129.71167903586</v>
      </c>
      <c r="X130" s="301">
        <f t="shared" si="4"/>
        <v>588628.86669437587</v>
      </c>
      <c r="Y130" s="301">
        <f t="shared" si="4"/>
        <v>1189061.2544295585</v>
      </c>
      <c r="Z130" s="301">
        <f t="shared" si="4"/>
        <v>2484785.8637391175</v>
      </c>
      <c r="AA130" s="301">
        <f t="shared" si="4"/>
        <v>125268293.99838513</v>
      </c>
      <c r="AB130" s="301">
        <f t="shared" si="7"/>
        <v>305129.71167903586</v>
      </c>
    </row>
    <row r="131" spans="18:28" x14ac:dyDescent="0.25">
      <c r="R131" s="254">
        <f t="shared" si="6"/>
        <v>100</v>
      </c>
      <c r="S131" s="254"/>
      <c r="T131" s="301">
        <f t="shared" si="5"/>
        <v>129333.6984233039</v>
      </c>
      <c r="U131" s="301">
        <f t="shared" si="5"/>
        <v>170481.38294215288</v>
      </c>
      <c r="V131" s="301">
        <f t="shared" si="5"/>
        <v>228803.04330167724</v>
      </c>
      <c r="W131" s="301">
        <f t="shared" si="5"/>
        <v>312232.30591261655</v>
      </c>
      <c r="X131" s="301">
        <f t="shared" si="4"/>
        <v>607287.73269520723</v>
      </c>
      <c r="Y131" s="301">
        <f t="shared" si="4"/>
        <v>1237623.7046067407</v>
      </c>
      <c r="Z131" s="301">
        <f t="shared" si="4"/>
        <v>2610025.1569260722</v>
      </c>
      <c r="AA131" s="301">
        <f t="shared" si="4"/>
        <v>137796123.39822364</v>
      </c>
      <c r="AB131" s="301">
        <f t="shared" si="7"/>
        <v>312232.30591261655</v>
      </c>
    </row>
    <row r="132" spans="18:28" x14ac:dyDescent="0.25">
      <c r="R132" s="254">
        <f t="shared" si="6"/>
        <v>101</v>
      </c>
      <c r="S132" s="254"/>
      <c r="T132" s="301">
        <f t="shared" si="5"/>
        <v>130980.36691542038</v>
      </c>
      <c r="U132" s="301">
        <f t="shared" si="5"/>
        <v>173186.19677157444</v>
      </c>
      <c r="V132" s="301">
        <f t="shared" si="5"/>
        <v>233235.08895120237</v>
      </c>
      <c r="W132" s="301">
        <f t="shared" si="5"/>
        <v>319476.95203086891</v>
      </c>
      <c r="X132" s="301">
        <f t="shared" si="4"/>
        <v>626506.3646760633</v>
      </c>
      <c r="Y132" s="301">
        <f t="shared" si="4"/>
        <v>1288128.6527910109</v>
      </c>
      <c r="Z132" s="301">
        <f t="shared" si="4"/>
        <v>2741526.414772376</v>
      </c>
      <c r="AA132" s="301">
        <f t="shared" si="4"/>
        <v>151576735.73804599</v>
      </c>
      <c r="AB132" s="301">
        <f t="shared" si="7"/>
        <v>319476.95203086891</v>
      </c>
    </row>
    <row r="133" spans="18:28" x14ac:dyDescent="0.25">
      <c r="R133" s="254">
        <f t="shared" si="6"/>
        <v>102</v>
      </c>
      <c r="S133" s="254"/>
      <c r="T133" s="301">
        <f t="shared" si="5"/>
        <v>132635.26874999743</v>
      </c>
      <c r="U133" s="301">
        <f t="shared" si="5"/>
        <v>175918.05873929019</v>
      </c>
      <c r="V133" s="301">
        <f t="shared" si="5"/>
        <v>237733.61528547033</v>
      </c>
      <c r="W133" s="301">
        <f t="shared" si="5"/>
        <v>326866.49107148632</v>
      </c>
      <c r="X133" s="301">
        <f t="shared" si="4"/>
        <v>646301.55561634526</v>
      </c>
      <c r="Y133" s="301">
        <f t="shared" si="4"/>
        <v>1340653.7989026511</v>
      </c>
      <c r="Z133" s="301">
        <f t="shared" si="4"/>
        <v>2879602.7355109947</v>
      </c>
      <c r="AA133" s="301">
        <f t="shared" si="4"/>
        <v>166735409.31185061</v>
      </c>
      <c r="AB133" s="301">
        <f t="shared" si="7"/>
        <v>326866.49107148632</v>
      </c>
    </row>
    <row r="134" spans="18:28" x14ac:dyDescent="0.25">
      <c r="R134" s="254">
        <f t="shared" si="6"/>
        <v>103</v>
      </c>
      <c r="S134" s="254"/>
      <c r="T134" s="301">
        <f t="shared" si="5"/>
        <v>134298.4450937474</v>
      </c>
      <c r="U134" s="301">
        <f t="shared" si="5"/>
        <v>178677.23932668302</v>
      </c>
      <c r="V134" s="301">
        <f t="shared" si="5"/>
        <v>242299.61951475238</v>
      </c>
      <c r="W134" s="301">
        <f t="shared" si="5"/>
        <v>334403.82089291594</v>
      </c>
      <c r="X134" s="301">
        <f t="shared" si="4"/>
        <v>666690.60228483565</v>
      </c>
      <c r="Y134" s="301">
        <f t="shared" si="4"/>
        <v>1395279.9508587571</v>
      </c>
      <c r="Z134" s="301">
        <f t="shared" si="4"/>
        <v>3024582.8722865451</v>
      </c>
      <c r="AA134" s="301">
        <f t="shared" si="4"/>
        <v>183409950.2430357</v>
      </c>
      <c r="AB134" s="301">
        <f t="shared" si="7"/>
        <v>334403.82089291594</v>
      </c>
    </row>
    <row r="135" spans="18:28" x14ac:dyDescent="0.25">
      <c r="R135" s="254">
        <f t="shared" si="6"/>
        <v>104</v>
      </c>
      <c r="S135" s="254"/>
      <c r="T135" s="301">
        <f t="shared" si="5"/>
        <v>135969.93731921611</v>
      </c>
      <c r="U135" s="301">
        <f t="shared" si="5"/>
        <v>181464.01171994992</v>
      </c>
      <c r="V135" s="301">
        <f t="shared" si="5"/>
        <v>246934.11380747362</v>
      </c>
      <c r="W135" s="301">
        <f t="shared" si="5"/>
        <v>342091.89731077437</v>
      </c>
      <c r="X135" s="301">
        <f t="shared" si="4"/>
        <v>687691.32035338052</v>
      </c>
      <c r="Y135" s="301">
        <f t="shared" si="4"/>
        <v>1452091.1488931079</v>
      </c>
      <c r="Z135" s="301">
        <f t="shared" si="4"/>
        <v>3176812.0159008717</v>
      </c>
      <c r="AA135" s="301">
        <f t="shared" si="4"/>
        <v>201751945.26733926</v>
      </c>
      <c r="AB135" s="301">
        <f t="shared" si="7"/>
        <v>342091.89731077437</v>
      </c>
    </row>
    <row r="136" spans="18:28" x14ac:dyDescent="0.25">
      <c r="R136" s="254">
        <f t="shared" si="6"/>
        <v>105</v>
      </c>
      <c r="S136" s="254"/>
      <c r="T136" s="301">
        <f t="shared" si="5"/>
        <v>137649.78700581213</v>
      </c>
      <c r="U136" s="301">
        <f t="shared" si="5"/>
        <v>184278.65183714943</v>
      </c>
      <c r="V136" s="301">
        <f t="shared" si="5"/>
        <v>251638.12551458567</v>
      </c>
      <c r="W136" s="301">
        <f t="shared" si="5"/>
        <v>349933.73525698984</v>
      </c>
      <c r="X136" s="301">
        <f t="shared" si="4"/>
        <v>709322.0599639822</v>
      </c>
      <c r="Y136" s="301">
        <f t="shared" si="4"/>
        <v>1511174.7948488318</v>
      </c>
      <c r="Z136" s="301">
        <f t="shared" si="4"/>
        <v>3336652.6166959158</v>
      </c>
      <c r="AA136" s="301">
        <f t="shared" si="4"/>
        <v>221928139.79407322</v>
      </c>
      <c r="AB136" s="301">
        <f t="shared" si="7"/>
        <v>349933.73525698984</v>
      </c>
    </row>
    <row r="137" spans="18:28" x14ac:dyDescent="0.25">
      <c r="R137" s="254">
        <f t="shared" si="6"/>
        <v>106</v>
      </c>
      <c r="S137" s="254"/>
      <c r="T137" s="301">
        <f t="shared" si="5"/>
        <v>139338.0359408411</v>
      </c>
      <c r="U137" s="301">
        <f t="shared" si="5"/>
        <v>187121.43835552098</v>
      </c>
      <c r="V137" s="301">
        <f t="shared" si="5"/>
        <v>256412.69739730444</v>
      </c>
      <c r="W137" s="301">
        <f t="shared" si="5"/>
        <v>357932.40996212955</v>
      </c>
      <c r="X137" s="301">
        <f t="shared" si="4"/>
        <v>731601.72176290164</v>
      </c>
      <c r="Y137" s="301">
        <f t="shared" si="4"/>
        <v>1572621.7866427852</v>
      </c>
      <c r="Z137" s="301">
        <f t="shared" si="4"/>
        <v>3504485.2475307118</v>
      </c>
      <c r="AA137" s="301">
        <f t="shared" si="4"/>
        <v>244121953.77348053</v>
      </c>
      <c r="AB137" s="301">
        <f t="shared" si="7"/>
        <v>357932.40996212955</v>
      </c>
    </row>
    <row r="138" spans="18:28" x14ac:dyDescent="0.25">
      <c r="R138" s="254">
        <f t="shared" si="6"/>
        <v>107</v>
      </c>
      <c r="S138" s="254"/>
      <c r="T138" s="301">
        <f t="shared" si="5"/>
        <v>141034.72612054533</v>
      </c>
      <c r="U138" s="301">
        <f t="shared" si="5"/>
        <v>189992.65273907612</v>
      </c>
      <c r="V138" s="301">
        <f t="shared" si="5"/>
        <v>261258.88785826397</v>
      </c>
      <c r="W138" s="301">
        <f t="shared" si="5"/>
        <v>366091.0581613722</v>
      </c>
      <c r="X138" s="301">
        <f t="shared" si="4"/>
        <v>754549.77341578866</v>
      </c>
      <c r="Y138" s="301">
        <f t="shared" si="4"/>
        <v>1636526.6581084966</v>
      </c>
      <c r="Z138" s="301">
        <f t="shared" si="4"/>
        <v>3680709.5099072475</v>
      </c>
      <c r="AA138" s="301">
        <f t="shared" si="4"/>
        <v>268535149.15082866</v>
      </c>
      <c r="AB138" s="301">
        <f t="shared" si="7"/>
        <v>366091.0581613722</v>
      </c>
    </row>
    <row r="139" spans="18:28" x14ac:dyDescent="0.25">
      <c r="R139" s="254">
        <f t="shared" si="6"/>
        <v>108</v>
      </c>
      <c r="S139" s="254"/>
      <c r="T139" s="301">
        <f t="shared" si="5"/>
        <v>142739.89975114792</v>
      </c>
      <c r="U139" s="301">
        <f t="shared" si="5"/>
        <v>192892.5792664669</v>
      </c>
      <c r="V139" s="301">
        <f t="shared" si="5"/>
        <v>266177.77117613779</v>
      </c>
      <c r="W139" s="301">
        <f t="shared" si="5"/>
        <v>374412.87932459963</v>
      </c>
      <c r="X139" s="301">
        <f t="shared" si="4"/>
        <v>778186.26661826216</v>
      </c>
      <c r="Y139" s="301">
        <f t="shared" si="4"/>
        <v>1702987.7244328368</v>
      </c>
      <c r="Z139" s="301">
        <f t="shared" si="4"/>
        <v>3865744.9854026097</v>
      </c>
      <c r="AA139" s="301">
        <f t="shared" si="4"/>
        <v>295389664.06591147</v>
      </c>
      <c r="AB139" s="301">
        <f t="shared" si="7"/>
        <v>374412.87932459963</v>
      </c>
    </row>
    <row r="140" spans="18:28" x14ac:dyDescent="0.25">
      <c r="R140" s="254">
        <f t="shared" si="6"/>
        <v>109</v>
      </c>
      <c r="S140" s="254"/>
      <c r="T140" s="301">
        <f t="shared" si="5"/>
        <v>144453.59924990358</v>
      </c>
      <c r="U140" s="301">
        <f t="shared" si="5"/>
        <v>195821.5050591316</v>
      </c>
      <c r="V140" s="301">
        <f t="shared" si="5"/>
        <v>271170.43774377985</v>
      </c>
      <c r="W140" s="301">
        <f t="shared" si="5"/>
        <v>382901.13691109163</v>
      </c>
      <c r="X140" s="301">
        <f t="shared" si="4"/>
        <v>802531.8546168101</v>
      </c>
      <c r="Y140" s="301">
        <f t="shared" si="4"/>
        <v>1772107.2334101503</v>
      </c>
      <c r="Z140" s="301">
        <f t="shared" si="4"/>
        <v>4060032.2346727406</v>
      </c>
      <c r="AA140" s="301">
        <f t="shared" si="4"/>
        <v>324929630.47250271</v>
      </c>
      <c r="AB140" s="301">
        <f t="shared" si="7"/>
        <v>382901.13691109163</v>
      </c>
    </row>
    <row r="141" spans="18:28" x14ac:dyDescent="0.25">
      <c r="R141" s="254">
        <f t="shared" si="6"/>
        <v>110</v>
      </c>
      <c r="S141" s="254"/>
      <c r="T141" s="301">
        <f t="shared" si="5"/>
        <v>146175.8672461531</v>
      </c>
      <c r="U141" s="301">
        <f t="shared" si="5"/>
        <v>198779.72010972296</v>
      </c>
      <c r="V141" s="301">
        <f t="shared" si="5"/>
        <v>276237.99430993648</v>
      </c>
      <c r="W141" s="301">
        <f t="shared" si="5"/>
        <v>391559.15964931349</v>
      </c>
      <c r="X141" s="301">
        <f t="shared" si="4"/>
        <v>827607.81025531434</v>
      </c>
      <c r="Y141" s="301">
        <f t="shared" si="4"/>
        <v>1843991.5227465564</v>
      </c>
      <c r="Z141" s="301">
        <f t="shared" si="4"/>
        <v>4264033.846406376</v>
      </c>
      <c r="AA141" s="301">
        <f t="shared" si="4"/>
        <v>357423593.51975304</v>
      </c>
      <c r="AB141" s="301">
        <f t="shared" si="7"/>
        <v>391559.15964931349</v>
      </c>
    </row>
    <row r="142" spans="18:28" x14ac:dyDescent="0.25">
      <c r="R142" s="254">
        <f t="shared" si="6"/>
        <v>111</v>
      </c>
      <c r="S142" s="254"/>
      <c r="T142" s="301">
        <f t="shared" si="5"/>
        <v>147906.74658238373</v>
      </c>
      <c r="U142" s="301">
        <f t="shared" si="5"/>
        <v>201767.51731082005</v>
      </c>
      <c r="V142" s="301">
        <f t="shared" si="5"/>
        <v>281381.56422458554</v>
      </c>
      <c r="W142" s="301">
        <f t="shared" si="5"/>
        <v>400390.34284229955</v>
      </c>
      <c r="X142" s="301">
        <f t="shared" si="4"/>
        <v>853436.0445629739</v>
      </c>
      <c r="Y142" s="301">
        <f t="shared" si="4"/>
        <v>1918751.1836564187</v>
      </c>
      <c r="Z142" s="301">
        <f t="shared" si="4"/>
        <v>4478235.5387266967</v>
      </c>
      <c r="AA142" s="301">
        <f t="shared" si="4"/>
        <v>393166952.87172836</v>
      </c>
      <c r="AB142" s="301">
        <f t="shared" si="7"/>
        <v>400390.34284229955</v>
      </c>
    </row>
    <row r="143" spans="18:28" x14ac:dyDescent="0.25">
      <c r="R143" s="254">
        <f t="shared" si="6"/>
        <v>112</v>
      </c>
      <c r="S143" s="254"/>
      <c r="T143" s="301">
        <f t="shared" si="5"/>
        <v>149646.28031529562</v>
      </c>
      <c r="U143" s="301">
        <f t="shared" si="5"/>
        <v>204785.19248392835</v>
      </c>
      <c r="V143" s="301">
        <f t="shared" si="5"/>
        <v>286602.28768795426</v>
      </c>
      <c r="W143" s="301">
        <f t="shared" si="5"/>
        <v>409398.14969914575</v>
      </c>
      <c r="X143" s="301">
        <f t="shared" si="4"/>
        <v>880039.12589986308</v>
      </c>
      <c r="Y143" s="301">
        <f t="shared" si="4"/>
        <v>1996501.2310026756</v>
      </c>
      <c r="Z143" s="301">
        <f t="shared" si="4"/>
        <v>4703147.3156630322</v>
      </c>
      <c r="AA143" s="301">
        <f t="shared" si="4"/>
        <v>432484648.15890115</v>
      </c>
      <c r="AB143" s="301">
        <f t="shared" si="7"/>
        <v>409398.14969914575</v>
      </c>
    </row>
    <row r="144" spans="18:28" x14ac:dyDescent="0.25">
      <c r="R144" s="254">
        <f t="shared" si="6"/>
        <v>113</v>
      </c>
      <c r="S144" s="254"/>
      <c r="T144" s="301">
        <f t="shared" si="5"/>
        <v>151394.51171687216</v>
      </c>
      <c r="U144" s="301">
        <f t="shared" si="5"/>
        <v>207833.04440876766</v>
      </c>
      <c r="V144" s="301">
        <f t="shared" si="5"/>
        <v>291901.32200327347</v>
      </c>
      <c r="W144" s="301">
        <f t="shared" si="5"/>
        <v>418586.11269312858</v>
      </c>
      <c r="X144" s="301">
        <f t="shared" si="4"/>
        <v>907440.2996768587</v>
      </c>
      <c r="Y144" s="301">
        <f t="shared" si="4"/>
        <v>2077361.2802427828</v>
      </c>
      <c r="Z144" s="301">
        <f t="shared" si="4"/>
        <v>4939304.6814461835</v>
      </c>
      <c r="AA144" s="301">
        <f t="shared" si="4"/>
        <v>475734112.97479135</v>
      </c>
      <c r="AB144" s="301">
        <f t="shared" si="7"/>
        <v>418586.11269312858</v>
      </c>
    </row>
    <row r="145" spans="18:28" x14ac:dyDescent="0.25">
      <c r="R145" s="254">
        <f t="shared" si="6"/>
        <v>114</v>
      </c>
      <c r="S145" s="254"/>
      <c r="T145" s="301">
        <f t="shared" si="5"/>
        <v>153151.48427545634</v>
      </c>
      <c r="U145" s="301">
        <f t="shared" si="5"/>
        <v>210911.37485285534</v>
      </c>
      <c r="V145" s="301">
        <f t="shared" si="5"/>
        <v>297279.8418333226</v>
      </c>
      <c r="W145" s="301">
        <f t="shared" si="5"/>
        <v>427957.83494699124</v>
      </c>
      <c r="X145" s="301">
        <f t="shared" si="4"/>
        <v>935663.50866716448</v>
      </c>
      <c r="Y145" s="301">
        <f t="shared" si="4"/>
        <v>2161455.7314524944</v>
      </c>
      <c r="Z145" s="301">
        <f t="shared" si="4"/>
        <v>5187269.9155184925</v>
      </c>
      <c r="AA145" s="301">
        <f t="shared" si="4"/>
        <v>523308524.2722705</v>
      </c>
      <c r="AB145" s="301">
        <f t="shared" si="7"/>
        <v>427957.83494699124</v>
      </c>
    </row>
    <row r="146" spans="18:28" x14ac:dyDescent="0.25">
      <c r="R146" s="254">
        <f t="shared" si="6"/>
        <v>115</v>
      </c>
      <c r="S146" s="254"/>
      <c r="T146" s="301">
        <f t="shared" si="5"/>
        <v>154917.24169683363</v>
      </c>
      <c r="U146" s="301">
        <f t="shared" si="5"/>
        <v>214020.48860138384</v>
      </c>
      <c r="V146" s="301">
        <f t="shared" si="5"/>
        <v>302739.03946082242</v>
      </c>
      <c r="W146" s="301">
        <f t="shared" si="5"/>
        <v>437516.99164593098</v>
      </c>
      <c r="X146" s="301">
        <f t="shared" si="4"/>
        <v>964733.41392717953</v>
      </c>
      <c r="Y146" s="301">
        <f t="shared" si="4"/>
        <v>2248913.960710594</v>
      </c>
      <c r="Z146" s="301">
        <f t="shared" si="4"/>
        <v>5447633.4112944165</v>
      </c>
      <c r="AA146" s="301">
        <f t="shared" si="4"/>
        <v>575640376.69949758</v>
      </c>
      <c r="AB146" s="301">
        <f t="shared" si="7"/>
        <v>437516.99164593098</v>
      </c>
    </row>
    <row r="147" spans="18:28" x14ac:dyDescent="0.25">
      <c r="R147" s="254">
        <f t="shared" si="6"/>
        <v>116</v>
      </c>
      <c r="S147" s="254"/>
      <c r="T147" s="301">
        <f t="shared" si="5"/>
        <v>156691.82790531771</v>
      </c>
      <c r="U147" s="301">
        <f t="shared" si="5"/>
        <v>217160.69348739772</v>
      </c>
      <c r="V147" s="301">
        <f t="shared" si="5"/>
        <v>308280.12505273469</v>
      </c>
      <c r="W147" s="301">
        <f t="shared" si="5"/>
        <v>447267.33147884969</v>
      </c>
      <c r="X147" s="301">
        <f t="shared" si="4"/>
        <v>994675.41634499491</v>
      </c>
      <c r="Y147" s="301">
        <f t="shared" si="4"/>
        <v>2339870.5191390179</v>
      </c>
      <c r="Z147" s="301">
        <f t="shared" si="4"/>
        <v>5721015.0818591379</v>
      </c>
      <c r="AA147" s="301">
        <f t="shared" si="4"/>
        <v>633205414.36944735</v>
      </c>
      <c r="AB147" s="301">
        <f t="shared" si="7"/>
        <v>447267.33147884969</v>
      </c>
    </row>
    <row r="148" spans="18:28" x14ac:dyDescent="0.25">
      <c r="R148" s="254">
        <f t="shared" si="6"/>
        <v>117</v>
      </c>
      <c r="S148" s="254"/>
      <c r="T148" s="301">
        <f t="shared" si="5"/>
        <v>158475.28704484427</v>
      </c>
      <c r="U148" s="301">
        <f t="shared" si="5"/>
        <v>220332.30042227166</v>
      </c>
      <c r="V148" s="301">
        <f t="shared" si="5"/>
        <v>313904.32692852558</v>
      </c>
      <c r="W148" s="301">
        <f t="shared" si="5"/>
        <v>457212.67810842651</v>
      </c>
      <c r="X148" s="301">
        <f t="shared" si="4"/>
        <v>1025515.6788353445</v>
      </c>
      <c r="Y148" s="301">
        <f t="shared" si="4"/>
        <v>2434465.3399045793</v>
      </c>
      <c r="Z148" s="301">
        <f t="shared" si="4"/>
        <v>6008065.8359520938</v>
      </c>
      <c r="AA148" s="301">
        <f t="shared" si="4"/>
        <v>696526955.80639207</v>
      </c>
      <c r="AB148" s="301">
        <f t="shared" si="7"/>
        <v>457212.67810842651</v>
      </c>
    </row>
    <row r="149" spans="18:28" x14ac:dyDescent="0.25">
      <c r="R149" s="254">
        <f t="shared" si="6"/>
        <v>118</v>
      </c>
      <c r="S149" s="254"/>
      <c r="T149" s="301">
        <f t="shared" si="5"/>
        <v>160267.66348006835</v>
      </c>
      <c r="U149" s="301">
        <f t="shared" si="5"/>
        <v>223535.62342649445</v>
      </c>
      <c r="V149" s="301">
        <f t="shared" si="5"/>
        <v>319612.89183245332</v>
      </c>
      <c r="W149" s="301">
        <f t="shared" si="5"/>
        <v>467356.93167059514</v>
      </c>
      <c r="X149" s="301">
        <f t="shared" si="4"/>
        <v>1057281.149200405</v>
      </c>
      <c r="Y149" s="301">
        <f t="shared" si="4"/>
        <v>2532843.9535007621</v>
      </c>
      <c r="Z149" s="301">
        <f t="shared" si="4"/>
        <v>6309469.1277496982</v>
      </c>
      <c r="AA149" s="301">
        <f t="shared" si="4"/>
        <v>766180651.38703156</v>
      </c>
      <c r="AB149" s="301">
        <f t="shared" si="7"/>
        <v>467356.93167059514</v>
      </c>
    </row>
    <row r="150" spans="18:28" x14ac:dyDescent="0.25">
      <c r="R150" s="254">
        <f t="shared" si="6"/>
        <v>119</v>
      </c>
      <c r="S150" s="254"/>
      <c r="T150" s="301">
        <f t="shared" si="5"/>
        <v>162069.00179746872</v>
      </c>
      <c r="U150" s="301">
        <f t="shared" si="5"/>
        <v>226770.9796607593</v>
      </c>
      <c r="V150" s="301">
        <f t="shared" si="5"/>
        <v>325407.08520994021</v>
      </c>
      <c r="W150" s="301">
        <f t="shared" si="5"/>
        <v>477704.07030400692</v>
      </c>
      <c r="X150" s="301">
        <f t="shared" si="4"/>
        <v>1089999.5836764171</v>
      </c>
      <c r="Y150" s="301">
        <f t="shared" si="4"/>
        <v>2635157.7116407924</v>
      </c>
      <c r="Z150" s="301">
        <f t="shared" si="4"/>
        <v>6625942.5841371845</v>
      </c>
      <c r="AA150" s="301">
        <f t="shared" si="4"/>
        <v>842799716.52573478</v>
      </c>
      <c r="AB150" s="301">
        <f t="shared" si="7"/>
        <v>477704.07030400692</v>
      </c>
    </row>
    <row r="151" spans="18:28" x14ac:dyDescent="0.25">
      <c r="R151" s="254">
        <f t="shared" si="6"/>
        <v>120</v>
      </c>
      <c r="S151" s="254"/>
      <c r="T151" s="301">
        <f t="shared" si="5"/>
        <v>163879.34680645604</v>
      </c>
      <c r="U151" s="301">
        <f t="shared" si="5"/>
        <v>230038.68945736697</v>
      </c>
      <c r="V151" s="301">
        <f t="shared" si="5"/>
        <v>331288.19148808921</v>
      </c>
      <c r="W151" s="301">
        <f t="shared" si="5"/>
        <v>488258.15171008714</v>
      </c>
      <c r="X151" s="301">
        <f t="shared" si="4"/>
        <v>1123699.5711867097</v>
      </c>
      <c r="Y151" s="301">
        <f t="shared" si="4"/>
        <v>2741564.0201064241</v>
      </c>
      <c r="Z151" s="301">
        <f t="shared" si="4"/>
        <v>6958239.7133440441</v>
      </c>
      <c r="AA151" s="301">
        <f t="shared" si="4"/>
        <v>927080688.17830801</v>
      </c>
      <c r="AB151" s="301">
        <f t="shared" si="7"/>
        <v>488258.15171008714</v>
      </c>
    </row>
    <row r="152" spans="18:28" x14ac:dyDescent="0.25">
      <c r="R152" s="254">
        <f t="shared" si="6"/>
        <v>121</v>
      </c>
      <c r="S152" s="254"/>
      <c r="T152" s="301">
        <f t="shared" si="5"/>
        <v>165698.74354048827</v>
      </c>
      <c r="U152" s="301">
        <f t="shared" si="5"/>
        <v>233339.07635194069</v>
      </c>
      <c r="V152" s="301">
        <f t="shared" si="5"/>
        <v>337257.51436041051</v>
      </c>
      <c r="W152" s="301">
        <f t="shared" si="5"/>
        <v>499023.31474428886</v>
      </c>
      <c r="X152" s="301">
        <f t="shared" si="4"/>
        <v>1158410.5583223109</v>
      </c>
      <c r="Y152" s="301">
        <f t="shared" si="4"/>
        <v>2852226.5809106822</v>
      </c>
      <c r="Z152" s="301">
        <f t="shared" si="4"/>
        <v>7307151.6990112467</v>
      </c>
      <c r="AA152" s="301">
        <f t="shared" si="4"/>
        <v>1019789756.9961392</v>
      </c>
      <c r="AB152" s="301">
        <f t="shared" si="7"/>
        <v>499023.31474428886</v>
      </c>
    </row>
    <row r="153" spans="18:28" x14ac:dyDescent="0.25">
      <c r="R153" s="254">
        <f t="shared" si="6"/>
        <v>122</v>
      </c>
      <c r="S153" s="254"/>
      <c r="T153" s="301">
        <f t="shared" si="5"/>
        <v>167527.23725819067</v>
      </c>
      <c r="U153" s="301">
        <f t="shared" si="5"/>
        <v>236672.46711546008</v>
      </c>
      <c r="V153" s="301">
        <f t="shared" si="5"/>
        <v>343316.37707581662</v>
      </c>
      <c r="W153" s="301">
        <f t="shared" si="5"/>
        <v>510003.78103917465</v>
      </c>
      <c r="X153" s="301">
        <f t="shared" si="4"/>
        <v>1194162.8750719803</v>
      </c>
      <c r="Y153" s="301">
        <f t="shared" si="4"/>
        <v>2967315.6441471088</v>
      </c>
      <c r="Z153" s="301">
        <f t="shared" si="4"/>
        <v>7673509.2839618092</v>
      </c>
      <c r="AA153" s="301">
        <f t="shared" si="4"/>
        <v>1121769732.6957531</v>
      </c>
      <c r="AB153" s="301">
        <f t="shared" si="7"/>
        <v>510003.78103917465</v>
      </c>
    </row>
    <row r="154" spans="18:28" x14ac:dyDescent="0.25">
      <c r="R154" s="254">
        <f t="shared" si="6"/>
        <v>123</v>
      </c>
      <c r="S154" s="254"/>
      <c r="T154" s="301">
        <f t="shared" si="5"/>
        <v>169364.87344448152</v>
      </c>
      <c r="U154" s="301">
        <f t="shared" si="5"/>
        <v>240039.19178661463</v>
      </c>
      <c r="V154" s="301">
        <f t="shared" si="5"/>
        <v>349466.1227319538</v>
      </c>
      <c r="W154" s="301">
        <f t="shared" si="5"/>
        <v>521203.85665995808</v>
      </c>
      <c r="X154" s="301">
        <f t="shared" si="4"/>
        <v>1230987.7613241398</v>
      </c>
      <c r="Y154" s="301">
        <f t="shared" si="4"/>
        <v>3087008.2699129931</v>
      </c>
      <c r="Z154" s="301">
        <f t="shared" si="4"/>
        <v>8058184.7481598994</v>
      </c>
      <c r="AA154" s="301">
        <f t="shared" si="4"/>
        <v>1233947705.9653285</v>
      </c>
      <c r="AB154" s="301">
        <f t="shared" si="7"/>
        <v>521203.85665995808</v>
      </c>
    </row>
    <row r="155" spans="18:28" x14ac:dyDescent="0.25">
      <c r="R155" s="254">
        <f t="shared" si="6"/>
        <v>124</v>
      </c>
      <c r="S155" s="254"/>
      <c r="T155" s="301">
        <f t="shared" si="5"/>
        <v>171211.6978117039</v>
      </c>
      <c r="U155" s="301">
        <f t="shared" si="5"/>
        <v>243439.58370448076</v>
      </c>
      <c r="V155" s="301">
        <f t="shared" si="5"/>
        <v>355708.11457293294</v>
      </c>
      <c r="W155" s="301">
        <f t="shared" si="5"/>
        <v>532627.93379315734</v>
      </c>
      <c r="X155" s="301">
        <f t="shared" si="4"/>
        <v>1268917.394163864</v>
      </c>
      <c r="Y155" s="301">
        <f t="shared" si="4"/>
        <v>3211488.6007095138</v>
      </c>
      <c r="Z155" s="301">
        <f t="shared" si="4"/>
        <v>8462093.9855678938</v>
      </c>
      <c r="AA155" s="301">
        <f t="shared" si="4"/>
        <v>1357343476.561861</v>
      </c>
      <c r="AB155" s="301">
        <f t="shared" si="7"/>
        <v>532627.93379315734</v>
      </c>
    </row>
    <row r="156" spans="18:28" x14ac:dyDescent="0.25">
      <c r="R156" s="254">
        <f t="shared" si="6"/>
        <v>125</v>
      </c>
      <c r="S156" s="254"/>
      <c r="T156" s="301">
        <f t="shared" si="5"/>
        <v>173067.75630076238</v>
      </c>
      <c r="U156" s="301">
        <f t="shared" si="5"/>
        <v>246873.97954152562</v>
      </c>
      <c r="V156" s="301">
        <f t="shared" si="5"/>
        <v>362043.73629152699</v>
      </c>
      <c r="W156" s="301">
        <f t="shared" si="5"/>
        <v>544280.49246902054</v>
      </c>
      <c r="X156" s="301">
        <f t="shared" ref="X156:AA219" si="8">$G$21*(((1+X$31)^($R156)-1)/(X$31))</f>
        <v>1307984.9159887796</v>
      </c>
      <c r="Y156" s="301">
        <f t="shared" si="8"/>
        <v>3340948.1447378942</v>
      </c>
      <c r="Z156" s="301">
        <f t="shared" si="8"/>
        <v>8886198.6848462895</v>
      </c>
      <c r="AA156" s="301">
        <f t="shared" si="8"/>
        <v>1493078824.2180476</v>
      </c>
      <c r="AB156" s="301">
        <f t="shared" si="7"/>
        <v>544280.49246902054</v>
      </c>
    </row>
    <row r="157" spans="18:28" x14ac:dyDescent="0.25">
      <c r="R157" s="254">
        <f t="shared" si="6"/>
        <v>126</v>
      </c>
      <c r="S157" s="254"/>
      <c r="T157" s="301">
        <f t="shared" si="5"/>
        <v>174933.09508226611</v>
      </c>
      <c r="U157" s="301">
        <f t="shared" si="5"/>
        <v>250342.71933694091</v>
      </c>
      <c r="V157" s="301">
        <f t="shared" si="5"/>
        <v>368474.39233589981</v>
      </c>
      <c r="W157" s="301">
        <f t="shared" si="5"/>
        <v>556166.10231840098</v>
      </c>
      <c r="X157" s="301">
        <f t="shared" si="8"/>
        <v>1348224.4634684427</v>
      </c>
      <c r="Y157" s="301">
        <f t="shared" si="8"/>
        <v>3475586.0705274097</v>
      </c>
      <c r="Z157" s="301">
        <f t="shared" si="8"/>
        <v>9331508.6190885995</v>
      </c>
      <c r="AA157" s="301">
        <f t="shared" si="8"/>
        <v>1642387706.6398528</v>
      </c>
      <c r="AB157" s="301">
        <f t="shared" si="7"/>
        <v>556166.10231840098</v>
      </c>
    </row>
    <row r="158" spans="18:28" x14ac:dyDescent="0.25">
      <c r="R158" s="254">
        <f t="shared" si="6"/>
        <v>127</v>
      </c>
      <c r="S158" s="254"/>
      <c r="T158" s="301">
        <f t="shared" si="5"/>
        <v>176807.76055767733</v>
      </c>
      <c r="U158" s="301">
        <f t="shared" si="5"/>
        <v>253846.14653031022</v>
      </c>
      <c r="V158" s="301">
        <f t="shared" si="5"/>
        <v>375001.50822093827</v>
      </c>
      <c r="W158" s="301">
        <f t="shared" si="5"/>
        <v>568289.42436476878</v>
      </c>
      <c r="X158" s="301">
        <f t="shared" si="8"/>
        <v>1389671.1973724964</v>
      </c>
      <c r="Y158" s="301">
        <f t="shared" si="8"/>
        <v>3615609.5133485058</v>
      </c>
      <c r="Z158" s="301">
        <f t="shared" si="8"/>
        <v>9799084.0500430353</v>
      </c>
      <c r="AA158" s="301">
        <f t="shared" si="8"/>
        <v>1806627477.3038378</v>
      </c>
      <c r="AB158" s="301">
        <f t="shared" si="7"/>
        <v>568289.42436476878</v>
      </c>
    </row>
    <row r="159" spans="18:28" x14ac:dyDescent="0.25">
      <c r="R159" s="254">
        <f t="shared" si="6"/>
        <v>128</v>
      </c>
      <c r="S159" s="254"/>
      <c r="T159" s="301">
        <f t="shared" si="5"/>
        <v>178691.79936046569</v>
      </c>
      <c r="U159" s="301">
        <f t="shared" si="5"/>
        <v>257384.60799561336</v>
      </c>
      <c r="V159" s="301">
        <f t="shared" si="5"/>
        <v>381626.53084425227</v>
      </c>
      <c r="W159" s="301">
        <f t="shared" si="5"/>
        <v>580655.21285206429</v>
      </c>
      <c r="X159" s="301">
        <f t="shared" si="8"/>
        <v>1432361.3332936708</v>
      </c>
      <c r="Y159" s="301">
        <f t="shared" si="8"/>
        <v>3761233.8938824474</v>
      </c>
      <c r="Z159" s="301">
        <f t="shared" si="8"/>
        <v>10290038.252545185</v>
      </c>
      <c r="AA159" s="301">
        <f t="shared" si="8"/>
        <v>1987291225.0342216</v>
      </c>
      <c r="AB159" s="301">
        <f t="shared" si="7"/>
        <v>580655.21285206429</v>
      </c>
    </row>
    <row r="160" spans="18:28" x14ac:dyDescent="0.25">
      <c r="R160" s="254">
        <f t="shared" si="6"/>
        <v>129</v>
      </c>
      <c r="S160" s="254"/>
      <c r="T160" s="301">
        <f t="shared" si="5"/>
        <v>180585.25835726797</v>
      </c>
      <c r="U160" s="301">
        <f t="shared" si="5"/>
        <v>260958.45407556952</v>
      </c>
      <c r="V160" s="301">
        <f t="shared" si="5"/>
        <v>388350.92880691605</v>
      </c>
      <c r="W160" s="301">
        <f t="shared" ref="W160:Z223" si="9">$G$21*(((1+W$31)^($R160)-1)/(W$31))</f>
        <v>593268.31710910564</v>
      </c>
      <c r="X160" s="301">
        <f t="shared" si="8"/>
        <v>1476332.1732924813</v>
      </c>
      <c r="Y160" s="301">
        <f t="shared" si="8"/>
        <v>3912683.2496377453</v>
      </c>
      <c r="Z160" s="301">
        <f t="shared" si="8"/>
        <v>10805540.165172447</v>
      </c>
      <c r="AA160" s="301">
        <f t="shared" si="8"/>
        <v>2186021347.5376439</v>
      </c>
      <c r="AB160" s="301">
        <f t="shared" si="7"/>
        <v>593268.31710910564</v>
      </c>
    </row>
    <row r="161" spans="18:28" x14ac:dyDescent="0.25">
      <c r="R161" s="254">
        <f t="shared" si="6"/>
        <v>130</v>
      </c>
      <c r="S161" s="254"/>
      <c r="T161" s="301">
        <f t="shared" ref="T161:Z224" si="10">$G$21*(((1+T$31)^($R161)-1)/(T$31))</f>
        <v>182488.18464905425</v>
      </c>
      <c r="U161" s="301">
        <f t="shared" si="10"/>
        <v>264568.03861632524</v>
      </c>
      <c r="V161" s="301">
        <f t="shared" si="10"/>
        <v>395176.19273901964</v>
      </c>
      <c r="W161" s="301">
        <f t="shared" si="9"/>
        <v>606133.6834512878</v>
      </c>
      <c r="X161" s="301">
        <f t="shared" si="8"/>
        <v>1521622.1384912552</v>
      </c>
      <c r="Y161" s="301">
        <f t="shared" si="8"/>
        <v>4070190.5796232549</v>
      </c>
      <c r="Z161" s="301">
        <f t="shared" si="8"/>
        <v>11346817.173431067</v>
      </c>
      <c r="AA161" s="301">
        <f t="shared" si="8"/>
        <v>2404624482.2914085</v>
      </c>
      <c r="AB161" s="301">
        <f t="shared" si="7"/>
        <v>606133.6834512878</v>
      </c>
    </row>
    <row r="162" spans="18:28" x14ac:dyDescent="0.25">
      <c r="R162" s="254">
        <f t="shared" ref="R162:R225" si="11">1+R161</f>
        <v>131</v>
      </c>
      <c r="S162" s="254"/>
      <c r="T162" s="301">
        <f t="shared" si="10"/>
        <v>184400.6255722995</v>
      </c>
      <c r="U162" s="301">
        <f t="shared" si="10"/>
        <v>268213.71900248842</v>
      </c>
      <c r="V162" s="301">
        <f t="shared" si="10"/>
        <v>402103.83563010494</v>
      </c>
      <c r="W162" s="301">
        <f t="shared" si="9"/>
        <v>619256.35712031345</v>
      </c>
      <c r="X162" s="301">
        <f t="shared" si="8"/>
        <v>1568270.8026459932</v>
      </c>
      <c r="Y162" s="301">
        <f t="shared" si="8"/>
        <v>4233998.2028081855</v>
      </c>
      <c r="Z162" s="301">
        <f t="shared" si="8"/>
        <v>11915158.032102622</v>
      </c>
      <c r="AA162" s="301">
        <f t="shared" si="8"/>
        <v>2645087930.5205498</v>
      </c>
      <c r="AB162" s="301">
        <f t="shared" si="7"/>
        <v>619256.35712031345</v>
      </c>
    </row>
    <row r="163" spans="18:28" x14ac:dyDescent="0.25">
      <c r="R163" s="254">
        <f t="shared" si="11"/>
        <v>132</v>
      </c>
      <c r="S163" s="254"/>
      <c r="T163" s="301">
        <f t="shared" si="10"/>
        <v>186322.62870016092</v>
      </c>
      <c r="U163" s="301">
        <f t="shared" si="10"/>
        <v>271895.85619251337</v>
      </c>
      <c r="V163" s="301">
        <f t="shared" si="10"/>
        <v>409135.39316455642</v>
      </c>
      <c r="W163" s="301">
        <f t="shared" si="9"/>
        <v>632641.48426271975</v>
      </c>
      <c r="X163" s="301">
        <f t="shared" si="8"/>
        <v>1616318.9267253729</v>
      </c>
      <c r="Y163" s="301">
        <f t="shared" si="8"/>
        <v>4404358.1309205126</v>
      </c>
      <c r="Z163" s="301">
        <f t="shared" si="8"/>
        <v>12511915.933707753</v>
      </c>
      <c r="AA163" s="301">
        <f t="shared" si="8"/>
        <v>2909597723.5726042</v>
      </c>
      <c r="AB163" s="301">
        <f t="shared" si="7"/>
        <v>632641.48426271975</v>
      </c>
    </row>
    <row r="164" spans="18:28" x14ac:dyDescent="0.25">
      <c r="R164" s="254">
        <f t="shared" si="11"/>
        <v>133</v>
      </c>
      <c r="S164" s="254"/>
      <c r="T164" s="301">
        <f t="shared" si="10"/>
        <v>188254.24184366164</v>
      </c>
      <c r="U164" s="301">
        <f t="shared" si="10"/>
        <v>275614.81475443847</v>
      </c>
      <c r="V164" s="301">
        <f t="shared" si="10"/>
        <v>416272.42406202469</v>
      </c>
      <c r="W164" s="301">
        <f t="shared" si="9"/>
        <v>646294.31394797412</v>
      </c>
      <c r="X164" s="301">
        <f t="shared" si="8"/>
        <v>1665808.4945271339</v>
      </c>
      <c r="Y164" s="301">
        <f t="shared" si="8"/>
        <v>4581532.4561573341</v>
      </c>
      <c r="Z164" s="301">
        <f t="shared" si="8"/>
        <v>13138511.730393142</v>
      </c>
      <c r="AA164" s="301">
        <f t="shared" si="8"/>
        <v>3200558495.9298658</v>
      </c>
      <c r="AB164" s="301">
        <f t="shared" si="7"/>
        <v>646294.31394797412</v>
      </c>
    </row>
    <row r="165" spans="18:28" x14ac:dyDescent="0.25">
      <c r="R165" s="254">
        <f t="shared" si="11"/>
        <v>134</v>
      </c>
      <c r="S165" s="254"/>
      <c r="T165" s="301">
        <f t="shared" si="10"/>
        <v>190195.51305287989</v>
      </c>
      <c r="U165" s="301">
        <f t="shared" si="10"/>
        <v>279370.96290198289</v>
      </c>
      <c r="V165" s="301">
        <f t="shared" si="10"/>
        <v>423516.51042295498</v>
      </c>
      <c r="W165" s="301">
        <f t="shared" si="9"/>
        <v>660220.20022693358</v>
      </c>
      <c r="X165" s="301">
        <f t="shared" si="8"/>
        <v>1716782.7493629481</v>
      </c>
      <c r="Y165" s="301">
        <f t="shared" si="8"/>
        <v>4765793.7544036275</v>
      </c>
      <c r="Z165" s="301">
        <f t="shared" si="8"/>
        <v>13796437.316912798</v>
      </c>
      <c r="AA165" s="301">
        <f t="shared" si="8"/>
        <v>3520615345.5228524</v>
      </c>
      <c r="AB165" s="301">
        <f t="shared" si="7"/>
        <v>660220.20022693358</v>
      </c>
    </row>
    <row r="166" spans="18:28" x14ac:dyDescent="0.25">
      <c r="R166" s="254">
        <f t="shared" si="11"/>
        <v>135</v>
      </c>
      <c r="S166" s="254"/>
      <c r="T166" s="301">
        <f t="shared" si="10"/>
        <v>192146.49061814422</v>
      </c>
      <c r="U166" s="301">
        <f t="shared" si="10"/>
        <v>283164.67253100261</v>
      </c>
      <c r="V166" s="301">
        <f t="shared" si="10"/>
        <v>430869.25807929924</v>
      </c>
      <c r="W166" s="301">
        <f t="shared" si="9"/>
        <v>674424.60423147213</v>
      </c>
      <c r="X166" s="301">
        <f t="shared" si="8"/>
        <v>1769286.2318438366</v>
      </c>
      <c r="Y166" s="301">
        <f t="shared" si="8"/>
        <v>4957425.5045797713</v>
      </c>
      <c r="Z166" s="301">
        <f t="shared" si="8"/>
        <v>14487259.182758437</v>
      </c>
      <c r="AA166" s="301">
        <f t="shared" si="8"/>
        <v>3872677880.0751386</v>
      </c>
      <c r="AB166" s="301">
        <f t="shared" si="7"/>
        <v>674424.60423147213</v>
      </c>
    </row>
    <row r="167" spans="18:28" x14ac:dyDescent="0.25">
      <c r="R167" s="254">
        <f t="shared" si="11"/>
        <v>136</v>
      </c>
      <c r="S167" s="254"/>
      <c r="T167" s="301">
        <f t="shared" si="10"/>
        <v>194107.22307123494</v>
      </c>
      <c r="U167" s="301">
        <f t="shared" si="10"/>
        <v>286996.31925631274</v>
      </c>
      <c r="V167" s="301">
        <f t="shared" si="10"/>
        <v>438332.2969504887</v>
      </c>
      <c r="W167" s="301">
        <f t="shared" si="9"/>
        <v>688913.09631610161</v>
      </c>
      <c r="X167" s="301">
        <f t="shared" si="8"/>
        <v>1823364.8187991516</v>
      </c>
      <c r="Y167" s="301">
        <f t="shared" si="8"/>
        <v>5156722.5247629639</v>
      </c>
      <c r="Z167" s="301">
        <f t="shared" si="8"/>
        <v>15212622.14189636</v>
      </c>
      <c r="AA167" s="301">
        <f t="shared" si="8"/>
        <v>4259946668.0826516</v>
      </c>
      <c r="AB167" s="301">
        <f t="shared" si="7"/>
        <v>688913.09631610161</v>
      </c>
    </row>
    <row r="168" spans="18:28" x14ac:dyDescent="0.25">
      <c r="R168" s="254">
        <f t="shared" si="11"/>
        <v>137</v>
      </c>
      <c r="S168" s="254"/>
      <c r="T168" s="301">
        <f t="shared" si="10"/>
        <v>196077.75918659108</v>
      </c>
      <c r="U168" s="301">
        <f t="shared" si="10"/>
        <v>290866.28244887589</v>
      </c>
      <c r="V168" s="301">
        <f t="shared" si="10"/>
        <v>445907.28140474588</v>
      </c>
      <c r="W168" s="301">
        <f t="shared" si="9"/>
        <v>703691.35824242374</v>
      </c>
      <c r="X168" s="301">
        <f t="shared" si="8"/>
        <v>1879065.763363126</v>
      </c>
      <c r="Y168" s="301">
        <f t="shared" si="8"/>
        <v>5363991.4257534826</v>
      </c>
      <c r="Z168" s="301">
        <f t="shared" si="8"/>
        <v>15974253.248991176</v>
      </c>
      <c r="AA168" s="301">
        <f t="shared" si="8"/>
        <v>4685942334.8909168</v>
      </c>
      <c r="AB168" s="301">
        <f t="shared" si="7"/>
        <v>703691.35824242374</v>
      </c>
    </row>
    <row r="169" spans="18:28" x14ac:dyDescent="0.25">
      <c r="R169" s="254">
        <f t="shared" si="11"/>
        <v>138</v>
      </c>
      <c r="S169" s="254"/>
      <c r="T169" s="301">
        <f t="shared" si="10"/>
        <v>198058.14798252392</v>
      </c>
      <c r="U169" s="301">
        <f t="shared" si="10"/>
        <v>294774.94527336466</v>
      </c>
      <c r="V169" s="301">
        <f t="shared" si="10"/>
        <v>453595.89062581706</v>
      </c>
      <c r="W169" s="301">
        <f t="shared" si="9"/>
        <v>718765.18540727219</v>
      </c>
      <c r="X169" s="301">
        <f t="shared" si="8"/>
        <v>1936437.7362640197</v>
      </c>
      <c r="Y169" s="301">
        <f t="shared" si="8"/>
        <v>5579551.0827836227</v>
      </c>
      <c r="Z169" s="301">
        <f t="shared" si="8"/>
        <v>16773965.911440738</v>
      </c>
      <c r="AA169" s="301">
        <f t="shared" si="8"/>
        <v>5154537568.3800097</v>
      </c>
      <c r="AB169" s="301">
        <f t="shared" si="7"/>
        <v>718765.18540727219</v>
      </c>
    </row>
    <row r="170" spans="18:28" x14ac:dyDescent="0.25">
      <c r="R170" s="254">
        <f t="shared" si="11"/>
        <v>139</v>
      </c>
      <c r="S170" s="254"/>
      <c r="T170" s="301">
        <f t="shared" si="10"/>
        <v>200048.43872243655</v>
      </c>
      <c r="U170" s="301">
        <f t="shared" si="10"/>
        <v>298722.69472609827</v>
      </c>
      <c r="V170" s="301">
        <f t="shared" si="10"/>
        <v>461399.82898520428</v>
      </c>
      <c r="W170" s="301">
        <f t="shared" si="9"/>
        <v>734140.48911541747</v>
      </c>
      <c r="X170" s="301">
        <f t="shared" si="8"/>
        <v>1995530.8683519405</v>
      </c>
      <c r="Y170" s="301">
        <f t="shared" si="8"/>
        <v>5803733.1260949671</v>
      </c>
      <c r="Z170" s="301">
        <f t="shared" si="8"/>
        <v>17613664.207012776</v>
      </c>
      <c r="AA170" s="301">
        <f t="shared" si="8"/>
        <v>5669992325.2180109</v>
      </c>
      <c r="AB170" s="301">
        <f t="shared" si="7"/>
        <v>734140.48911541747</v>
      </c>
    </row>
    <row r="171" spans="18:28" x14ac:dyDescent="0.25">
      <c r="R171" s="254">
        <f t="shared" si="11"/>
        <v>140</v>
      </c>
      <c r="S171" s="254"/>
      <c r="T171" s="301">
        <f t="shared" si="10"/>
        <v>202048.68091604862</v>
      </c>
      <c r="U171" s="301">
        <f t="shared" si="10"/>
        <v>302709.92167335923</v>
      </c>
      <c r="V171" s="301">
        <f t="shared" si="10"/>
        <v>469320.82641998224</v>
      </c>
      <c r="W171" s="301">
        <f t="shared" si="9"/>
        <v>749823.298897726</v>
      </c>
      <c r="X171" s="301">
        <f t="shared" si="8"/>
        <v>2056396.7944024985</v>
      </c>
      <c r="Y171" s="301">
        <f t="shared" si="8"/>
        <v>6036882.4511387674</v>
      </c>
      <c r="Z171" s="301">
        <f t="shared" si="8"/>
        <v>18495347.417363409</v>
      </c>
      <c r="AA171" s="301">
        <f t="shared" si="8"/>
        <v>6236992557.7398119</v>
      </c>
      <c r="AB171" s="301">
        <f t="shared" si="7"/>
        <v>749823.298897726</v>
      </c>
    </row>
    <row r="172" spans="18:28" x14ac:dyDescent="0.25">
      <c r="R172" s="254">
        <f t="shared" si="11"/>
        <v>141</v>
      </c>
      <c r="S172" s="254"/>
      <c r="T172" s="301">
        <f t="shared" si="10"/>
        <v>204058.92432062875</v>
      </c>
      <c r="U172" s="301">
        <f t="shared" si="10"/>
        <v>306737.02089009288</v>
      </c>
      <c r="V172" s="301">
        <f t="shared" si="10"/>
        <v>477360.63881628192</v>
      </c>
      <c r="W172" s="301">
        <f t="shared" si="9"/>
        <v>765819.76487568044</v>
      </c>
      <c r="X172" s="301">
        <f t="shared" si="8"/>
        <v>2119088.6982345735</v>
      </c>
      <c r="Y172" s="301">
        <f t="shared" si="8"/>
        <v>6279357.7491843179</v>
      </c>
      <c r="Z172" s="301">
        <f t="shared" si="8"/>
        <v>19421114.788231585</v>
      </c>
      <c r="AA172" s="301">
        <f t="shared" si="8"/>
        <v>6860692813.513793</v>
      </c>
      <c r="AB172" s="301">
        <f t="shared" si="7"/>
        <v>765819.76487568044</v>
      </c>
    </row>
    <row r="173" spans="18:28" x14ac:dyDescent="0.25">
      <c r="R173" s="254">
        <f t="shared" si="11"/>
        <v>142</v>
      </c>
      <c r="S173" s="254"/>
      <c r="T173" s="301">
        <f t="shared" si="10"/>
        <v>206079.21894223188</v>
      </c>
      <c r="U173" s="301">
        <f t="shared" si="10"/>
        <v>310804.39109899377</v>
      </c>
      <c r="V173" s="301">
        <f t="shared" si="10"/>
        <v>485521.04839852604</v>
      </c>
      <c r="W173" s="301">
        <f t="shared" si="9"/>
        <v>782136.16017319413</v>
      </c>
      <c r="X173" s="301">
        <f t="shared" si="8"/>
        <v>2183661.3591816109</v>
      </c>
      <c r="Y173" s="301">
        <f t="shared" si="8"/>
        <v>6531532.0591516914</v>
      </c>
      <c r="Z173" s="301">
        <f t="shared" si="8"/>
        <v>20393170.527643159</v>
      </c>
      <c r="AA173" s="301">
        <f t="shared" si="8"/>
        <v>7546763094.8651743</v>
      </c>
      <c r="AB173" s="301">
        <f t="shared" si="7"/>
        <v>782136.16017319413</v>
      </c>
    </row>
    <row r="174" spans="18:28" x14ac:dyDescent="0.25">
      <c r="R174" s="254">
        <f t="shared" si="11"/>
        <v>143</v>
      </c>
      <c r="S174" s="254"/>
      <c r="T174" s="301">
        <f t="shared" si="10"/>
        <v>208109.61503694294</v>
      </c>
      <c r="U174" s="301">
        <f t="shared" si="10"/>
        <v>314912.43500998366</v>
      </c>
      <c r="V174" s="301">
        <f t="shared" si="10"/>
        <v>493803.8641245038</v>
      </c>
      <c r="W174" s="301">
        <f t="shared" si="9"/>
        <v>798778.88337665773</v>
      </c>
      <c r="X174" s="301">
        <f t="shared" si="8"/>
        <v>2250171.1999570592</v>
      </c>
      <c r="Y174" s="301">
        <f t="shared" si="8"/>
        <v>6793793.3415177576</v>
      </c>
      <c r="Z174" s="301">
        <f t="shared" si="8"/>
        <v>21413829.054025326</v>
      </c>
      <c r="AA174" s="301">
        <f t="shared" si="8"/>
        <v>8301440404.3516912</v>
      </c>
      <c r="AB174" s="301">
        <f t="shared" si="7"/>
        <v>798778.88337665773</v>
      </c>
    </row>
    <row r="175" spans="18:28" x14ac:dyDescent="0.25">
      <c r="R175" s="254">
        <f t="shared" si="11"/>
        <v>144</v>
      </c>
      <c r="S175" s="254"/>
      <c r="T175" s="301">
        <f t="shared" si="10"/>
        <v>210150.1631121276</v>
      </c>
      <c r="U175" s="301">
        <f t="shared" si="10"/>
        <v>319061.5593600836</v>
      </c>
      <c r="V175" s="301">
        <f t="shared" si="10"/>
        <v>502210.92208637128</v>
      </c>
      <c r="W175" s="301">
        <f t="shared" si="9"/>
        <v>815754.46104419115</v>
      </c>
      <c r="X175" s="301">
        <f t="shared" si="8"/>
        <v>2318676.3359557707</v>
      </c>
      <c r="Y175" s="301">
        <f t="shared" si="8"/>
        <v>7066545.0751784695</v>
      </c>
      <c r="Z175" s="301">
        <f t="shared" si="8"/>
        <v>22485520.506726589</v>
      </c>
      <c r="AA175" s="301">
        <f t="shared" si="8"/>
        <v>9131585444.7868614</v>
      </c>
      <c r="AB175" s="301">
        <f t="shared" ref="AB175:AB238" si="12">$G$21*(((1+AB$31)^($R175)-1)/(AB$31))</f>
        <v>815754.46104419115</v>
      </c>
    </row>
    <row r="176" spans="18:28" x14ac:dyDescent="0.25">
      <c r="R176" s="254">
        <f t="shared" si="11"/>
        <v>145</v>
      </c>
      <c r="S176" s="254"/>
      <c r="T176" s="301">
        <f t="shared" si="10"/>
        <v>212200.91392768826</v>
      </c>
      <c r="U176" s="301">
        <f t="shared" si="10"/>
        <v>323252.1749536845</v>
      </c>
      <c r="V176" s="301">
        <f t="shared" si="10"/>
        <v>510744.08591766679</v>
      </c>
      <c r="W176" s="301">
        <f t="shared" si="9"/>
        <v>833069.55026507506</v>
      </c>
      <c r="X176" s="301">
        <f t="shared" si="8"/>
        <v>2389236.6260344437</v>
      </c>
      <c r="Y176" s="301">
        <f t="shared" si="8"/>
        <v>7350206.8781856075</v>
      </c>
      <c r="Z176" s="301">
        <f t="shared" si="8"/>
        <v>23610796.532062922</v>
      </c>
      <c r="AA176" s="301">
        <f t="shared" si="8"/>
        <v>10044744989.265549</v>
      </c>
      <c r="AB176" s="301">
        <f t="shared" si="12"/>
        <v>833069.55026507506</v>
      </c>
    </row>
    <row r="177" spans="18:28" x14ac:dyDescent="0.25">
      <c r="R177" s="254">
        <f t="shared" si="11"/>
        <v>146</v>
      </c>
      <c r="S177" s="254"/>
      <c r="T177" s="301">
        <f t="shared" si="10"/>
        <v>214261.91849732649</v>
      </c>
      <c r="U177" s="301">
        <f t="shared" si="10"/>
        <v>327484.69670322136</v>
      </c>
      <c r="V177" s="301">
        <f t="shared" si="10"/>
        <v>519405.24720643181</v>
      </c>
      <c r="W177" s="301">
        <f t="shared" si="9"/>
        <v>850730.94127037632</v>
      </c>
      <c r="X177" s="301">
        <f t="shared" si="8"/>
        <v>2461913.7248154772</v>
      </c>
      <c r="Y177" s="301">
        <f t="shared" si="8"/>
        <v>7645215.1533130333</v>
      </c>
      <c r="Z177" s="301">
        <f t="shared" si="8"/>
        <v>24792336.358666062</v>
      </c>
      <c r="AA177" s="301">
        <f t="shared" si="8"/>
        <v>11049220488.192104</v>
      </c>
      <c r="AB177" s="301">
        <f t="shared" si="12"/>
        <v>850730.94127037632</v>
      </c>
    </row>
    <row r="178" spans="18:28" x14ac:dyDescent="0.25">
      <c r="R178" s="254">
        <f t="shared" si="11"/>
        <v>147</v>
      </c>
      <c r="S178" s="254"/>
      <c r="T178" s="301">
        <f t="shared" si="10"/>
        <v>216333.22808981311</v>
      </c>
      <c r="U178" s="301">
        <f t="shared" si="10"/>
        <v>331759.54367025342</v>
      </c>
      <c r="V178" s="301">
        <f t="shared" si="10"/>
        <v>528196.32591452822</v>
      </c>
      <c r="W178" s="301">
        <f t="shared" si="9"/>
        <v>868745.56009578379</v>
      </c>
      <c r="X178" s="301">
        <f t="shared" si="8"/>
        <v>2536771.1365599413</v>
      </c>
      <c r="Y178" s="301">
        <f t="shared" si="8"/>
        <v>7952023.7594455546</v>
      </c>
      <c r="Z178" s="301">
        <f t="shared" si="8"/>
        <v>26032953.176599372</v>
      </c>
      <c r="AA178" s="301">
        <f t="shared" si="8"/>
        <v>12154143537.011316</v>
      </c>
      <c r="AB178" s="301">
        <f t="shared" si="12"/>
        <v>868745.56009578379</v>
      </c>
    </row>
    <row r="179" spans="18:28" x14ac:dyDescent="0.25">
      <c r="R179" s="254">
        <f t="shared" si="11"/>
        <v>148</v>
      </c>
      <c r="S179" s="254"/>
      <c r="T179" s="301">
        <f t="shared" si="10"/>
        <v>218414.89423026211</v>
      </c>
      <c r="U179" s="301">
        <f t="shared" si="10"/>
        <v>336077.13910695608</v>
      </c>
      <c r="V179" s="301">
        <f t="shared" si="10"/>
        <v>537119.27080324583</v>
      </c>
      <c r="W179" s="301">
        <f t="shared" si="9"/>
        <v>887120.47129769973</v>
      </c>
      <c r="X179" s="301">
        <f t="shared" si="8"/>
        <v>2613874.2706567394</v>
      </c>
      <c r="Y179" s="301">
        <f t="shared" si="8"/>
        <v>8271104.7098233756</v>
      </c>
      <c r="Z179" s="301">
        <f t="shared" si="8"/>
        <v>27335600.835429341</v>
      </c>
      <c r="AA179" s="301">
        <f t="shared" si="8"/>
        <v>13369558890.712448</v>
      </c>
      <c r="AB179" s="301">
        <f t="shared" si="12"/>
        <v>887120.47129769973</v>
      </c>
    </row>
    <row r="180" spans="18:28" x14ac:dyDescent="0.25">
      <c r="R180" s="254">
        <f t="shared" si="11"/>
        <v>149</v>
      </c>
      <c r="S180" s="254"/>
      <c r="T180" s="301">
        <f t="shared" si="10"/>
        <v>220506.96870141334</v>
      </c>
      <c r="U180" s="301">
        <f t="shared" si="10"/>
        <v>340437.91049802554</v>
      </c>
      <c r="V180" s="301">
        <f t="shared" si="10"/>
        <v>546176.05986529449</v>
      </c>
      <c r="W180" s="301">
        <f t="shared" si="9"/>
        <v>905862.88072365359</v>
      </c>
      <c r="X180" s="301">
        <f t="shared" si="8"/>
        <v>2693290.4987764414</v>
      </c>
      <c r="Y180" s="301">
        <f t="shared" si="8"/>
        <v>8602948.8982163146</v>
      </c>
      <c r="Z180" s="301">
        <f t="shared" si="8"/>
        <v>28703380.877200805</v>
      </c>
      <c r="AA180" s="301">
        <f t="shared" si="8"/>
        <v>14706515779.783691</v>
      </c>
      <c r="AB180" s="301">
        <f t="shared" si="12"/>
        <v>905862.88072365359</v>
      </c>
    </row>
    <row r="181" spans="18:28" x14ac:dyDescent="0.25">
      <c r="R181" s="254">
        <f t="shared" si="11"/>
        <v>150</v>
      </c>
      <c r="S181" s="254"/>
      <c r="T181" s="301">
        <f t="shared" si="10"/>
        <v>222609.50354492036</v>
      </c>
      <c r="U181" s="301">
        <f t="shared" si="10"/>
        <v>344842.28960300592</v>
      </c>
      <c r="V181" s="301">
        <f t="shared" si="10"/>
        <v>555368.70076327375</v>
      </c>
      <c r="W181" s="301">
        <f t="shared" si="9"/>
        <v>924980.13833812671</v>
      </c>
      <c r="X181" s="301">
        <f t="shared" si="8"/>
        <v>2775089.2137397351</v>
      </c>
      <c r="Y181" s="301">
        <f t="shared" si="8"/>
        <v>8948066.8541449644</v>
      </c>
      <c r="Z181" s="301">
        <f t="shared" si="8"/>
        <v>30139549.921060842</v>
      </c>
      <c r="AA181" s="301">
        <f t="shared" si="8"/>
        <v>16177168357.762064</v>
      </c>
      <c r="AB181" s="301">
        <f t="shared" si="12"/>
        <v>924980.13833812671</v>
      </c>
    </row>
    <row r="182" spans="18:28" x14ac:dyDescent="0.25">
      <c r="R182" s="254">
        <f t="shared" si="11"/>
        <v>151</v>
      </c>
      <c r="S182" s="254"/>
      <c r="T182" s="301">
        <f t="shared" si="10"/>
        <v>224722.5510626449</v>
      </c>
      <c r="U182" s="301">
        <f t="shared" si="10"/>
        <v>349290.71249903593</v>
      </c>
      <c r="V182" s="301">
        <f t="shared" si="10"/>
        <v>564699.23127472296</v>
      </c>
      <c r="W182" s="301">
        <f t="shared" si="9"/>
        <v>944479.74110488908</v>
      </c>
      <c r="X182" s="301">
        <f t="shared" si="8"/>
        <v>2859341.8901519272</v>
      </c>
      <c r="Y182" s="301">
        <f t="shared" si="8"/>
        <v>9306989.5283107627</v>
      </c>
      <c r="Z182" s="301">
        <f t="shared" si="8"/>
        <v>31647527.417113893</v>
      </c>
      <c r="AA182" s="301">
        <f t="shared" si="8"/>
        <v>17794886193.538269</v>
      </c>
      <c r="AB182" s="301">
        <f t="shared" si="12"/>
        <v>944479.74110488908</v>
      </c>
    </row>
    <row r="183" spans="18:28" x14ac:dyDescent="0.25">
      <c r="R183" s="254">
        <f t="shared" si="11"/>
        <v>152</v>
      </c>
      <c r="S183" s="254"/>
      <c r="T183" s="301">
        <f t="shared" si="10"/>
        <v>226846.16381795815</v>
      </c>
      <c r="U183" s="301">
        <f t="shared" si="10"/>
        <v>353783.61962402635</v>
      </c>
      <c r="V183" s="301">
        <f t="shared" si="10"/>
        <v>574169.71974384366</v>
      </c>
      <c r="W183" s="301">
        <f t="shared" si="9"/>
        <v>964369.335926987</v>
      </c>
      <c r="X183" s="301">
        <f t="shared" si="8"/>
        <v>2946122.1468564845</v>
      </c>
      <c r="Y183" s="301">
        <f t="shared" si="8"/>
        <v>9680269.1094431933</v>
      </c>
      <c r="Z183" s="301">
        <f t="shared" si="8"/>
        <v>33230903.787969582</v>
      </c>
      <c r="AA183" s="301">
        <f t="shared" si="8"/>
        <v>19574375812.892097</v>
      </c>
      <c r="AB183" s="301">
        <f t="shared" si="12"/>
        <v>964369.335926987</v>
      </c>
    </row>
    <row r="184" spans="18:28" x14ac:dyDescent="0.25">
      <c r="R184" s="254">
        <f t="shared" si="11"/>
        <v>153</v>
      </c>
      <c r="S184" s="254"/>
      <c r="T184" s="301">
        <f t="shared" si="10"/>
        <v>228980.39463704781</v>
      </c>
      <c r="U184" s="301">
        <f t="shared" si="10"/>
        <v>358321.45582026668</v>
      </c>
      <c r="V184" s="301">
        <f t="shared" si="10"/>
        <v>583782.26554000145</v>
      </c>
      <c r="W184" s="301">
        <f t="shared" si="9"/>
        <v>984656.72264552652</v>
      </c>
      <c r="X184" s="301">
        <f t="shared" si="8"/>
        <v>3035505.8112621787</v>
      </c>
      <c r="Y184" s="301">
        <f t="shared" si="8"/>
        <v>10068479.873820925</v>
      </c>
      <c r="Z184" s="301">
        <f t="shared" si="8"/>
        <v>34893448.977368064</v>
      </c>
      <c r="AA184" s="301">
        <f t="shared" si="8"/>
        <v>21531814394.181309</v>
      </c>
      <c r="AB184" s="301">
        <f t="shared" si="12"/>
        <v>984656.72264552652</v>
      </c>
    </row>
    <row r="185" spans="18:28" x14ac:dyDescent="0.25">
      <c r="R185" s="254">
        <f t="shared" si="11"/>
        <v>154</v>
      </c>
      <c r="S185" s="254"/>
      <c r="T185" s="301">
        <f t="shared" si="10"/>
        <v>231125.29661023302</v>
      </c>
      <c r="U185" s="301">
        <f t="shared" si="10"/>
        <v>362904.67037846934</v>
      </c>
      <c r="V185" s="301">
        <f t="shared" si="10"/>
        <v>593538.99952310126</v>
      </c>
      <c r="W185" s="301">
        <f t="shared" si="9"/>
        <v>1005349.8570984371</v>
      </c>
      <c r="X185" s="301">
        <f t="shared" si="8"/>
        <v>3127570.985600045</v>
      </c>
      <c r="Y185" s="301">
        <f t="shared" si="8"/>
        <v>10472219.06877376</v>
      </c>
      <c r="Z185" s="301">
        <f t="shared" si="8"/>
        <v>36639121.426236466</v>
      </c>
      <c r="AA185" s="301">
        <f t="shared" si="8"/>
        <v>23684996833.599442</v>
      </c>
      <c r="AB185" s="301">
        <f t="shared" si="12"/>
        <v>1005349.8570984371</v>
      </c>
    </row>
    <row r="186" spans="18:28" x14ac:dyDescent="0.25">
      <c r="R186" s="254">
        <f t="shared" si="11"/>
        <v>155</v>
      </c>
      <c r="S186" s="254"/>
      <c r="T186" s="301">
        <f t="shared" si="10"/>
        <v>233280.9230932841</v>
      </c>
      <c r="U186" s="301">
        <f t="shared" si="10"/>
        <v>367533.71708225389</v>
      </c>
      <c r="V186" s="301">
        <f t="shared" si="10"/>
        <v>603442.08451594762</v>
      </c>
      <c r="W186" s="301">
        <f t="shared" si="9"/>
        <v>1026456.8542404058</v>
      </c>
      <c r="X186" s="301">
        <f t="shared" si="8"/>
        <v>3222398.1151680457</v>
      </c>
      <c r="Y186" s="301">
        <f t="shared" si="8"/>
        <v>10892107.831524711</v>
      </c>
      <c r="Z186" s="301">
        <f t="shared" si="8"/>
        <v>38472077.49754829</v>
      </c>
      <c r="AA186" s="301">
        <f t="shared" si="8"/>
        <v>26053497516.959393</v>
      </c>
      <c r="AB186" s="301">
        <f t="shared" si="12"/>
        <v>1026456.8542404058</v>
      </c>
    </row>
    <row r="187" spans="18:28" x14ac:dyDescent="0.25">
      <c r="R187" s="254">
        <f t="shared" si="11"/>
        <v>156</v>
      </c>
      <c r="S187" s="254"/>
      <c r="T187" s="301">
        <f t="shared" si="10"/>
        <v>235447.32770875044</v>
      </c>
      <c r="U187" s="301">
        <f t="shared" si="10"/>
        <v>372209.05425307638</v>
      </c>
      <c r="V187" s="301">
        <f t="shared" si="10"/>
        <v>613493.71578368661</v>
      </c>
      <c r="W187" s="301">
        <f t="shared" si="9"/>
        <v>1047985.9913252142</v>
      </c>
      <c r="X187" s="301">
        <f t="shared" si="8"/>
        <v>3320070.0586230871</v>
      </c>
      <c r="Y187" s="301">
        <f t="shared" si="8"/>
        <v>11328792.144785702</v>
      </c>
      <c r="Z187" s="301">
        <f t="shared" si="8"/>
        <v>40396681.372425698</v>
      </c>
      <c r="AA187" s="301">
        <f t="shared" si="8"/>
        <v>28658848268.655334</v>
      </c>
      <c r="AB187" s="301">
        <f t="shared" si="12"/>
        <v>1047985.9913252142</v>
      </c>
    </row>
    <row r="188" spans="18:28" x14ac:dyDescent="0.25">
      <c r="R188" s="254">
        <f t="shared" si="11"/>
        <v>157</v>
      </c>
      <c r="S188" s="254"/>
      <c r="T188" s="301">
        <f t="shared" si="10"/>
        <v>237624.56434729416</v>
      </c>
      <c r="U188" s="301">
        <f t="shared" si="10"/>
        <v>376931.14479560725</v>
      </c>
      <c r="V188" s="301">
        <f t="shared" si="10"/>
        <v>623696.12152044196</v>
      </c>
      <c r="W188" s="301">
        <f t="shared" si="9"/>
        <v>1069945.7111517184</v>
      </c>
      <c r="X188" s="301">
        <f t="shared" si="8"/>
        <v>3420672.1603817795</v>
      </c>
      <c r="Y188" s="301">
        <f t="shared" si="8"/>
        <v>11782943.830577131</v>
      </c>
      <c r="Z188" s="301">
        <f t="shared" si="8"/>
        <v>42417515.441046998</v>
      </c>
      <c r="AA188" s="301">
        <f t="shared" si="8"/>
        <v>31524734095.520866</v>
      </c>
      <c r="AB188" s="301">
        <f t="shared" si="12"/>
        <v>1069945.7111517184</v>
      </c>
    </row>
    <row r="189" spans="18:28" x14ac:dyDescent="0.25">
      <c r="R189" s="254">
        <f t="shared" si="11"/>
        <v>158</v>
      </c>
      <c r="S189" s="254"/>
      <c r="T189" s="301">
        <f t="shared" si="10"/>
        <v>239812.68716903051</v>
      </c>
      <c r="U189" s="301">
        <f t="shared" si="10"/>
        <v>381700.45624356339</v>
      </c>
      <c r="V189" s="301">
        <f t="shared" si="10"/>
        <v>634051.56334324845</v>
      </c>
      <c r="W189" s="301">
        <f t="shared" si="9"/>
        <v>1092344.6253747528</v>
      </c>
      <c r="X189" s="301">
        <f t="shared" si="8"/>
        <v>3524292.3251932324</v>
      </c>
      <c r="Y189" s="301">
        <f t="shared" si="8"/>
        <v>12255261.583800215</v>
      </c>
      <c r="Z189" s="301">
        <f t="shared" si="8"/>
        <v>44539391.213099331</v>
      </c>
      <c r="AA189" s="301">
        <f t="shared" si="8"/>
        <v>34677208505.07296</v>
      </c>
      <c r="AB189" s="301">
        <f t="shared" si="12"/>
        <v>1092344.6253747528</v>
      </c>
    </row>
    <row r="190" spans="18:28" x14ac:dyDescent="0.25">
      <c r="R190" s="254">
        <f t="shared" si="11"/>
        <v>159</v>
      </c>
      <c r="S190" s="254"/>
      <c r="T190" s="301">
        <f t="shared" si="10"/>
        <v>242011.75060487559</v>
      </c>
      <c r="U190" s="301">
        <f t="shared" si="10"/>
        <v>386517.46080599882</v>
      </c>
      <c r="V190" s="301">
        <f t="shared" si="10"/>
        <v>644562.33679339709</v>
      </c>
      <c r="W190" s="301">
        <f t="shared" si="9"/>
        <v>1115191.5178822477</v>
      </c>
      <c r="X190" s="301">
        <f t="shared" si="8"/>
        <v>3631021.0949490303</v>
      </c>
      <c r="Y190" s="301">
        <f t="shared" si="8"/>
        <v>12746472.047152223</v>
      </c>
      <c r="Z190" s="301">
        <f t="shared" si="8"/>
        <v>46767360.773754314</v>
      </c>
      <c r="AA190" s="301">
        <f t="shared" si="8"/>
        <v>38144930355.580246</v>
      </c>
      <c r="AB190" s="301">
        <f t="shared" si="12"/>
        <v>1115191.5178822477</v>
      </c>
    </row>
    <row r="191" spans="18:28" x14ac:dyDescent="0.25">
      <c r="R191" s="254">
        <f t="shared" si="11"/>
        <v>160</v>
      </c>
      <c r="S191" s="254"/>
      <c r="T191" s="301">
        <f t="shared" si="10"/>
        <v>244221.80935789994</v>
      </c>
      <c r="U191" s="301">
        <f t="shared" si="10"/>
        <v>391382.63541405898</v>
      </c>
      <c r="V191" s="301">
        <f t="shared" si="10"/>
        <v>655230.77184529789</v>
      </c>
      <c r="W191" s="301">
        <f t="shared" si="9"/>
        <v>1138495.3482398929</v>
      </c>
      <c r="X191" s="301">
        <f t="shared" si="8"/>
        <v>3740951.7277975003</v>
      </c>
      <c r="Y191" s="301">
        <f t="shared" si="8"/>
        <v>13257330.929038314</v>
      </c>
      <c r="Z191" s="301">
        <f t="shared" si="8"/>
        <v>49106728.81244202</v>
      </c>
      <c r="AA191" s="301">
        <f t="shared" si="8"/>
        <v>41959424391.138275</v>
      </c>
      <c r="AB191" s="301">
        <f t="shared" si="12"/>
        <v>1138495.3482398929</v>
      </c>
    </row>
    <row r="192" spans="18:28" x14ac:dyDescent="0.25">
      <c r="R192" s="254">
        <f t="shared" si="11"/>
        <v>161</v>
      </c>
      <c r="S192" s="254"/>
      <c r="T192" s="301">
        <f t="shared" si="10"/>
        <v>246442.91840468932</v>
      </c>
      <c r="U192" s="301">
        <f t="shared" si="10"/>
        <v>396296.46176819957</v>
      </c>
      <c r="V192" s="301">
        <f t="shared" si="10"/>
        <v>666059.23342297727</v>
      </c>
      <c r="W192" s="301">
        <f t="shared" si="9"/>
        <v>1162265.2552046906</v>
      </c>
      <c r="X192" s="301">
        <f t="shared" si="8"/>
        <v>3854180.2796314256</v>
      </c>
      <c r="Y192" s="301">
        <f t="shared" si="8"/>
        <v>13788624.166199846</v>
      </c>
      <c r="Z192" s="301">
        <f t="shared" si="8"/>
        <v>51563065.253064133</v>
      </c>
      <c r="AA192" s="301">
        <f t="shared" si="8"/>
        <v>46155367830.252113</v>
      </c>
      <c r="AB192" s="301">
        <f t="shared" si="12"/>
        <v>1162265.2552046906</v>
      </c>
    </row>
    <row r="193" spans="18:28" x14ac:dyDescent="0.25">
      <c r="R193" s="254">
        <f t="shared" si="11"/>
        <v>162</v>
      </c>
      <c r="S193" s="254"/>
      <c r="T193" s="301">
        <f t="shared" si="10"/>
        <v>248675.13299671272</v>
      </c>
      <c r="U193" s="301">
        <f t="shared" si="10"/>
        <v>401259.42638588155</v>
      </c>
      <c r="V193" s="301">
        <f t="shared" si="10"/>
        <v>677050.12192432175</v>
      </c>
      <c r="W193" s="301">
        <f t="shared" si="9"/>
        <v>1186510.5603087842</v>
      </c>
      <c r="X193" s="301">
        <f t="shared" si="8"/>
        <v>3970805.6880203676</v>
      </c>
      <c r="Y193" s="301">
        <f t="shared" si="8"/>
        <v>14341169.132847842</v>
      </c>
      <c r="Z193" s="301">
        <f t="shared" si="8"/>
        <v>54142218.515717328</v>
      </c>
      <c r="AA193" s="301">
        <f t="shared" si="8"/>
        <v>50770905613.277328</v>
      </c>
      <c r="AB193" s="301">
        <f t="shared" si="12"/>
        <v>1186510.5603087842</v>
      </c>
    </row>
    <row r="194" spans="18:28" x14ac:dyDescent="0.25">
      <c r="R194" s="254">
        <f t="shared" si="11"/>
        <v>163</v>
      </c>
      <c r="S194" s="254"/>
      <c r="T194" s="301">
        <f t="shared" si="10"/>
        <v>250918.50866169628</v>
      </c>
      <c r="U194" s="301">
        <f t="shared" si="10"/>
        <v>406272.0206497403</v>
      </c>
      <c r="V194" s="301">
        <f t="shared" si="10"/>
        <v>688205.87375318666</v>
      </c>
      <c r="W194" s="301">
        <f t="shared" si="9"/>
        <v>1211240.7715149601</v>
      </c>
      <c r="X194" s="301">
        <f t="shared" si="8"/>
        <v>4090929.8586609792</v>
      </c>
      <c r="Y194" s="301">
        <f t="shared" si="8"/>
        <v>14915815.898161756</v>
      </c>
      <c r="Z194" s="301">
        <f t="shared" si="8"/>
        <v>56850329.441503204</v>
      </c>
      <c r="AA194" s="301">
        <f t="shared" si="8"/>
        <v>55847997174.605072</v>
      </c>
      <c r="AB194" s="301">
        <f t="shared" si="12"/>
        <v>1211240.7715149601</v>
      </c>
    </row>
    <row r="195" spans="18:28" x14ac:dyDescent="0.25">
      <c r="R195" s="254">
        <f t="shared" si="11"/>
        <v>164</v>
      </c>
      <c r="S195" s="254"/>
      <c r="T195" s="301">
        <f t="shared" si="10"/>
        <v>253173.10120500461</v>
      </c>
      <c r="U195" s="301">
        <f t="shared" si="10"/>
        <v>411334.74085623777</v>
      </c>
      <c r="V195" s="301">
        <f t="shared" si="10"/>
        <v>699528.96185948432</v>
      </c>
      <c r="W195" s="301">
        <f t="shared" si="9"/>
        <v>1236465.586945259</v>
      </c>
      <c r="X195" s="301">
        <f t="shared" si="8"/>
        <v>4214657.7544208085</v>
      </c>
      <c r="Y195" s="301">
        <f t="shared" si="8"/>
        <v>15513448.534088226</v>
      </c>
      <c r="Z195" s="301">
        <f t="shared" si="8"/>
        <v>59693845.913578354</v>
      </c>
      <c r="AA195" s="301">
        <f t="shared" si="8"/>
        <v>61432797892.065575</v>
      </c>
      <c r="AB195" s="301">
        <f t="shared" si="12"/>
        <v>1236465.586945259</v>
      </c>
    </row>
    <row r="196" spans="18:28" x14ac:dyDescent="0.25">
      <c r="R196" s="254">
        <f t="shared" si="11"/>
        <v>165</v>
      </c>
      <c r="S196" s="254"/>
      <c r="T196" s="301">
        <f t="shared" si="10"/>
        <v>255438.96671102953</v>
      </c>
      <c r="U196" s="301">
        <f t="shared" si="10"/>
        <v>416448.08826480014</v>
      </c>
      <c r="V196" s="301">
        <f t="shared" si="10"/>
        <v>711021.89628737641</v>
      </c>
      <c r="W196" s="301">
        <f t="shared" si="9"/>
        <v>1262194.8986841645</v>
      </c>
      <c r="X196" s="301">
        <f t="shared" si="8"/>
        <v>4342097.4870534316</v>
      </c>
      <c r="Y196" s="301">
        <f t="shared" si="8"/>
        <v>16134986.47545176</v>
      </c>
      <c r="Z196" s="301">
        <f t="shared" si="8"/>
        <v>62679538.209257282</v>
      </c>
      <c r="AA196" s="301">
        <f t="shared" si="8"/>
        <v>67576078681.272133</v>
      </c>
      <c r="AB196" s="301">
        <f t="shared" si="12"/>
        <v>1262194.8986841645</v>
      </c>
    </row>
    <row r="197" spans="18:28" x14ac:dyDescent="0.25">
      <c r="R197" s="254">
        <f t="shared" si="11"/>
        <v>166</v>
      </c>
      <c r="S197" s="254"/>
      <c r="T197" s="301">
        <f t="shared" si="10"/>
        <v>257716.16154458461</v>
      </c>
      <c r="U197" s="301">
        <f t="shared" si="10"/>
        <v>421612.56914744817</v>
      </c>
      <c r="V197" s="301">
        <f t="shared" si="10"/>
        <v>722687.22473168687</v>
      </c>
      <c r="W197" s="301">
        <f t="shared" si="9"/>
        <v>1288438.7966578479</v>
      </c>
      <c r="X197" s="301">
        <f t="shared" si="8"/>
        <v>4473360.4116650354</v>
      </c>
      <c r="Y197" s="301">
        <f t="shared" si="8"/>
        <v>16781385.93446983</v>
      </c>
      <c r="Z197" s="301">
        <f t="shared" si="8"/>
        <v>65814515.119720131</v>
      </c>
      <c r="AA197" s="301">
        <f t="shared" si="8"/>
        <v>74333687549.399368</v>
      </c>
      <c r="AB197" s="301">
        <f t="shared" si="12"/>
        <v>1288438.7966578479</v>
      </c>
    </row>
    <row r="198" spans="18:28" x14ac:dyDescent="0.25">
      <c r="R198" s="254">
        <f t="shared" si="11"/>
        <v>167</v>
      </c>
      <c r="S198" s="254"/>
      <c r="T198" s="301">
        <f t="shared" si="10"/>
        <v>260004.74235230751</v>
      </c>
      <c r="U198" s="301">
        <f t="shared" si="10"/>
        <v>426828.69483892259</v>
      </c>
      <c r="V198" s="301">
        <f t="shared" si="10"/>
        <v>734527.53310266195</v>
      </c>
      <c r="W198" s="301">
        <f t="shared" si="9"/>
        <v>1315207.5725910042</v>
      </c>
      <c r="X198" s="301">
        <f t="shared" si="8"/>
        <v>4608561.2240149863</v>
      </c>
      <c r="Y198" s="301">
        <f t="shared" si="8"/>
        <v>17453641.371848617</v>
      </c>
      <c r="Z198" s="301">
        <f t="shared" si="8"/>
        <v>69106240.875706166</v>
      </c>
      <c r="AA198" s="301">
        <f t="shared" si="8"/>
        <v>81767057304.33931</v>
      </c>
      <c r="AB198" s="301">
        <f t="shared" si="12"/>
        <v>1315207.5725910042</v>
      </c>
    </row>
    <row r="199" spans="18:28" x14ac:dyDescent="0.25">
      <c r="R199" s="254">
        <f t="shared" si="11"/>
        <v>168</v>
      </c>
      <c r="S199" s="254"/>
      <c r="T199" s="301">
        <f t="shared" si="10"/>
        <v>262304.76606406906</v>
      </c>
      <c r="U199" s="301">
        <f t="shared" si="10"/>
        <v>432096.9817873119</v>
      </c>
      <c r="V199" s="301">
        <f t="shared" si="10"/>
        <v>746545.44609920192</v>
      </c>
      <c r="W199" s="301">
        <f t="shared" si="9"/>
        <v>1342511.7240428249</v>
      </c>
      <c r="X199" s="301">
        <f t="shared" si="8"/>
        <v>4747818.0607354362</v>
      </c>
      <c r="Y199" s="301">
        <f t="shared" si="8"/>
        <v>18152787.026722569</v>
      </c>
      <c r="Z199" s="301">
        <f t="shared" si="8"/>
        <v>72562552.919491455</v>
      </c>
      <c r="AA199" s="301">
        <f t="shared" si="8"/>
        <v>89943764034.773209</v>
      </c>
      <c r="AB199" s="301">
        <f t="shared" si="12"/>
        <v>1342511.7240428249</v>
      </c>
    </row>
    <row r="200" spans="18:28" x14ac:dyDescent="0.25">
      <c r="R200" s="254">
        <f t="shared" si="11"/>
        <v>169</v>
      </c>
      <c r="S200" s="254"/>
      <c r="T200" s="301">
        <f t="shared" si="10"/>
        <v>264616.28989438928</v>
      </c>
      <c r="U200" s="301">
        <f t="shared" si="10"/>
        <v>437417.95160518505</v>
      </c>
      <c r="V200" s="301">
        <f t="shared" si="10"/>
        <v>758743.62779068993</v>
      </c>
      <c r="W200" s="301">
        <f t="shared" si="9"/>
        <v>1370361.9585236814</v>
      </c>
      <c r="X200" s="301">
        <f t="shared" si="8"/>
        <v>4891252.602557499</v>
      </c>
      <c r="Y200" s="301">
        <f t="shared" si="8"/>
        <v>18879898.507791474</v>
      </c>
      <c r="Z200" s="301">
        <f t="shared" si="8"/>
        <v>76191680.565466046</v>
      </c>
      <c r="AA200" s="301">
        <f t="shared" si="8"/>
        <v>98938141438.250549</v>
      </c>
      <c r="AB200" s="301">
        <f t="shared" si="12"/>
        <v>1370361.9585236814</v>
      </c>
    </row>
    <row r="201" spans="18:28" x14ac:dyDescent="0.25">
      <c r="R201" s="254">
        <f t="shared" si="11"/>
        <v>170</v>
      </c>
      <c r="S201" s="254"/>
      <c r="T201" s="301">
        <f t="shared" si="10"/>
        <v>266939.37134386116</v>
      </c>
      <c r="U201" s="301">
        <f t="shared" si="10"/>
        <v>442792.13112123701</v>
      </c>
      <c r="V201" s="301">
        <f t="shared" si="10"/>
        <v>771124.78220755025</v>
      </c>
      <c r="W201" s="301">
        <f t="shared" si="9"/>
        <v>1398769.1976941549</v>
      </c>
      <c r="X201" s="301">
        <f t="shared" si="8"/>
        <v>5038990.1806342248</v>
      </c>
      <c r="Y201" s="301">
        <f t="shared" si="8"/>
        <v>19636094.44810313</v>
      </c>
      <c r="Z201" s="301">
        <f t="shared" si="8"/>
        <v>80002264.593739346</v>
      </c>
      <c r="AA201" s="301">
        <f t="shared" si="8"/>
        <v>108831956582.07561</v>
      </c>
      <c r="AB201" s="301">
        <f t="shared" si="12"/>
        <v>1398769.1976941549</v>
      </c>
    </row>
    <row r="202" spans="18:28" x14ac:dyDescent="0.25">
      <c r="R202" s="254">
        <f t="shared" si="11"/>
        <v>171</v>
      </c>
      <c r="S202" s="254"/>
      <c r="T202" s="301">
        <f t="shared" si="10"/>
        <v>269274.06820058043</v>
      </c>
      <c r="U202" s="301">
        <f t="shared" si="10"/>
        <v>448220.05243244919</v>
      </c>
      <c r="V202" s="301">
        <f t="shared" si="10"/>
        <v>783691.65394066344</v>
      </c>
      <c r="W202" s="301">
        <f t="shared" si="9"/>
        <v>1427744.5816480378</v>
      </c>
      <c r="X202" s="301">
        <f t="shared" si="8"/>
        <v>5191159.8860532511</v>
      </c>
      <c r="Y202" s="301">
        <f t="shared" si="8"/>
        <v>20422538.226027258</v>
      </c>
      <c r="Z202" s="301">
        <f t="shared" si="8"/>
        <v>84003377.823426306</v>
      </c>
      <c r="AA202" s="301">
        <f t="shared" si="8"/>
        <v>119715153240.2832</v>
      </c>
      <c r="AB202" s="301">
        <f t="shared" si="12"/>
        <v>1427744.5816480378</v>
      </c>
    </row>
    <row r="203" spans="18:28" x14ac:dyDescent="0.25">
      <c r="R203" s="254">
        <f t="shared" si="11"/>
        <v>172</v>
      </c>
      <c r="S203" s="254"/>
      <c r="T203" s="301">
        <f t="shared" si="10"/>
        <v>271620.43854158319</v>
      </c>
      <c r="U203" s="301">
        <f t="shared" si="10"/>
        <v>453702.25295677374</v>
      </c>
      <c r="V203" s="301">
        <f t="shared" si="10"/>
        <v>796447.02874977305</v>
      </c>
      <c r="W203" s="301">
        <f t="shared" si="9"/>
        <v>1457299.4732809989</v>
      </c>
      <c r="X203" s="301">
        <f t="shared" si="8"/>
        <v>5347894.6826348472</v>
      </c>
      <c r="Y203" s="301">
        <f t="shared" si="8"/>
        <v>21240439.755068351</v>
      </c>
      <c r="Z203" s="301">
        <f t="shared" si="8"/>
        <v>88204546.714597613</v>
      </c>
      <c r="AA203" s="301">
        <f t="shared" si="8"/>
        <v>131686669564.31152</v>
      </c>
      <c r="AB203" s="301">
        <f t="shared" si="12"/>
        <v>1457299.4732809989</v>
      </c>
    </row>
    <row r="204" spans="18:28" x14ac:dyDescent="0.25">
      <c r="R204" s="254">
        <f t="shared" si="11"/>
        <v>173</v>
      </c>
      <c r="S204" s="254"/>
      <c r="T204" s="301">
        <f t="shared" si="10"/>
        <v>273978.54073429102</v>
      </c>
      <c r="U204" s="301">
        <f t="shared" si="10"/>
        <v>459239.27548634144</v>
      </c>
      <c r="V204" s="301">
        <f t="shared" si="10"/>
        <v>809393.73418101971</v>
      </c>
      <c r="W204" s="301">
        <f t="shared" si="9"/>
        <v>1487445.4627466183</v>
      </c>
      <c r="X204" s="301">
        <f t="shared" si="8"/>
        <v>5509331.5231138933</v>
      </c>
      <c r="Y204" s="301">
        <f t="shared" si="8"/>
        <v>22091057.345271084</v>
      </c>
      <c r="Z204" s="301">
        <f t="shared" si="8"/>
        <v>92615774.050327525</v>
      </c>
      <c r="AA204" s="301">
        <f t="shared" si="8"/>
        <v>144855337520.74268</v>
      </c>
      <c r="AB204" s="301">
        <f t="shared" si="12"/>
        <v>1487445.4627466183</v>
      </c>
    </row>
    <row r="205" spans="18:28" x14ac:dyDescent="0.25">
      <c r="R205" s="254">
        <f t="shared" si="11"/>
        <v>174</v>
      </c>
      <c r="S205" s="254"/>
      <c r="T205" s="301">
        <f t="shared" si="10"/>
        <v>276348.43343796243</v>
      </c>
      <c r="U205" s="301">
        <f t="shared" si="10"/>
        <v>464831.66824120498</v>
      </c>
      <c r="V205" s="301">
        <f t="shared" si="10"/>
        <v>822534.64019373467</v>
      </c>
      <c r="W205" s="301">
        <f t="shared" si="9"/>
        <v>1518194.3720015513</v>
      </c>
      <c r="X205" s="301">
        <f t="shared" si="8"/>
        <v>5675611.4688073099</v>
      </c>
      <c r="Y205" s="301">
        <f t="shared" si="8"/>
        <v>22975699.639081925</v>
      </c>
      <c r="Z205" s="301">
        <f t="shared" si="8"/>
        <v>97247562.752843872</v>
      </c>
      <c r="AA205" s="301">
        <f t="shared" si="8"/>
        <v>159340872272.81696</v>
      </c>
      <c r="AB205" s="301">
        <f t="shared" si="12"/>
        <v>1518194.3720015513</v>
      </c>
    </row>
    <row r="206" spans="18:28" x14ac:dyDescent="0.25">
      <c r="R206" s="254">
        <f t="shared" si="11"/>
        <v>175</v>
      </c>
      <c r="S206" s="254"/>
      <c r="T206" s="301">
        <f t="shared" si="10"/>
        <v>278730.17560515209</v>
      </c>
      <c r="U206" s="301">
        <f t="shared" si="10"/>
        <v>470479.98492361675</v>
      </c>
      <c r="V206" s="301">
        <f t="shared" si="10"/>
        <v>835872.65979664063</v>
      </c>
      <c r="W206" s="301">
        <f t="shared" si="9"/>
        <v>1549558.2594415816</v>
      </c>
      <c r="X206" s="301">
        <f t="shared" si="8"/>
        <v>5846879.8128715307</v>
      </c>
      <c r="Y206" s="301">
        <f t="shared" si="8"/>
        <v>23895727.624645203</v>
      </c>
      <c r="Z206" s="301">
        <f t="shared" si="8"/>
        <v>102110940.89048609</v>
      </c>
      <c r="AA206" s="301">
        <f t="shared" si="8"/>
        <v>175274960500.09866</v>
      </c>
      <c r="AB206" s="301">
        <f t="shared" si="12"/>
        <v>1549558.2594415816</v>
      </c>
    </row>
    <row r="207" spans="18:28" x14ac:dyDescent="0.25">
      <c r="R207" s="254">
        <f t="shared" si="11"/>
        <v>176</v>
      </c>
      <c r="S207" s="254"/>
      <c r="T207" s="301">
        <f t="shared" si="10"/>
        <v>281123.82648317784</v>
      </c>
      <c r="U207" s="301">
        <f t="shared" si="10"/>
        <v>476184.78477285319</v>
      </c>
      <c r="V207" s="301">
        <f t="shared" si="10"/>
        <v>849410.7496935901</v>
      </c>
      <c r="W207" s="301">
        <f t="shared" si="9"/>
        <v>1581549.4246304138</v>
      </c>
      <c r="X207" s="301">
        <f t="shared" si="8"/>
        <v>6023286.207257675</v>
      </c>
      <c r="Y207" s="301">
        <f t="shared" si="8"/>
        <v>24852556.729631014</v>
      </c>
      <c r="Z207" s="301">
        <f t="shared" si="8"/>
        <v>107217487.93501039</v>
      </c>
      <c r="AA207" s="301">
        <f t="shared" si="8"/>
        <v>192802457550.10852</v>
      </c>
      <c r="AB207" s="301">
        <f t="shared" si="12"/>
        <v>1581549.4246304138</v>
      </c>
    </row>
    <row r="208" spans="18:28" x14ac:dyDescent="0.25">
      <c r="R208" s="254">
        <f t="shared" si="11"/>
        <v>177</v>
      </c>
      <c r="S208" s="254"/>
      <c r="T208" s="301">
        <f t="shared" si="10"/>
        <v>283529.44561559369</v>
      </c>
      <c r="U208" s="301">
        <f t="shared" si="10"/>
        <v>481946.63262058172</v>
      </c>
      <c r="V208" s="301">
        <f t="shared" si="10"/>
        <v>863151.91093899379</v>
      </c>
      <c r="W208" s="301">
        <f t="shared" si="9"/>
        <v>1614180.4131230218</v>
      </c>
      <c r="X208" s="301">
        <f t="shared" si="8"/>
        <v>6204984.7934754053</v>
      </c>
      <c r="Y208" s="301">
        <f t="shared" si="8"/>
        <v>25847658.998816255</v>
      </c>
      <c r="Z208" s="301">
        <f t="shared" si="8"/>
        <v>112579362.33176093</v>
      </c>
      <c r="AA208" s="301">
        <f t="shared" si="8"/>
        <v>212082704305.11942</v>
      </c>
      <c r="AB208" s="301">
        <f t="shared" si="12"/>
        <v>1614180.4131230218</v>
      </c>
    </row>
    <row r="209" spans="18:28" x14ac:dyDescent="0.25">
      <c r="R209" s="254">
        <f t="shared" si="11"/>
        <v>178</v>
      </c>
      <c r="S209" s="254"/>
      <c r="T209" s="301">
        <f t="shared" si="10"/>
        <v>285947.0928436715</v>
      </c>
      <c r="U209" s="301">
        <f t="shared" si="10"/>
        <v>487766.09894678765</v>
      </c>
      <c r="V209" s="301">
        <f t="shared" si="10"/>
        <v>877099.18960307876</v>
      </c>
      <c r="W209" s="301">
        <f t="shared" si="9"/>
        <v>1647464.0213854823</v>
      </c>
      <c r="X209" s="301">
        <f t="shared" si="8"/>
        <v>6392134.3372796662</v>
      </c>
      <c r="Y209" s="301">
        <f t="shared" si="8"/>
        <v>26882565.35876891</v>
      </c>
      <c r="Z209" s="301">
        <f t="shared" si="8"/>
        <v>118209330.44834897</v>
      </c>
      <c r="AA209" s="301">
        <f t="shared" si="8"/>
        <v>233290975735.63138</v>
      </c>
      <c r="AB209" s="301">
        <f t="shared" si="12"/>
        <v>1647464.0213854823</v>
      </c>
    </row>
    <row r="210" spans="18:28" x14ac:dyDescent="0.25">
      <c r="R210" s="254">
        <f t="shared" si="11"/>
        <v>179</v>
      </c>
      <c r="S210" s="254"/>
      <c r="T210" s="301">
        <f t="shared" si="10"/>
        <v>288376.82830788981</v>
      </c>
      <c r="U210" s="301">
        <f t="shared" si="10"/>
        <v>493643.7599362554</v>
      </c>
      <c r="V210" s="301">
        <f t="shared" si="10"/>
        <v>891255.67744712485</v>
      </c>
      <c r="W210" s="301">
        <f t="shared" si="9"/>
        <v>1681413.3018131917</v>
      </c>
      <c r="X210" s="301">
        <f t="shared" si="8"/>
        <v>6584898.3673980571</v>
      </c>
      <c r="Y210" s="301">
        <f t="shared" si="8"/>
        <v>27958867.973119669</v>
      </c>
      <c r="Z210" s="301">
        <f t="shared" si="8"/>
        <v>124120796.97076641</v>
      </c>
      <c r="AA210" s="301">
        <f t="shared" si="8"/>
        <v>256620074309.19458</v>
      </c>
      <c r="AB210" s="301">
        <f t="shared" si="12"/>
        <v>1681413.3018131917</v>
      </c>
    </row>
    <row r="211" spans="18:28" x14ac:dyDescent="0.25">
      <c r="R211" s="254">
        <f t="shared" si="11"/>
        <v>180</v>
      </c>
      <c r="S211" s="254"/>
      <c r="T211" s="301">
        <f t="shared" si="10"/>
        <v>290818.71244942921</v>
      </c>
      <c r="U211" s="301">
        <f t="shared" si="10"/>
        <v>499580.19753561798</v>
      </c>
      <c r="V211" s="301">
        <f t="shared" si="10"/>
        <v>905624.51260883128</v>
      </c>
      <c r="W211" s="301">
        <f t="shared" si="9"/>
        <v>1716041.5678494559</v>
      </c>
      <c r="X211" s="301">
        <f t="shared" si="8"/>
        <v>6783445.3184199994</v>
      </c>
      <c r="Y211" s="301">
        <f t="shared" si="8"/>
        <v>29078222.692044456</v>
      </c>
      <c r="Z211" s="301">
        <f t="shared" si="8"/>
        <v>130327836.81930473</v>
      </c>
      <c r="AA211" s="301">
        <f t="shared" si="8"/>
        <v>282282082740.11401</v>
      </c>
      <c r="AB211" s="301">
        <f t="shared" si="12"/>
        <v>1716041.5678494559</v>
      </c>
    </row>
    <row r="212" spans="18:28" x14ac:dyDescent="0.25">
      <c r="R212" s="254">
        <f t="shared" si="11"/>
        <v>181</v>
      </c>
      <c r="S212" s="254"/>
      <c r="T212" s="301">
        <f t="shared" si="10"/>
        <v>293272.80601167632</v>
      </c>
      <c r="U212" s="301">
        <f t="shared" si="10"/>
        <v>505575.99951097404</v>
      </c>
      <c r="V212" s="301">
        <f t="shared" si="10"/>
        <v>920208.88029796374</v>
      </c>
      <c r="W212" s="301">
        <f t="shared" si="9"/>
        <v>1751362.3992064449</v>
      </c>
      <c r="X212" s="301">
        <f t="shared" si="8"/>
        <v>6987948.677972598</v>
      </c>
      <c r="Y212" s="301">
        <f t="shared" si="8"/>
        <v>30242351.599726237</v>
      </c>
      <c r="Z212" s="301">
        <f t="shared" si="8"/>
        <v>136845228.66026995</v>
      </c>
      <c r="AA212" s="301">
        <f t="shared" si="8"/>
        <v>310510292014.12549</v>
      </c>
      <c r="AB212" s="301">
        <f t="shared" si="12"/>
        <v>1751362.3992064449</v>
      </c>
    </row>
    <row r="213" spans="18:28" x14ac:dyDescent="0.25">
      <c r="R213" s="254">
        <f t="shared" si="11"/>
        <v>182</v>
      </c>
      <c r="S213" s="254"/>
      <c r="T213" s="301">
        <f t="shared" si="10"/>
        <v>295739.17004173453</v>
      </c>
      <c r="U213" s="301">
        <f t="shared" si="10"/>
        <v>511631.75950608397</v>
      </c>
      <c r="V213" s="301">
        <f t="shared" si="10"/>
        <v>935012.01350243273</v>
      </c>
      <c r="W213" s="301">
        <f t="shared" si="9"/>
        <v>1787389.6471905741</v>
      </c>
      <c r="X213" s="301">
        <f t="shared" si="8"/>
        <v>7198587.1383117763</v>
      </c>
      <c r="Y213" s="301">
        <f t="shared" si="8"/>
        <v>31453045.663715288</v>
      </c>
      <c r="Z213" s="301">
        <f t="shared" si="8"/>
        <v>143688490.09328344</v>
      </c>
      <c r="AA213" s="301">
        <f t="shared" si="8"/>
        <v>341561322215.53802</v>
      </c>
      <c r="AB213" s="301">
        <f t="shared" si="12"/>
        <v>1787389.6471905741</v>
      </c>
    </row>
    <row r="214" spans="18:28" x14ac:dyDescent="0.25">
      <c r="R214" s="254">
        <f t="shared" si="11"/>
        <v>183</v>
      </c>
      <c r="S214" s="254"/>
      <c r="T214" s="301">
        <f t="shared" si="10"/>
        <v>298217.86589194322</v>
      </c>
      <c r="U214" s="301">
        <f t="shared" si="10"/>
        <v>517748.07710114465</v>
      </c>
      <c r="V214" s="301">
        <f t="shared" si="10"/>
        <v>950037.19370496937</v>
      </c>
      <c r="W214" s="301">
        <f t="shared" si="9"/>
        <v>1824137.4401343847</v>
      </c>
      <c r="X214" s="301">
        <f t="shared" si="8"/>
        <v>7415544.7524611298</v>
      </c>
      <c r="Y214" s="301">
        <f t="shared" si="8"/>
        <v>32712167.490263894</v>
      </c>
      <c r="Z214" s="301">
        <f t="shared" si="8"/>
        <v>150873914.59794766</v>
      </c>
      <c r="AA214" s="301">
        <f t="shared" si="8"/>
        <v>375717455437.09186</v>
      </c>
      <c r="AB214" s="301">
        <f t="shared" si="12"/>
        <v>1824137.4401343847</v>
      </c>
    </row>
    <row r="215" spans="18:28" x14ac:dyDescent="0.25">
      <c r="R215" s="254">
        <f t="shared" si="11"/>
        <v>184</v>
      </c>
      <c r="S215" s="254"/>
      <c r="T215" s="301">
        <f t="shared" si="10"/>
        <v>300708.95522140292</v>
      </c>
      <c r="U215" s="301">
        <f t="shared" si="10"/>
        <v>523925.55787215632</v>
      </c>
      <c r="V215" s="301">
        <f t="shared" si="10"/>
        <v>965287.7516105437</v>
      </c>
      <c r="W215" s="301">
        <f t="shared" si="9"/>
        <v>1861620.1889370726</v>
      </c>
      <c r="X215" s="301">
        <f t="shared" si="8"/>
        <v>7639011.0950349625</v>
      </c>
      <c r="Y215" s="301">
        <f t="shared" si="8"/>
        <v>34021654.189874455</v>
      </c>
      <c r="Z215" s="301">
        <f t="shared" si="8"/>
        <v>158418610.32784501</v>
      </c>
      <c r="AA215" s="301">
        <f t="shared" si="8"/>
        <v>413289201980.80096</v>
      </c>
      <c r="AB215" s="301">
        <f t="shared" si="12"/>
        <v>1861620.1889370726</v>
      </c>
    </row>
    <row r="216" spans="18:28" x14ac:dyDescent="0.25">
      <c r="R216" s="254">
        <f t="shared" si="11"/>
        <v>185</v>
      </c>
      <c r="S216" s="254"/>
      <c r="T216" s="301">
        <f t="shared" si="10"/>
        <v>303212.49999750976</v>
      </c>
      <c r="U216" s="301">
        <f t="shared" si="10"/>
        <v>530164.8134508779</v>
      </c>
      <c r="V216" s="301">
        <f t="shared" si="10"/>
        <v>980767.06788470177</v>
      </c>
      <c r="W216" s="301">
        <f t="shared" si="9"/>
        <v>1899852.592715814</v>
      </c>
      <c r="X216" s="301">
        <f t="shared" si="8"/>
        <v>7869181.427886012</v>
      </c>
      <c r="Y216" s="301">
        <f t="shared" si="8"/>
        <v>35383520.357469447</v>
      </c>
      <c r="Z216" s="301">
        <f t="shared" si="8"/>
        <v>166340540.8442373</v>
      </c>
      <c r="AA216" s="301">
        <f t="shared" si="8"/>
        <v>454618123178.88116</v>
      </c>
      <c r="AB216" s="301">
        <f t="shared" si="12"/>
        <v>1899852.592715814</v>
      </c>
    </row>
    <row r="217" spans="18:28" x14ac:dyDescent="0.25">
      <c r="R217" s="254">
        <f t="shared" si="11"/>
        <v>186</v>
      </c>
      <c r="S217" s="254"/>
      <c r="T217" s="301">
        <f t="shared" si="10"/>
        <v>305728.56249749725</v>
      </c>
      <c r="U217" s="301">
        <f t="shared" si="10"/>
        <v>536466.46158538666</v>
      </c>
      <c r="V217" s="301">
        <f t="shared" si="10"/>
        <v>996478.57390297228</v>
      </c>
      <c r="W217" s="301">
        <f t="shared" si="9"/>
        <v>1938849.6445701309</v>
      </c>
      <c r="X217" s="301">
        <f t="shared" si="8"/>
        <v>8106256.8707225928</v>
      </c>
      <c r="Y217" s="301">
        <f t="shared" si="8"/>
        <v>36799861.171768203</v>
      </c>
      <c r="Z217" s="301">
        <f t="shared" si="8"/>
        <v>174658567.88644916</v>
      </c>
      <c r="AA217" s="301">
        <f t="shared" si="8"/>
        <v>500079936496.76929</v>
      </c>
      <c r="AB217" s="301">
        <f t="shared" si="12"/>
        <v>1938849.6445701309</v>
      </c>
    </row>
    <row r="218" spans="18:28" x14ac:dyDescent="0.25">
      <c r="R218" s="254">
        <f t="shared" si="11"/>
        <v>187</v>
      </c>
      <c r="S218" s="254"/>
      <c r="T218" s="301">
        <f t="shared" si="10"/>
        <v>308257.20530998474</v>
      </c>
      <c r="U218" s="301">
        <f t="shared" si="10"/>
        <v>542831.12620124046</v>
      </c>
      <c r="V218" s="301">
        <f t="shared" si="10"/>
        <v>1012425.7525115168</v>
      </c>
      <c r="W218" s="301">
        <f t="shared" si="9"/>
        <v>1978626.6374615328</v>
      </c>
      <c r="X218" s="301">
        <f t="shared" si="8"/>
        <v>8350444.5768442713</v>
      </c>
      <c r="Y218" s="301">
        <f t="shared" si="8"/>
        <v>38272855.61863894</v>
      </c>
      <c r="Z218" s="301">
        <f t="shared" si="8"/>
        <v>183392496.28077161</v>
      </c>
      <c r="AA218" s="301">
        <f t="shared" si="8"/>
        <v>550087931146.44629</v>
      </c>
      <c r="AB218" s="301">
        <f t="shared" si="12"/>
        <v>1978626.6374615328</v>
      </c>
    </row>
    <row r="219" spans="18:28" x14ac:dyDescent="0.25">
      <c r="R219" s="254">
        <f t="shared" si="11"/>
        <v>188</v>
      </c>
      <c r="S219" s="254"/>
      <c r="T219" s="301">
        <f t="shared" si="10"/>
        <v>310798.49133653456</v>
      </c>
      <c r="U219" s="301">
        <f t="shared" si="10"/>
        <v>549259.43746325281</v>
      </c>
      <c r="V219" s="301">
        <f t="shared" si="10"/>
        <v>1028612.1387991891</v>
      </c>
      <c r="W219" s="301">
        <f t="shared" si="9"/>
        <v>2019199.1702107638</v>
      </c>
      <c r="X219" s="301">
        <f t="shared" si="8"/>
        <v>8601957.9141495991</v>
      </c>
      <c r="Y219" s="301">
        <f t="shared" si="8"/>
        <v>39804769.843384504</v>
      </c>
      <c r="Z219" s="301">
        <f t="shared" si="8"/>
        <v>192563121.09481019</v>
      </c>
      <c r="AA219" s="301">
        <f t="shared" ref="AA219:AB282" si="13">$G$21*(((1+AA$31)^($R219)-1)/(AA$31))</f>
        <v>605096725261.09082</v>
      </c>
      <c r="AB219" s="301">
        <f t="shared" si="12"/>
        <v>2019199.1702107638</v>
      </c>
    </row>
    <row r="220" spans="18:28" x14ac:dyDescent="0.25">
      <c r="R220" s="254">
        <f t="shared" si="11"/>
        <v>189</v>
      </c>
      <c r="S220" s="254"/>
      <c r="T220" s="301">
        <f t="shared" si="10"/>
        <v>313352.48379321711</v>
      </c>
      <c r="U220" s="301">
        <f t="shared" si="10"/>
        <v>555752.03183788527</v>
      </c>
      <c r="V220" s="301">
        <f t="shared" si="10"/>
        <v>1045041.320881177</v>
      </c>
      <c r="W220" s="301">
        <f t="shared" si="9"/>
        <v>2060583.153614979</v>
      </c>
      <c r="X220" s="301">
        <f t="shared" si="9"/>
        <v>8861016.6515740845</v>
      </c>
      <c r="Y220" s="301">
        <f t="shared" si="9"/>
        <v>41397960.637119889</v>
      </c>
      <c r="Z220" s="301">
        <f t="shared" si="9"/>
        <v>202192277.14955071</v>
      </c>
      <c r="AA220" s="301">
        <f t="shared" si="13"/>
        <v>665606398787.20007</v>
      </c>
      <c r="AB220" s="301">
        <f t="shared" si="12"/>
        <v>2060583.153614979</v>
      </c>
    </row>
    <row r="221" spans="18:28" x14ac:dyDescent="0.25">
      <c r="R221" s="254">
        <f t="shared" si="11"/>
        <v>190</v>
      </c>
      <c r="S221" s="254"/>
      <c r="T221" s="301">
        <f t="shared" si="10"/>
        <v>315919.24621218303</v>
      </c>
      <c r="U221" s="301">
        <f t="shared" si="10"/>
        <v>562309.55215626431</v>
      </c>
      <c r="V221" s="301">
        <f t="shared" si="10"/>
        <v>1061716.9406943945</v>
      </c>
      <c r="W221" s="301">
        <f t="shared" si="9"/>
        <v>2102794.8166872789</v>
      </c>
      <c r="X221" s="301">
        <f t="shared" si="9"/>
        <v>9127847.1511213072</v>
      </c>
      <c r="Y221" s="301">
        <f t="shared" si="9"/>
        <v>43054879.062604681</v>
      </c>
      <c r="Z221" s="301">
        <f t="shared" si="9"/>
        <v>212302891.00702816</v>
      </c>
      <c r="AA221" s="301">
        <f t="shared" si="13"/>
        <v>732167039665.92029</v>
      </c>
      <c r="AB221" s="301">
        <f t="shared" si="12"/>
        <v>2102794.8166872789</v>
      </c>
    </row>
    <row r="222" spans="18:28" x14ac:dyDescent="0.25">
      <c r="R222" s="254">
        <f t="shared" si="11"/>
        <v>191</v>
      </c>
      <c r="S222" s="254"/>
      <c r="T222" s="301">
        <f t="shared" si="10"/>
        <v>318498.84244324389</v>
      </c>
      <c r="U222" s="301">
        <f t="shared" si="10"/>
        <v>568932.64767782681</v>
      </c>
      <c r="V222" s="301">
        <f t="shared" si="10"/>
        <v>1078642.6948048102</v>
      </c>
      <c r="W222" s="301">
        <f t="shared" si="9"/>
        <v>2145850.7130210241</v>
      </c>
      <c r="X222" s="301">
        <f t="shared" si="9"/>
        <v>9402682.5656549484</v>
      </c>
      <c r="Y222" s="301">
        <f t="shared" si="9"/>
        <v>44778074.225108869</v>
      </c>
      <c r="Z222" s="301">
        <f t="shared" si="9"/>
        <v>222919035.55737969</v>
      </c>
      <c r="AA222" s="301">
        <f t="shared" si="13"/>
        <v>805383744632.51208</v>
      </c>
      <c r="AB222" s="301">
        <f t="shared" si="12"/>
        <v>2145850.7130210241</v>
      </c>
    </row>
    <row r="223" spans="18:28" x14ac:dyDescent="0.25">
      <c r="R223" s="254">
        <f t="shared" si="11"/>
        <v>192</v>
      </c>
      <c r="S223" s="254"/>
      <c r="T223" s="301">
        <f t="shared" si="10"/>
        <v>321091.33665546007</v>
      </c>
      <c r="U223" s="301">
        <f t="shared" si="10"/>
        <v>575621.97415460518</v>
      </c>
      <c r="V223" s="301">
        <f t="shared" si="10"/>
        <v>1095822.3352268822</v>
      </c>
      <c r="W223" s="301">
        <f t="shared" si="9"/>
        <v>2189767.7272814447</v>
      </c>
      <c r="X223" s="301">
        <f t="shared" si="9"/>
        <v>9685763.0426245946</v>
      </c>
      <c r="Y223" s="301">
        <f t="shared" si="9"/>
        <v>46570197.194113232</v>
      </c>
      <c r="Z223" s="301">
        <f t="shared" si="9"/>
        <v>234065987.33524865</v>
      </c>
      <c r="AA223" s="301">
        <f t="shared" si="13"/>
        <v>885922120095.76343</v>
      </c>
      <c r="AB223" s="301">
        <f t="shared" si="12"/>
        <v>2189767.7272814447</v>
      </c>
    </row>
    <row r="224" spans="18:28" x14ac:dyDescent="0.25">
      <c r="R224" s="254">
        <f t="shared" si="11"/>
        <v>193</v>
      </c>
      <c r="S224" s="254"/>
      <c r="T224" s="301">
        <f t="shared" si="10"/>
        <v>323696.79333873733</v>
      </c>
      <c r="U224" s="301">
        <f t="shared" si="10"/>
        <v>582378.19389615115</v>
      </c>
      <c r="V224" s="301">
        <f t="shared" si="10"/>
        <v>1113259.6702552852</v>
      </c>
      <c r="W224" s="301">
        <f t="shared" si="10"/>
        <v>2234563.0818270738</v>
      </c>
      <c r="X224" s="301">
        <f t="shared" si="10"/>
        <v>9977335.9339033328</v>
      </c>
      <c r="Y224" s="301">
        <f t="shared" si="10"/>
        <v>48434005.081877761</v>
      </c>
      <c r="Z224" s="301">
        <f t="shared" si="10"/>
        <v>245770286.70201111</v>
      </c>
      <c r="AA224" s="301">
        <f t="shared" si="13"/>
        <v>974514333105.33997</v>
      </c>
      <c r="AB224" s="301">
        <f t="shared" si="12"/>
        <v>2234563.0818270738</v>
      </c>
    </row>
    <row r="225" spans="18:28" x14ac:dyDescent="0.25">
      <c r="R225" s="254">
        <f t="shared" si="11"/>
        <v>194</v>
      </c>
      <c r="S225" s="254"/>
      <c r="T225" s="301">
        <f t="shared" ref="T225:W288" si="14">$G$21*(((1+T$31)^($R225)-1)/(T$31))</f>
        <v>326315.27730543091</v>
      </c>
      <c r="U225" s="301">
        <f t="shared" si="14"/>
        <v>589201.97583511274</v>
      </c>
      <c r="V225" s="301">
        <f t="shared" si="14"/>
        <v>1130958.5653091145</v>
      </c>
      <c r="W225" s="301">
        <f t="shared" si="14"/>
        <v>2280254.3434636155</v>
      </c>
      <c r="X225" s="301">
        <f t="shared" ref="X225:AB288" si="15">$G$21*(((1+X$31)^($R225)-1)/(X$31))</f>
        <v>10277656.011920433</v>
      </c>
      <c r="Y225" s="301">
        <f t="shared" si="15"/>
        <v>50372365.285152875</v>
      </c>
      <c r="Z225" s="301">
        <f t="shared" si="15"/>
        <v>258059801.03711164</v>
      </c>
      <c r="AA225" s="301">
        <f t="shared" si="13"/>
        <v>1071965767415.874</v>
      </c>
      <c r="AB225" s="301">
        <f t="shared" si="12"/>
        <v>2280254.3434636155</v>
      </c>
    </row>
    <row r="226" spans="18:28" x14ac:dyDescent="0.25">
      <c r="R226" s="254">
        <f t="shared" ref="R226:R289" si="16">1+R225</f>
        <v>195</v>
      </c>
      <c r="S226" s="254"/>
      <c r="T226" s="301">
        <f t="shared" si="14"/>
        <v>328946.85369195812</v>
      </c>
      <c r="U226" s="301">
        <f t="shared" si="14"/>
        <v>596093.99559346377</v>
      </c>
      <c r="V226" s="301">
        <f t="shared" si="14"/>
        <v>1148922.9437887508</v>
      </c>
      <c r="W226" s="301">
        <f t="shared" si="14"/>
        <v>2326859.4303328875</v>
      </c>
      <c r="X226" s="301">
        <f t="shared" si="15"/>
        <v>10586985.692278046</v>
      </c>
      <c r="Y226" s="301">
        <f t="shared" si="15"/>
        <v>52388259.896558985</v>
      </c>
      <c r="Z226" s="301">
        <f t="shared" si="15"/>
        <v>270963791.08896726</v>
      </c>
      <c r="AA226" s="301">
        <f t="shared" si="13"/>
        <v>1179162345157.4617</v>
      </c>
      <c r="AB226" s="301">
        <f t="shared" si="12"/>
        <v>2326859.4303328875</v>
      </c>
    </row>
    <row r="227" spans="18:28" x14ac:dyDescent="0.25">
      <c r="R227" s="254">
        <f t="shared" si="16"/>
        <v>196</v>
      </c>
      <c r="S227" s="254"/>
      <c r="T227" s="301">
        <f t="shared" si="14"/>
        <v>331591.58796041773</v>
      </c>
      <c r="U227" s="301">
        <f t="shared" si="14"/>
        <v>603054.93554939842</v>
      </c>
      <c r="V227" s="301">
        <f t="shared" si="14"/>
        <v>1167156.7879455821</v>
      </c>
      <c r="W227" s="301">
        <f t="shared" si="14"/>
        <v>2374396.618939545</v>
      </c>
      <c r="X227" s="301">
        <f t="shared" si="15"/>
        <v>10905595.263046388</v>
      </c>
      <c r="Y227" s="301">
        <f t="shared" si="15"/>
        <v>54484790.292421348</v>
      </c>
      <c r="Z227" s="301">
        <f t="shared" si="15"/>
        <v>284512980.64341557</v>
      </c>
      <c r="AA227" s="301">
        <f t="shared" si="13"/>
        <v>1297078580673.2078</v>
      </c>
      <c r="AB227" s="301">
        <f t="shared" si="12"/>
        <v>2374396.618939545</v>
      </c>
    </row>
    <row r="228" spans="18:28" x14ac:dyDescent="0.25">
      <c r="R228" s="254">
        <f t="shared" si="16"/>
        <v>197</v>
      </c>
      <c r="S228" s="254"/>
      <c r="T228" s="301">
        <f t="shared" si="14"/>
        <v>334249.5459002197</v>
      </c>
      <c r="U228" s="301">
        <f t="shared" si="14"/>
        <v>610085.48490489239</v>
      </c>
      <c r="V228" s="301">
        <f t="shared" si="14"/>
        <v>1185664.1397647657</v>
      </c>
      <c r="W228" s="301">
        <f t="shared" si="14"/>
        <v>2422884.5513183358</v>
      </c>
      <c r="X228" s="301">
        <f t="shared" si="15"/>
        <v>11233763.120937776</v>
      </c>
      <c r="Y228" s="301">
        <f t="shared" si="15"/>
        <v>56665181.90411821</v>
      </c>
      <c r="Z228" s="301">
        <f t="shared" si="15"/>
        <v>298739629.67558634</v>
      </c>
      <c r="AA228" s="301">
        <f t="shared" si="13"/>
        <v>1426786439740.5286</v>
      </c>
      <c r="AB228" s="301">
        <f t="shared" si="12"/>
        <v>2422884.5513183358</v>
      </c>
    </row>
    <row r="229" spans="18:28" x14ac:dyDescent="0.25">
      <c r="R229" s="254">
        <f t="shared" si="16"/>
        <v>198</v>
      </c>
      <c r="S229" s="254"/>
      <c r="T229" s="301">
        <f t="shared" si="14"/>
        <v>336920.79362972069</v>
      </c>
      <c r="U229" s="301">
        <f t="shared" si="14"/>
        <v>617186.33975394152</v>
      </c>
      <c r="V229" s="301">
        <f t="shared" si="14"/>
        <v>1204449.1018612371</v>
      </c>
      <c r="W229" s="301">
        <f t="shared" si="14"/>
        <v>2472342.2423447026</v>
      </c>
      <c r="X229" s="301">
        <f t="shared" si="15"/>
        <v>11571776.014565911</v>
      </c>
      <c r="Y229" s="301">
        <f t="shared" si="15"/>
        <v>58932789.180282943</v>
      </c>
      <c r="Z229" s="301">
        <f t="shared" si="15"/>
        <v>313677611.15936565</v>
      </c>
      <c r="AA229" s="301">
        <f t="shared" si="13"/>
        <v>1569465084714.5815</v>
      </c>
      <c r="AB229" s="301">
        <f t="shared" si="12"/>
        <v>2472342.2423447026</v>
      </c>
    </row>
    <row r="230" spans="18:28" x14ac:dyDescent="0.25">
      <c r="R230" s="254">
        <f t="shared" si="16"/>
        <v>199</v>
      </c>
      <c r="S230" s="254"/>
      <c r="T230" s="301">
        <f t="shared" si="14"/>
        <v>339605.39759786928</v>
      </c>
      <c r="U230" s="301">
        <f t="shared" si="14"/>
        <v>624358.20315148064</v>
      </c>
      <c r="V230" s="301">
        <f t="shared" si="14"/>
        <v>1223515.8383891552</v>
      </c>
      <c r="W230" s="301">
        <f t="shared" si="14"/>
        <v>2522789.0871915966</v>
      </c>
      <c r="X230" s="301">
        <f t="shared" si="15"/>
        <v>11919929.295002889</v>
      </c>
      <c r="Y230" s="301">
        <f t="shared" si="15"/>
        <v>61291100.747494243</v>
      </c>
      <c r="Z230" s="301">
        <f t="shared" si="15"/>
        <v>329362491.71733403</v>
      </c>
      <c r="AA230" s="301">
        <f t="shared" si="13"/>
        <v>1726411594186.0403</v>
      </c>
      <c r="AB230" s="301">
        <f t="shared" si="12"/>
        <v>2522789.0871915966</v>
      </c>
    </row>
    <row r="231" spans="18:28" x14ac:dyDescent="0.25">
      <c r="R231" s="254">
        <f t="shared" si="16"/>
        <v>200</v>
      </c>
      <c r="S231" s="254"/>
      <c r="T231" s="301">
        <f t="shared" si="14"/>
        <v>342303.42458585853</v>
      </c>
      <c r="U231" s="301">
        <f t="shared" si="14"/>
        <v>631601.78518299572</v>
      </c>
      <c r="V231" s="301">
        <f t="shared" si="14"/>
        <v>1242868.5759649922</v>
      </c>
      <c r="W231" s="301">
        <f t="shared" si="14"/>
        <v>2574244.868935429</v>
      </c>
      <c r="X231" s="301">
        <f t="shared" si="15"/>
        <v>12278527.173852975</v>
      </c>
      <c r="Y231" s="301">
        <f t="shared" si="15"/>
        <v>63743744.777394027</v>
      </c>
      <c r="Z231" s="301">
        <f t="shared" si="15"/>
        <v>345831616.30320072</v>
      </c>
      <c r="AA231" s="301">
        <f t="shared" si="13"/>
        <v>1899052754604.644</v>
      </c>
      <c r="AB231" s="301">
        <f t="shared" si="12"/>
        <v>2574244.868935429</v>
      </c>
    </row>
    <row r="232" spans="18:28" x14ac:dyDescent="0.25">
      <c r="R232" s="254">
        <f t="shared" si="16"/>
        <v>201</v>
      </c>
      <c r="S232" s="254"/>
      <c r="T232" s="301">
        <f t="shared" si="14"/>
        <v>345014.94170878781</v>
      </c>
      <c r="U232" s="301">
        <f t="shared" si="14"/>
        <v>638917.8030348256</v>
      </c>
      <c r="V232" s="301">
        <f t="shared" si="14"/>
        <v>1262511.6046044673</v>
      </c>
      <c r="W232" s="301">
        <f t="shared" si="14"/>
        <v>2626729.7663141373</v>
      </c>
      <c r="X232" s="301">
        <f t="shared" si="15"/>
        <v>12647882.989068562</v>
      </c>
      <c r="Y232" s="301">
        <f t="shared" si="15"/>
        <v>66294494.568489797</v>
      </c>
      <c r="Z232" s="301">
        <f t="shared" si="15"/>
        <v>363124197.1183607</v>
      </c>
      <c r="AA232" s="301">
        <f t="shared" si="13"/>
        <v>2088958031065.1089</v>
      </c>
      <c r="AB232" s="301">
        <f t="shared" si="12"/>
        <v>2626729.7663141373</v>
      </c>
    </row>
    <row r="233" spans="18:28" x14ac:dyDescent="0.25">
      <c r="R233" s="254">
        <f t="shared" si="16"/>
        <v>202</v>
      </c>
      <c r="S233" s="254"/>
      <c r="T233" s="301">
        <f t="shared" si="14"/>
        <v>347740.01641733164</v>
      </c>
      <c r="U233" s="301">
        <f t="shared" si="14"/>
        <v>646306.98106517387</v>
      </c>
      <c r="V233" s="301">
        <f t="shared" si="14"/>
        <v>1282449.2786735338</v>
      </c>
      <c r="W233" s="301">
        <f t="shared" si="14"/>
        <v>2680264.3616404203</v>
      </c>
      <c r="X233" s="301">
        <f t="shared" si="15"/>
        <v>13028319.478740621</v>
      </c>
      <c r="Y233" s="301">
        <f t="shared" si="15"/>
        <v>68947274.351229399</v>
      </c>
      <c r="Z233" s="301">
        <f t="shared" si="15"/>
        <v>381281406.97427869</v>
      </c>
      <c r="AA233" s="301">
        <f t="shared" si="13"/>
        <v>2297853835171.6196</v>
      </c>
      <c r="AB233" s="301">
        <f t="shared" si="12"/>
        <v>2680264.3616404203</v>
      </c>
    </row>
    <row r="234" spans="18:28" x14ac:dyDescent="0.25">
      <c r="R234" s="254">
        <f t="shared" si="16"/>
        <v>203</v>
      </c>
      <c r="S234" s="254"/>
      <c r="T234" s="301">
        <f t="shared" si="14"/>
        <v>350478.71649941825</v>
      </c>
      <c r="U234" s="301">
        <f t="shared" si="14"/>
        <v>653770.05087582557</v>
      </c>
      <c r="V234" s="301">
        <f t="shared" si="14"/>
        <v>1302686.0178536368</v>
      </c>
      <c r="W234" s="301">
        <f t="shared" si="14"/>
        <v>2734869.6488732281</v>
      </c>
      <c r="X234" s="301">
        <f t="shared" si="15"/>
        <v>13420169.06310284</v>
      </c>
      <c r="Y234" s="301">
        <f t="shared" si="15"/>
        <v>71706165.325278565</v>
      </c>
      <c r="Z234" s="301">
        <f t="shared" si="15"/>
        <v>400346477.32299268</v>
      </c>
      <c r="AA234" s="301">
        <f t="shared" si="13"/>
        <v>2527639219688.7817</v>
      </c>
      <c r="AB234" s="301">
        <f t="shared" si="12"/>
        <v>2734869.6488732281</v>
      </c>
    </row>
    <row r="235" spans="18:28" x14ac:dyDescent="0.25">
      <c r="R235" s="254">
        <f t="shared" si="16"/>
        <v>204</v>
      </c>
      <c r="S235" s="254"/>
      <c r="T235" s="301">
        <f t="shared" si="14"/>
        <v>353231.1100819151</v>
      </c>
      <c r="U235" s="301">
        <f t="shared" si="14"/>
        <v>661307.75138458388</v>
      </c>
      <c r="V235" s="301">
        <f t="shared" si="14"/>
        <v>1323226.3081214409</v>
      </c>
      <c r="W235" s="301">
        <f t="shared" si="14"/>
        <v>2790567.0418506935</v>
      </c>
      <c r="X235" s="301">
        <f t="shared" si="15"/>
        <v>13823774.134995922</v>
      </c>
      <c r="Y235" s="301">
        <f t="shared" si="15"/>
        <v>74575411.938289702</v>
      </c>
      <c r="Z235" s="301">
        <f t="shared" si="15"/>
        <v>420364801.18914229</v>
      </c>
      <c r="AA235" s="301">
        <f t="shared" si="13"/>
        <v>2780403142657.6597</v>
      </c>
      <c r="AB235" s="301">
        <f t="shared" si="12"/>
        <v>2790567.0418506935</v>
      </c>
    </row>
    <row r="236" spans="18:28" x14ac:dyDescent="0.25">
      <c r="R236" s="254">
        <f t="shared" si="16"/>
        <v>205</v>
      </c>
      <c r="S236" s="254"/>
      <c r="T236" s="301">
        <f t="shared" si="14"/>
        <v>355997.26563232474</v>
      </c>
      <c r="U236" s="301">
        <f t="shared" si="14"/>
        <v>668920.82889842975</v>
      </c>
      <c r="V236" s="301">
        <f t="shared" si="14"/>
        <v>1344074.7027432625</v>
      </c>
      <c r="W236" s="301">
        <f t="shared" si="14"/>
        <v>2847378.382687707</v>
      </c>
      <c r="X236" s="301">
        <f t="shared" si="15"/>
        <v>14239487.3590458</v>
      </c>
      <c r="Y236" s="301">
        <f t="shared" si="15"/>
        <v>77559428.415821314</v>
      </c>
      <c r="Z236" s="301">
        <f t="shared" si="15"/>
        <v>441384041.24859953</v>
      </c>
      <c r="AA236" s="301">
        <f t="shared" si="13"/>
        <v>3058443457923.4258</v>
      </c>
      <c r="AB236" s="301">
        <f t="shared" si="12"/>
        <v>2847378.382687707</v>
      </c>
    </row>
    <row r="237" spans="18:28" x14ac:dyDescent="0.25">
      <c r="R237" s="254">
        <f t="shared" si="16"/>
        <v>206</v>
      </c>
      <c r="S237" s="254"/>
      <c r="T237" s="301">
        <f t="shared" si="14"/>
        <v>358777.25196048612</v>
      </c>
      <c r="U237" s="301">
        <f t="shared" si="14"/>
        <v>676610.03718741401</v>
      </c>
      <c r="V237" s="301">
        <f t="shared" si="14"/>
        <v>1365235.8232844113</v>
      </c>
      <c r="W237" s="301">
        <f t="shared" si="14"/>
        <v>2905325.9503414612</v>
      </c>
      <c r="X237" s="301">
        <f t="shared" si="15"/>
        <v>14667671.979817176</v>
      </c>
      <c r="Y237" s="301">
        <f t="shared" si="15"/>
        <v>80662805.552454174</v>
      </c>
      <c r="Z237" s="301">
        <f t="shared" si="15"/>
        <v>463454243.31102931</v>
      </c>
      <c r="AA237" s="301">
        <f t="shared" si="13"/>
        <v>3364287804715.7695</v>
      </c>
      <c r="AB237" s="301">
        <f t="shared" si="12"/>
        <v>2905325.9503414612</v>
      </c>
    </row>
    <row r="238" spans="18:28" x14ac:dyDescent="0.25">
      <c r="R238" s="254">
        <f t="shared" si="16"/>
        <v>207</v>
      </c>
      <c r="S238" s="254"/>
      <c r="T238" s="301">
        <f t="shared" si="14"/>
        <v>361571.13822028844</v>
      </c>
      <c r="U238" s="301">
        <f t="shared" si="14"/>
        <v>684376.13755928795</v>
      </c>
      <c r="V238" s="301">
        <f t="shared" si="14"/>
        <v>1386714.3606336771</v>
      </c>
      <c r="W238" s="301">
        <f t="shared" si="14"/>
        <v>2964432.4693482895</v>
      </c>
      <c r="X238" s="301">
        <f t="shared" si="15"/>
        <v>15108702.139211692</v>
      </c>
      <c r="Y238" s="301">
        <f t="shared" si="15"/>
        <v>83890317.77455233</v>
      </c>
      <c r="Z238" s="301">
        <f t="shared" si="15"/>
        <v>486627955.47658092</v>
      </c>
      <c r="AA238" s="301">
        <f t="shared" si="13"/>
        <v>3700716586187.3462</v>
      </c>
      <c r="AB238" s="301">
        <f t="shared" si="12"/>
        <v>2964432.4693482895</v>
      </c>
    </row>
    <row r="239" spans="18:28" x14ac:dyDescent="0.25">
      <c r="R239" s="254">
        <f t="shared" si="16"/>
        <v>208</v>
      </c>
      <c r="S239" s="254"/>
      <c r="T239" s="301">
        <f t="shared" si="14"/>
        <v>364378.99391138984</v>
      </c>
      <c r="U239" s="301">
        <f t="shared" si="14"/>
        <v>692219.89893488109</v>
      </c>
      <c r="V239" s="301">
        <f t="shared" si="14"/>
        <v>1408515.0760431821</v>
      </c>
      <c r="W239" s="301">
        <f t="shared" si="14"/>
        <v>3024721.1187352561</v>
      </c>
      <c r="X239" s="301">
        <f t="shared" si="15"/>
        <v>15562963.203388039</v>
      </c>
      <c r="Y239" s="301">
        <f t="shared" si="15"/>
        <v>87246930.485534444</v>
      </c>
      <c r="Z239" s="301">
        <f t="shared" si="15"/>
        <v>510960353.25041002</v>
      </c>
      <c r="AA239" s="301">
        <f t="shared" si="13"/>
        <v>4070788245806.0811</v>
      </c>
      <c r="AB239" s="301">
        <f t="shared" si="13"/>
        <v>3024721.1187352561</v>
      </c>
    </row>
    <row r="240" spans="18:28" x14ac:dyDescent="0.25">
      <c r="R240" s="254">
        <f t="shared" si="16"/>
        <v>209</v>
      </c>
      <c r="S240" s="254"/>
      <c r="T240" s="301">
        <f t="shared" si="14"/>
        <v>367200.88888094679</v>
      </c>
      <c r="U240" s="301">
        <f t="shared" si="14"/>
        <v>700142.09792422992</v>
      </c>
      <c r="V240" s="301">
        <f t="shared" si="14"/>
        <v>1430642.8021838299</v>
      </c>
      <c r="W240" s="301">
        <f t="shared" si="14"/>
        <v>3086215.541109961</v>
      </c>
      <c r="X240" s="301">
        <f t="shared" si="15"/>
        <v>16030852.099489681</v>
      </c>
      <c r="Y240" s="301">
        <f t="shared" si="15"/>
        <v>90737807.704955801</v>
      </c>
      <c r="Z240" s="301">
        <f t="shared" si="15"/>
        <v>536509370.91293061</v>
      </c>
      <c r="AA240" s="301">
        <f t="shared" si="13"/>
        <v>4477867071386.6885</v>
      </c>
      <c r="AB240" s="301">
        <f t="shared" si="13"/>
        <v>3086215.541109961</v>
      </c>
    </row>
    <row r="241" spans="18:28" x14ac:dyDescent="0.25">
      <c r="R241" s="254">
        <f t="shared" si="16"/>
        <v>210</v>
      </c>
      <c r="S241" s="254"/>
      <c r="T241" s="301">
        <f t="shared" si="14"/>
        <v>370036.89332535135</v>
      </c>
      <c r="U241" s="301">
        <f t="shared" si="14"/>
        <v>708143.51890347246</v>
      </c>
      <c r="V241" s="301">
        <f t="shared" si="14"/>
        <v>1453102.4442165869</v>
      </c>
      <c r="W241" s="301">
        <f t="shared" si="14"/>
        <v>3148939.8519321596</v>
      </c>
      <c r="X241" s="301">
        <f t="shared" si="15"/>
        <v>16512777.662474371</v>
      </c>
      <c r="Y241" s="301">
        <f t="shared" si="15"/>
        <v>94368320.013154045</v>
      </c>
      <c r="Z241" s="301">
        <f t="shared" si="15"/>
        <v>563335839.45857716</v>
      </c>
      <c r="AA241" s="301">
        <f t="shared" si="13"/>
        <v>4925653779525.3584</v>
      </c>
      <c r="AB241" s="301">
        <f t="shared" si="13"/>
        <v>3148939.8519321596</v>
      </c>
    </row>
    <row r="242" spans="18:28" x14ac:dyDescent="0.25">
      <c r="R242" s="254">
        <f t="shared" si="16"/>
        <v>211</v>
      </c>
      <c r="S242" s="254"/>
      <c r="T242" s="301">
        <f t="shared" si="14"/>
        <v>372887.07779197814</v>
      </c>
      <c r="U242" s="301">
        <f t="shared" si="14"/>
        <v>716224.9540925069</v>
      </c>
      <c r="V242" s="301">
        <f t="shared" si="14"/>
        <v>1475898.9808798356</v>
      </c>
      <c r="W242" s="301">
        <f t="shared" si="14"/>
        <v>3212918.6489708032</v>
      </c>
      <c r="X242" s="301">
        <f t="shared" si="15"/>
        <v>17009160.992348604</v>
      </c>
      <c r="Y242" s="301">
        <f t="shared" si="15"/>
        <v>98144052.813680217</v>
      </c>
      <c r="Z242" s="301">
        <f t="shared" si="15"/>
        <v>591503631.43150592</v>
      </c>
      <c r="AA242" s="301">
        <f t="shared" si="13"/>
        <v>5418219158477.8955</v>
      </c>
      <c r="AB242" s="301">
        <f t="shared" si="13"/>
        <v>3212918.6489708032</v>
      </c>
    </row>
    <row r="243" spans="18:28" x14ac:dyDescent="0.25">
      <c r="R243" s="254">
        <f t="shared" si="16"/>
        <v>212</v>
      </c>
      <c r="S243" s="254"/>
      <c r="T243" s="301">
        <f t="shared" si="14"/>
        <v>375751.51318093785</v>
      </c>
      <c r="U243" s="301">
        <f t="shared" si="14"/>
        <v>724387.20363343216</v>
      </c>
      <c r="V243" s="301">
        <f t="shared" si="14"/>
        <v>1499037.4655930328</v>
      </c>
      <c r="W243" s="301">
        <f t="shared" si="14"/>
        <v>3278177.0219502193</v>
      </c>
      <c r="X243" s="301">
        <f t="shared" si="15"/>
        <v>17520435.822119061</v>
      </c>
      <c r="Y243" s="301">
        <f t="shared" si="15"/>
        <v>102070814.92622744</v>
      </c>
      <c r="Z243" s="301">
        <f t="shared" si="15"/>
        <v>621079813.00308108</v>
      </c>
      <c r="AA243" s="301">
        <f t="shared" si="13"/>
        <v>5960041075325.6846</v>
      </c>
      <c r="AB243" s="301">
        <f t="shared" si="13"/>
        <v>3278177.0219502193</v>
      </c>
    </row>
    <row r="244" spans="18:28" x14ac:dyDescent="0.25">
      <c r="R244" s="254">
        <f t="shared" si="16"/>
        <v>213</v>
      </c>
      <c r="S244" s="254"/>
      <c r="T244" s="301">
        <f t="shared" si="14"/>
        <v>378630.27074684243</v>
      </c>
      <c r="U244" s="301">
        <f t="shared" si="14"/>
        <v>732631.07566976629</v>
      </c>
      <c r="V244" s="301">
        <f t="shared" si="14"/>
        <v>1522523.027576928</v>
      </c>
      <c r="W244" s="301">
        <f t="shared" si="14"/>
        <v>3344740.5623892238</v>
      </c>
      <c r="X244" s="301">
        <f t="shared" si="15"/>
        <v>18047048.896782633</v>
      </c>
      <c r="Y244" s="301">
        <f t="shared" si="15"/>
        <v>106154647.52327655</v>
      </c>
      <c r="Z244" s="301">
        <f t="shared" si="15"/>
        <v>652134803.6532352</v>
      </c>
      <c r="AA244" s="301">
        <f t="shared" si="13"/>
        <v>6556045183858.2539</v>
      </c>
      <c r="AB244" s="301">
        <f t="shared" si="13"/>
        <v>3344740.5623892238</v>
      </c>
    </row>
    <row r="245" spans="18:28" x14ac:dyDescent="0.25">
      <c r="R245" s="254">
        <f t="shared" si="16"/>
        <v>214</v>
      </c>
      <c r="S245" s="254"/>
      <c r="T245" s="301">
        <f t="shared" si="14"/>
        <v>381523.42210057651</v>
      </c>
      <c r="U245" s="301">
        <f t="shared" si="14"/>
        <v>740957.38642646419</v>
      </c>
      <c r="V245" s="301">
        <f t="shared" si="14"/>
        <v>1546360.8729905819</v>
      </c>
      <c r="W245" s="301">
        <f t="shared" si="14"/>
        <v>3412635.3736370085</v>
      </c>
      <c r="X245" s="301">
        <f t="shared" si="15"/>
        <v>18589460.363686111</v>
      </c>
      <c r="Y245" s="301">
        <f t="shared" si="15"/>
        <v>110401833.42420763</v>
      </c>
      <c r="Z245" s="301">
        <f t="shared" si="15"/>
        <v>684742543.83589685</v>
      </c>
      <c r="AA245" s="301">
        <f t="shared" si="13"/>
        <v>7211649703244.0801</v>
      </c>
      <c r="AB245" s="301">
        <f t="shared" si="13"/>
        <v>3412635.3736370085</v>
      </c>
    </row>
    <row r="246" spans="18:28" x14ac:dyDescent="0.25">
      <c r="R246" s="254">
        <f t="shared" si="16"/>
        <v>215</v>
      </c>
      <c r="S246" s="254"/>
      <c r="T246" s="301">
        <f t="shared" si="14"/>
        <v>384431.0392110793</v>
      </c>
      <c r="U246" s="301">
        <f t="shared" si="14"/>
        <v>749366.9602907286</v>
      </c>
      <c r="V246" s="301">
        <f t="shared" si="14"/>
        <v>1570556.2860854403</v>
      </c>
      <c r="W246" s="301">
        <f t="shared" si="14"/>
        <v>3481888.0811097478</v>
      </c>
      <c r="X246" s="301">
        <f t="shared" si="15"/>
        <v>19148144.174596693</v>
      </c>
      <c r="Y246" s="301">
        <f t="shared" si="15"/>
        <v>114818906.7611759</v>
      </c>
      <c r="Z246" s="301">
        <f t="shared" si="15"/>
        <v>718980671.02769196</v>
      </c>
      <c r="AA246" s="301">
        <f t="shared" si="13"/>
        <v>7932814674568.4883</v>
      </c>
      <c r="AB246" s="301">
        <f t="shared" si="13"/>
        <v>3481888.0811097478</v>
      </c>
    </row>
    <row r="247" spans="18:28" x14ac:dyDescent="0.25">
      <c r="R247" s="254">
        <f t="shared" si="16"/>
        <v>216</v>
      </c>
      <c r="S247" s="254"/>
      <c r="T247" s="301">
        <f t="shared" si="14"/>
        <v>387353.19440713484</v>
      </c>
      <c r="U247" s="301">
        <f t="shared" si="14"/>
        <v>757860.6298936361</v>
      </c>
      <c r="V247" s="301">
        <f t="shared" si="14"/>
        <v>1595114.6303767215</v>
      </c>
      <c r="W247" s="301">
        <f t="shared" si="14"/>
        <v>3552525.8427319429</v>
      </c>
      <c r="X247" s="301">
        <f t="shared" si="15"/>
        <v>19723588.49983459</v>
      </c>
      <c r="Y247" s="301">
        <f t="shared" si="15"/>
        <v>119412663.03162295</v>
      </c>
      <c r="Z247" s="301">
        <f t="shared" si="15"/>
        <v>754930704.57907641</v>
      </c>
      <c r="AA247" s="301">
        <f t="shared" si="13"/>
        <v>8726096143025.3369</v>
      </c>
      <c r="AB247" s="301">
        <f t="shared" si="13"/>
        <v>3552525.8427319429</v>
      </c>
    </row>
    <row r="248" spans="18:28" x14ac:dyDescent="0.25">
      <c r="R248" s="254">
        <f t="shared" si="16"/>
        <v>217</v>
      </c>
      <c r="S248" s="254"/>
      <c r="T248" s="301">
        <f t="shared" si="14"/>
        <v>390289.96037917031</v>
      </c>
      <c r="U248" s="301">
        <f t="shared" si="14"/>
        <v>766439.23619257263</v>
      </c>
      <c r="V248" s="301">
        <f t="shared" si="14"/>
        <v>1620041.349832372</v>
      </c>
      <c r="W248" s="301">
        <f t="shared" si="14"/>
        <v>3624576.3595865825</v>
      </c>
      <c r="X248" s="301">
        <f t="shared" si="15"/>
        <v>20316296.154829625</v>
      </c>
      <c r="Y248" s="301">
        <f t="shared" si="15"/>
        <v>124190169.55288789</v>
      </c>
      <c r="Z248" s="301">
        <f t="shared" si="15"/>
        <v>792678239.80803037</v>
      </c>
      <c r="AA248" s="301">
        <f t="shared" si="13"/>
        <v>9598705758327.8711</v>
      </c>
      <c r="AB248" s="301">
        <f t="shared" si="13"/>
        <v>3624576.3595865825</v>
      </c>
    </row>
    <row r="249" spans="18:28" x14ac:dyDescent="0.25">
      <c r="R249" s="254">
        <f t="shared" si="16"/>
        <v>218</v>
      </c>
      <c r="S249" s="254"/>
      <c r="T249" s="301">
        <f t="shared" si="14"/>
        <v>393241.41018106608</v>
      </c>
      <c r="U249" s="301">
        <f t="shared" si="14"/>
        <v>775103.62855449843</v>
      </c>
      <c r="V249" s="301">
        <f t="shared" si="14"/>
        <v>1645341.9700798576</v>
      </c>
      <c r="W249" s="301">
        <f t="shared" si="14"/>
        <v>3698067.8867783141</v>
      </c>
      <c r="X249" s="301">
        <f t="shared" si="15"/>
        <v>20926785.039474521</v>
      </c>
      <c r="Y249" s="301">
        <f t="shared" si="15"/>
        <v>129158776.33500338</v>
      </c>
      <c r="Z249" s="301">
        <f t="shared" si="15"/>
        <v>832313151.79843175</v>
      </c>
      <c r="AA249" s="301">
        <f t="shared" si="13"/>
        <v>10558576335160.66</v>
      </c>
      <c r="AB249" s="301">
        <f t="shared" si="13"/>
        <v>3698067.8867783141</v>
      </c>
    </row>
    <row r="250" spans="18:28" x14ac:dyDescent="0.25">
      <c r="R250" s="254">
        <f t="shared" si="16"/>
        <v>219</v>
      </c>
      <c r="S250" s="254"/>
      <c r="T250" s="301">
        <f t="shared" si="14"/>
        <v>396207.61723197135</v>
      </c>
      <c r="U250" s="301">
        <f t="shared" si="14"/>
        <v>783854.66484004317</v>
      </c>
      <c r="V250" s="301">
        <f t="shared" si="14"/>
        <v>1671022.0996310555</v>
      </c>
      <c r="W250" s="301">
        <f t="shared" si="14"/>
        <v>3773029.2445138795</v>
      </c>
      <c r="X250" s="301">
        <f t="shared" si="15"/>
        <v>21555588.590658754</v>
      </c>
      <c r="Y250" s="301">
        <f t="shared" si="15"/>
        <v>134326127.38840351</v>
      </c>
      <c r="Z250" s="301">
        <f t="shared" si="15"/>
        <v>873929809.38835359</v>
      </c>
      <c r="AA250" s="301">
        <f t="shared" si="13"/>
        <v>11614433969676.727</v>
      </c>
      <c r="AB250" s="301">
        <f t="shared" si="13"/>
        <v>3773029.2445138795</v>
      </c>
    </row>
    <row r="251" spans="18:28" x14ac:dyDescent="0.25">
      <c r="R251" s="254">
        <f t="shared" si="16"/>
        <v>220</v>
      </c>
      <c r="S251" s="254"/>
      <c r="T251" s="301">
        <f t="shared" si="14"/>
        <v>399188.65531813103</v>
      </c>
      <c r="U251" s="301">
        <f t="shared" si="14"/>
        <v>792693.21148844343</v>
      </c>
      <c r="V251" s="301">
        <f t="shared" si="14"/>
        <v>1697087.4311255207</v>
      </c>
      <c r="W251" s="301">
        <f t="shared" si="14"/>
        <v>3849489.8294041581</v>
      </c>
      <c r="X251" s="301">
        <f t="shared" si="15"/>
        <v>22203256.248378515</v>
      </c>
      <c r="Y251" s="301">
        <f t="shared" si="15"/>
        <v>139700172.48393971</v>
      </c>
      <c r="Z251" s="301">
        <f t="shared" si="15"/>
        <v>917627299.85777116</v>
      </c>
      <c r="AA251" s="301">
        <f t="shared" si="13"/>
        <v>12775877367644.4</v>
      </c>
      <c r="AB251" s="301">
        <f t="shared" si="13"/>
        <v>3849489.8294041581</v>
      </c>
    </row>
    <row r="252" spans="18:28" x14ac:dyDescent="0.25">
      <c r="R252" s="254">
        <f t="shared" si="16"/>
        <v>221</v>
      </c>
      <c r="S252" s="254"/>
      <c r="T252" s="301">
        <f t="shared" si="14"/>
        <v>402184.59859472158</v>
      </c>
      <c r="U252" s="301">
        <f t="shared" si="14"/>
        <v>801620.14360332792</v>
      </c>
      <c r="V252" s="301">
        <f t="shared" si="14"/>
        <v>1723543.7425924034</v>
      </c>
      <c r="W252" s="301">
        <f t="shared" si="14"/>
        <v>3927479.6259922408</v>
      </c>
      <c r="X252" s="301">
        <f t="shared" si="15"/>
        <v>22870353.935829874</v>
      </c>
      <c r="Y252" s="301">
        <f t="shared" si="15"/>
        <v>145289179.38329729</v>
      </c>
      <c r="Z252" s="301">
        <f t="shared" si="15"/>
        <v>963509664.85065985</v>
      </c>
      <c r="AA252" s="301">
        <f t="shared" si="13"/>
        <v>14053465105408.84</v>
      </c>
      <c r="AB252" s="301">
        <f t="shared" si="13"/>
        <v>3927479.6259922408</v>
      </c>
    </row>
    <row r="253" spans="18:28" x14ac:dyDescent="0.25">
      <c r="R253" s="254">
        <f t="shared" si="16"/>
        <v>222</v>
      </c>
      <c r="S253" s="254"/>
      <c r="T253" s="301">
        <f t="shared" si="14"/>
        <v>405195.52158769511</v>
      </c>
      <c r="U253" s="301">
        <f t="shared" si="14"/>
        <v>810636.34503936139</v>
      </c>
      <c r="V253" s="301">
        <f t="shared" si="14"/>
        <v>1750396.8987312892</v>
      </c>
      <c r="W253" s="301">
        <f t="shared" si="14"/>
        <v>4007029.2185120857</v>
      </c>
      <c r="X253" s="301">
        <f t="shared" si="15"/>
        <v>23557464.553904772</v>
      </c>
      <c r="Y253" s="301">
        <f t="shared" si="15"/>
        <v>151101746.55862916</v>
      </c>
      <c r="Z253" s="301">
        <f t="shared" si="15"/>
        <v>1011686148.0931923</v>
      </c>
      <c r="AA253" s="301">
        <f t="shared" si="13"/>
        <v>15458811616949.73</v>
      </c>
      <c r="AB253" s="301">
        <f t="shared" si="13"/>
        <v>4007029.2185120857</v>
      </c>
    </row>
    <row r="254" spans="18:28" x14ac:dyDescent="0.25">
      <c r="R254" s="254">
        <f t="shared" si="16"/>
        <v>223</v>
      </c>
      <c r="S254" s="254"/>
      <c r="T254" s="301">
        <f t="shared" si="14"/>
        <v>408221.49919563346</v>
      </c>
      <c r="U254" s="301">
        <f t="shared" si="14"/>
        <v>819742.70848975482</v>
      </c>
      <c r="V254" s="301">
        <f t="shared" si="14"/>
        <v>1777652.8522122584</v>
      </c>
      <c r="W254" s="301">
        <f t="shared" si="14"/>
        <v>4088169.8028823268</v>
      </c>
      <c r="X254" s="301">
        <f t="shared" si="15"/>
        <v>24265188.490521912</v>
      </c>
      <c r="Y254" s="301">
        <f t="shared" si="15"/>
        <v>157146816.42097434</v>
      </c>
      <c r="Z254" s="301">
        <f t="shared" si="15"/>
        <v>1062271455.4978526</v>
      </c>
      <c r="AA254" s="301">
        <f t="shared" si="13"/>
        <v>17004692779644.701</v>
      </c>
      <c r="AB254" s="301">
        <f t="shared" si="13"/>
        <v>4088169.8028823268</v>
      </c>
    </row>
    <row r="255" spans="18:28" x14ac:dyDescent="0.25">
      <c r="R255" s="254">
        <f t="shared" si="16"/>
        <v>224</v>
      </c>
      <c r="S255" s="254"/>
      <c r="T255" s="301">
        <f t="shared" si="14"/>
        <v>411262.60669161152</v>
      </c>
      <c r="U255" s="301">
        <f t="shared" si="14"/>
        <v>828940.13557465258</v>
      </c>
      <c r="V255" s="301">
        <f t="shared" si="14"/>
        <v>1805317.6449954419</v>
      </c>
      <c r="W255" s="301">
        <f t="shared" si="14"/>
        <v>4170933.1989399735</v>
      </c>
      <c r="X255" s="301">
        <f t="shared" si="15"/>
        <v>24994144.145237569</v>
      </c>
      <c r="Y255" s="301">
        <f t="shared" si="15"/>
        <v>163433689.07781336</v>
      </c>
      <c r="Z255" s="301">
        <f t="shared" si="15"/>
        <v>1115386028.2727449</v>
      </c>
      <c r="AA255" s="301">
        <f t="shared" si="13"/>
        <v>18705162058609.172</v>
      </c>
      <c r="AB255" s="301">
        <f t="shared" si="13"/>
        <v>4170933.1989399735</v>
      </c>
    </row>
    <row r="256" spans="18:28" x14ac:dyDescent="0.25">
      <c r="R256" s="254">
        <f t="shared" si="16"/>
        <v>225</v>
      </c>
      <c r="S256" s="254"/>
      <c r="T256" s="301">
        <f t="shared" si="14"/>
        <v>414318.91972506954</v>
      </c>
      <c r="U256" s="301">
        <f t="shared" si="14"/>
        <v>838229.53693039902</v>
      </c>
      <c r="V256" s="301">
        <f t="shared" si="14"/>
        <v>1833397.409670373</v>
      </c>
      <c r="W256" s="301">
        <f t="shared" si="14"/>
        <v>4255351.8629187737</v>
      </c>
      <c r="X256" s="301">
        <f t="shared" si="15"/>
        <v>25744968.469594695</v>
      </c>
      <c r="Y256" s="301">
        <f t="shared" si="15"/>
        <v>169972036.64092588</v>
      </c>
      <c r="Z256" s="301">
        <f t="shared" si="15"/>
        <v>1171156329.6863823</v>
      </c>
      <c r="AA256" s="301">
        <f t="shared" si="13"/>
        <v>20575678265470.09</v>
      </c>
      <c r="AB256" s="301">
        <f t="shared" si="13"/>
        <v>4255351.8629187737</v>
      </c>
    </row>
    <row r="257" spans="18:28" x14ac:dyDescent="0.25">
      <c r="R257" s="254">
        <f t="shared" si="16"/>
        <v>226</v>
      </c>
      <c r="S257" s="254"/>
      <c r="T257" s="301">
        <f t="shared" si="14"/>
        <v>417390.51432369481</v>
      </c>
      <c r="U257" s="301">
        <f t="shared" si="14"/>
        <v>847611.83229970303</v>
      </c>
      <c r="V257" s="301">
        <f t="shared" si="14"/>
        <v>1861898.3708154284</v>
      </c>
      <c r="W257" s="301">
        <f t="shared" si="14"/>
        <v>4341458.9001771482</v>
      </c>
      <c r="X257" s="301">
        <f t="shared" si="15"/>
        <v>26518317.523682527</v>
      </c>
      <c r="Y257" s="301">
        <f t="shared" si="15"/>
        <v>176771918.10656288</v>
      </c>
      <c r="Z257" s="301">
        <f t="shared" si="15"/>
        <v>1229715146.1707013</v>
      </c>
      <c r="AA257" s="301">
        <f t="shared" si="13"/>
        <v>22633246093017.102</v>
      </c>
      <c r="AB257" s="301">
        <f t="shared" si="13"/>
        <v>4341458.9001771482</v>
      </c>
    </row>
    <row r="258" spans="18:28" x14ac:dyDescent="0.25">
      <c r="R258" s="254">
        <f t="shared" si="16"/>
        <v>227</v>
      </c>
      <c r="S258" s="254"/>
      <c r="T258" s="301">
        <f t="shared" si="14"/>
        <v>420477.46689531335</v>
      </c>
      <c r="U258" s="301">
        <f t="shared" si="14"/>
        <v>857087.95062269992</v>
      </c>
      <c r="V258" s="301">
        <f t="shared" si="14"/>
        <v>1890826.8463776598</v>
      </c>
      <c r="W258" s="301">
        <f t="shared" si="14"/>
        <v>4429288.0781806912</v>
      </c>
      <c r="X258" s="301">
        <f t="shared" si="15"/>
        <v>27314867.049393013</v>
      </c>
      <c r="Y258" s="301">
        <f t="shared" si="15"/>
        <v>183843794.83082545</v>
      </c>
      <c r="Z258" s="301">
        <f t="shared" si="15"/>
        <v>1291201903.4792366</v>
      </c>
      <c r="AA258" s="301">
        <f t="shared" si="13"/>
        <v>24896570703318.813</v>
      </c>
      <c r="AB258" s="301">
        <f t="shared" si="13"/>
        <v>4429288.0781806912</v>
      </c>
    </row>
    <row r="259" spans="18:28" x14ac:dyDescent="0.25">
      <c r="R259" s="254">
        <f t="shared" si="16"/>
        <v>228</v>
      </c>
      <c r="S259" s="254"/>
      <c r="T259" s="301">
        <f t="shared" si="14"/>
        <v>423579.85422978963</v>
      </c>
      <c r="U259" s="301">
        <f t="shared" si="14"/>
        <v>866658.83012892702</v>
      </c>
      <c r="V259" s="301">
        <f t="shared" si="14"/>
        <v>1920189.2490733245</v>
      </c>
      <c r="W259" s="301">
        <f t="shared" si="14"/>
        <v>4518873.8397443052</v>
      </c>
      <c r="X259" s="301">
        <f t="shared" si="15"/>
        <v>28135313.060874801</v>
      </c>
      <c r="Y259" s="301">
        <f t="shared" si="15"/>
        <v>191198546.62405846</v>
      </c>
      <c r="Z259" s="301">
        <f t="shared" si="15"/>
        <v>1355762998.6531982</v>
      </c>
      <c r="AA259" s="301">
        <f t="shared" si="13"/>
        <v>27386227774650.695</v>
      </c>
      <c r="AB259" s="301">
        <f t="shared" si="13"/>
        <v>4518873.8397443052</v>
      </c>
    </row>
    <row r="260" spans="18:28" x14ac:dyDescent="0.25">
      <c r="R260" s="254">
        <f t="shared" si="16"/>
        <v>229</v>
      </c>
      <c r="S260" s="254"/>
      <c r="T260" s="301">
        <f t="shared" si="14"/>
        <v>426697.75350093842</v>
      </c>
      <c r="U260" s="301">
        <f t="shared" si="14"/>
        <v>876325.41843021626</v>
      </c>
      <c r="V260" s="301">
        <f t="shared" si="14"/>
        <v>1949992.0878094239</v>
      </c>
      <c r="W260" s="301">
        <f t="shared" si="14"/>
        <v>4610251.3165391916</v>
      </c>
      <c r="X260" s="301">
        <f t="shared" si="15"/>
        <v>28980372.45270104</v>
      </c>
      <c r="Y260" s="301">
        <f t="shared" si="15"/>
        <v>198847488.48902085</v>
      </c>
      <c r="Z260" s="301">
        <f t="shared" si="15"/>
        <v>1423552148.5858581</v>
      </c>
      <c r="AA260" s="301">
        <f t="shared" si="13"/>
        <v>30124850553115.77</v>
      </c>
      <c r="AB260" s="301">
        <f t="shared" si="13"/>
        <v>4610251.3165391916</v>
      </c>
    </row>
    <row r="261" spans="18:28" x14ac:dyDescent="0.25">
      <c r="R261" s="254">
        <f t="shared" si="16"/>
        <v>230</v>
      </c>
      <c r="S261" s="254"/>
      <c r="T261" s="301">
        <f t="shared" si="14"/>
        <v>429831.24226844305</v>
      </c>
      <c r="U261" s="301">
        <f t="shared" si="14"/>
        <v>886088.67261451844</v>
      </c>
      <c r="V261" s="301">
        <f t="shared" si="14"/>
        <v>1980241.9691265647</v>
      </c>
      <c r="W261" s="301">
        <f t="shared" si="14"/>
        <v>4703456.3428699756</v>
      </c>
      <c r="X261" s="301">
        <f t="shared" si="15"/>
        <v>29850783.62628207</v>
      </c>
      <c r="Y261" s="301">
        <f t="shared" si="15"/>
        <v>206802388.02858162</v>
      </c>
      <c r="Z261" s="301">
        <f t="shared" si="15"/>
        <v>1494730756.0151508</v>
      </c>
      <c r="AA261" s="301">
        <f t="shared" si="13"/>
        <v>33137335609427.344</v>
      </c>
      <c r="AB261" s="301">
        <f t="shared" si="13"/>
        <v>4703456.3428699756</v>
      </c>
    </row>
    <row r="262" spans="18:28" x14ac:dyDescent="0.25">
      <c r="R262" s="254">
        <f t="shared" si="16"/>
        <v>231</v>
      </c>
      <c r="S262" s="254"/>
      <c r="T262" s="301">
        <f t="shared" si="14"/>
        <v>432980.39847978519</v>
      </c>
      <c r="U262" s="301">
        <f t="shared" si="14"/>
        <v>895949.55934066337</v>
      </c>
      <c r="V262" s="301">
        <f t="shared" si="14"/>
        <v>2010945.5986634633</v>
      </c>
      <c r="W262" s="301">
        <f t="shared" si="14"/>
        <v>4798525.4697273737</v>
      </c>
      <c r="X262" s="301">
        <f t="shared" si="15"/>
        <v>30747307.13507054</v>
      </c>
      <c r="Y262" s="301">
        <f t="shared" si="15"/>
        <v>215075483.54972491</v>
      </c>
      <c r="Z262" s="301">
        <f t="shared" si="15"/>
        <v>1569468293.8159087</v>
      </c>
      <c r="AA262" s="301">
        <f t="shared" si="13"/>
        <v>36451069171370.086</v>
      </c>
      <c r="AB262" s="301">
        <f t="shared" si="13"/>
        <v>4798525.4697273737</v>
      </c>
    </row>
    <row r="263" spans="18:28" x14ac:dyDescent="0.25">
      <c r="R263" s="254">
        <f t="shared" si="16"/>
        <v>232</v>
      </c>
      <c r="S263" s="254"/>
      <c r="T263" s="301">
        <f t="shared" si="14"/>
        <v>436145.30047218414</v>
      </c>
      <c r="U263" s="301">
        <f t="shared" si="14"/>
        <v>905909.05493407033</v>
      </c>
      <c r="V263" s="301">
        <f t="shared" si="14"/>
        <v>2042109.782643415</v>
      </c>
      <c r="W263" s="301">
        <f t="shared" si="14"/>
        <v>4895495.9791219225</v>
      </c>
      <c r="X263" s="301">
        <f t="shared" si="15"/>
        <v>31670726.349122647</v>
      </c>
      <c r="Y263" s="301">
        <f t="shared" si="15"/>
        <v>223679502.89171398</v>
      </c>
      <c r="Z263" s="301">
        <f t="shared" si="15"/>
        <v>1647942708.5067041</v>
      </c>
      <c r="AA263" s="301">
        <f t="shared" si="13"/>
        <v>40096176089507.094</v>
      </c>
      <c r="AB263" s="301">
        <f t="shared" si="13"/>
        <v>4895495.9791219225</v>
      </c>
    </row>
    <row r="264" spans="18:28" x14ac:dyDescent="0.25">
      <c r="R264" s="254">
        <f t="shared" si="16"/>
        <v>233</v>
      </c>
      <c r="S264" s="254"/>
      <c r="T264" s="301">
        <f t="shared" si="14"/>
        <v>439326.02697454486</v>
      </c>
      <c r="U264" s="301">
        <f t="shared" si="14"/>
        <v>915968.14548341103</v>
      </c>
      <c r="V264" s="301">
        <f t="shared" si="14"/>
        <v>2073741.4293830658</v>
      </c>
      <c r="W264" s="301">
        <f t="shared" si="14"/>
        <v>4994405.8987043612</v>
      </c>
      <c r="X264" s="301">
        <f t="shared" si="15"/>
        <v>32621848.139596332</v>
      </c>
      <c r="Y264" s="301">
        <f t="shared" si="15"/>
        <v>232627683.00738251</v>
      </c>
      <c r="Z264" s="301">
        <f t="shared" si="15"/>
        <v>1730340843.9320395</v>
      </c>
      <c r="AA264" s="301">
        <f t="shared" si="13"/>
        <v>44105793699457.805</v>
      </c>
      <c r="AB264" s="301">
        <f t="shared" si="13"/>
        <v>4994405.8987043612</v>
      </c>
    </row>
    <row r="265" spans="18:28" x14ac:dyDescent="0.25">
      <c r="R265" s="254">
        <f t="shared" si="16"/>
        <v>234</v>
      </c>
      <c r="S265" s="254"/>
      <c r="T265" s="301">
        <f t="shared" si="14"/>
        <v>442522.65710941749</v>
      </c>
      <c r="U265" s="301">
        <f t="shared" si="14"/>
        <v>926127.82693824545</v>
      </c>
      <c r="V265" s="301">
        <f t="shared" si="14"/>
        <v>2105847.5508238114</v>
      </c>
      <c r="W265" s="301">
        <f t="shared" si="14"/>
        <v>5095294.0166784478</v>
      </c>
      <c r="X265" s="301">
        <f t="shared" si="15"/>
        <v>33601503.583784223</v>
      </c>
      <c r="Y265" s="301">
        <f t="shared" si="15"/>
        <v>241933790.32767779</v>
      </c>
      <c r="Z265" s="301">
        <f t="shared" si="15"/>
        <v>1816858886.1286414</v>
      </c>
      <c r="AA265" s="301">
        <f t="shared" si="13"/>
        <v>48516373070403.594</v>
      </c>
      <c r="AB265" s="301">
        <f t="shared" si="13"/>
        <v>5095294.0166784478</v>
      </c>
    </row>
    <row r="266" spans="18:28" x14ac:dyDescent="0.25">
      <c r="R266" s="254">
        <f t="shared" si="16"/>
        <v>235</v>
      </c>
      <c r="S266" s="254"/>
      <c r="T266" s="301">
        <f t="shared" si="14"/>
        <v>445735.27039496449</v>
      </c>
      <c r="U266" s="301">
        <f t="shared" si="14"/>
        <v>936389.10520762752</v>
      </c>
      <c r="V266" s="301">
        <f t="shared" si="14"/>
        <v>2138435.2640861683</v>
      </c>
      <c r="W266" s="301">
        <f t="shared" si="14"/>
        <v>5198199.8970120167</v>
      </c>
      <c r="X266" s="301">
        <f t="shared" si="15"/>
        <v>34610548.691297747</v>
      </c>
      <c r="Y266" s="301">
        <f t="shared" si="15"/>
        <v>251612141.94078493</v>
      </c>
      <c r="Z266" s="301">
        <f t="shared" si="15"/>
        <v>1907702830.4350736</v>
      </c>
      <c r="AA266" s="301">
        <f t="shared" si="13"/>
        <v>53368010378443.953</v>
      </c>
      <c r="AB266" s="301">
        <f t="shared" si="13"/>
        <v>5198199.8970120167</v>
      </c>
    </row>
    <row r="267" spans="18:28" x14ac:dyDescent="0.25">
      <c r="R267" s="254">
        <f t="shared" si="16"/>
        <v>236</v>
      </c>
      <c r="S267" s="254"/>
      <c r="T267" s="301">
        <f t="shared" si="14"/>
        <v>448963.94674693927</v>
      </c>
      <c r="U267" s="301">
        <f t="shared" si="14"/>
        <v>946752.99625970388</v>
      </c>
      <c r="V267" s="301">
        <f t="shared" si="14"/>
        <v>2171511.7930474607</v>
      </c>
      <c r="W267" s="301">
        <f t="shared" si="14"/>
        <v>5303163.8949522572</v>
      </c>
      <c r="X267" s="301">
        <f t="shared" si="15"/>
        <v>35649865.152036674</v>
      </c>
      <c r="Y267" s="301">
        <f t="shared" si="15"/>
        <v>261677627.61841637</v>
      </c>
      <c r="Z267" s="301">
        <f t="shared" si="15"/>
        <v>2003088971.9568269</v>
      </c>
      <c r="AA267" s="301">
        <f t="shared" si="13"/>
        <v>58704811417288.344</v>
      </c>
      <c r="AB267" s="301">
        <f t="shared" si="13"/>
        <v>5303163.8949522572</v>
      </c>
    </row>
    <row r="268" spans="18:28" x14ac:dyDescent="0.25">
      <c r="R268" s="254">
        <f t="shared" si="16"/>
        <v>237</v>
      </c>
      <c r="S268" s="254"/>
      <c r="T268" s="301">
        <f t="shared" si="14"/>
        <v>452208.76648067374</v>
      </c>
      <c r="U268" s="301">
        <f t="shared" si="14"/>
        <v>957220.52622230118</v>
      </c>
      <c r="V268" s="301">
        <f t="shared" si="14"/>
        <v>2205084.4699431723</v>
      </c>
      <c r="W268" s="301">
        <f t="shared" si="14"/>
        <v>5410227.1728513027</v>
      </c>
      <c r="X268" s="301">
        <f t="shared" si="15"/>
        <v>36720361.106597774</v>
      </c>
      <c r="Y268" s="301">
        <f t="shared" si="15"/>
        <v>272145732.723153</v>
      </c>
      <c r="Z268" s="301">
        <f t="shared" si="15"/>
        <v>2103244420.5546691</v>
      </c>
      <c r="AA268" s="301">
        <f t="shared" si="13"/>
        <v>64575292560017.188</v>
      </c>
      <c r="AB268" s="301">
        <f t="shared" si="13"/>
        <v>5410227.1728513027</v>
      </c>
    </row>
    <row r="269" spans="18:28" x14ac:dyDescent="0.25">
      <c r="R269" s="254">
        <f t="shared" si="16"/>
        <v>238</v>
      </c>
      <c r="S269" s="254"/>
      <c r="T269" s="301">
        <f t="shared" si="14"/>
        <v>455469.81031307706</v>
      </c>
      <c r="U269" s="301">
        <f t="shared" si="14"/>
        <v>967792.73148452421</v>
      </c>
      <c r="V269" s="301">
        <f t="shared" si="14"/>
        <v>2239160.7369923196</v>
      </c>
      <c r="W269" s="301">
        <f t="shared" si="14"/>
        <v>5519431.7163083283</v>
      </c>
      <c r="X269" s="301">
        <f t="shared" si="15"/>
        <v>37822971.93979571</v>
      </c>
      <c r="Y269" s="301">
        <f t="shared" si="15"/>
        <v>283032562.03207916</v>
      </c>
      <c r="Z269" s="301">
        <f t="shared" si="15"/>
        <v>2208407641.5824013</v>
      </c>
      <c r="AA269" s="301">
        <f t="shared" si="13"/>
        <v>71032821817018.922</v>
      </c>
      <c r="AB269" s="301">
        <f t="shared" si="13"/>
        <v>5519431.7163083283</v>
      </c>
    </row>
    <row r="270" spans="18:28" x14ac:dyDescent="0.25">
      <c r="R270" s="254">
        <f t="shared" si="16"/>
        <v>239</v>
      </c>
      <c r="S270" s="254"/>
      <c r="T270" s="301">
        <f t="shared" si="14"/>
        <v>458747.15936464223</v>
      </c>
      <c r="U270" s="301">
        <f t="shared" si="14"/>
        <v>978470.658799369</v>
      </c>
      <c r="V270" s="301">
        <f t="shared" si="14"/>
        <v>2273748.1480472037</v>
      </c>
      <c r="W270" s="301">
        <f t="shared" si="14"/>
        <v>5630820.3506344929</v>
      </c>
      <c r="X270" s="301">
        <f t="shared" si="15"/>
        <v>38958661.097989574</v>
      </c>
      <c r="Y270" s="301">
        <f t="shared" si="15"/>
        <v>294354864.51336229</v>
      </c>
      <c r="Z270" s="301">
        <f t="shared" si="15"/>
        <v>2318829023.6615229</v>
      </c>
      <c r="AA270" s="301">
        <f t="shared" si="13"/>
        <v>78136103999720.813</v>
      </c>
      <c r="AB270" s="301">
        <f t="shared" si="13"/>
        <v>5630820.3506344929</v>
      </c>
    </row>
    <row r="271" spans="18:28" x14ac:dyDescent="0.25">
      <c r="R271" s="254">
        <f t="shared" si="16"/>
        <v>240</v>
      </c>
      <c r="S271" s="254"/>
      <c r="T271" s="301">
        <f t="shared" si="14"/>
        <v>462040.89516146539</v>
      </c>
      <c r="U271" s="301">
        <f t="shared" si="14"/>
        <v>989255.36538736301</v>
      </c>
      <c r="V271" s="301">
        <f t="shared" si="14"/>
        <v>2308854.3702679113</v>
      </c>
      <c r="W271" s="301">
        <f t="shared" si="14"/>
        <v>5744436.7576471847</v>
      </c>
      <c r="X271" s="301">
        <f t="shared" si="15"/>
        <v>40128420.930929273</v>
      </c>
      <c r="Y271" s="301">
        <f t="shared" si="15"/>
        <v>306130059.09389681</v>
      </c>
      <c r="Z271" s="301">
        <f t="shared" si="15"/>
        <v>2434771474.8445988</v>
      </c>
      <c r="AA271" s="301">
        <f t="shared" si="13"/>
        <v>85949714400692.906</v>
      </c>
      <c r="AB271" s="301">
        <f t="shared" si="13"/>
        <v>5744436.7576471847</v>
      </c>
    </row>
    <row r="272" spans="18:28" x14ac:dyDescent="0.25">
      <c r="R272" s="254">
        <f t="shared" si="16"/>
        <v>241</v>
      </c>
      <c r="S272" s="254"/>
      <c r="T272" s="301">
        <f t="shared" si="14"/>
        <v>465351.09963727277</v>
      </c>
      <c r="U272" s="301">
        <f t="shared" si="14"/>
        <v>1000147.9190412369</v>
      </c>
      <c r="V272" s="301">
        <f t="shared" si="14"/>
        <v>2344487.1858219299</v>
      </c>
      <c r="W272" s="301">
        <f t="shared" si="14"/>
        <v>5860325.4928001277</v>
      </c>
      <c r="X272" s="301">
        <f t="shared" si="15"/>
        <v>41333273.558857135</v>
      </c>
      <c r="Y272" s="301">
        <f t="shared" si="15"/>
        <v>318376261.45765275</v>
      </c>
      <c r="Z272" s="301">
        <f t="shared" si="15"/>
        <v>2556511048.5868287</v>
      </c>
      <c r="AA272" s="301">
        <f t="shared" si="13"/>
        <v>94544685841762.188</v>
      </c>
      <c r="AB272" s="301">
        <f t="shared" si="13"/>
        <v>5860325.4928001277</v>
      </c>
    </row>
    <row r="273" spans="18:28" x14ac:dyDescent="0.25">
      <c r="R273" s="254">
        <f t="shared" si="16"/>
        <v>242</v>
      </c>
      <c r="S273" s="254"/>
      <c r="T273" s="301">
        <f t="shared" si="14"/>
        <v>468677.85513545893</v>
      </c>
      <c r="U273" s="301">
        <f t="shared" si="14"/>
        <v>1011149.3982316492</v>
      </c>
      <c r="V273" s="301">
        <f t="shared" si="14"/>
        <v>2380654.4936092589</v>
      </c>
      <c r="W273" s="301">
        <f t="shared" si="14"/>
        <v>5978532.0026561311</v>
      </c>
      <c r="X273" s="301">
        <f t="shared" si="15"/>
        <v>42574271.765622854</v>
      </c>
      <c r="Y273" s="301">
        <f t="shared" si="15"/>
        <v>331112311.91595888</v>
      </c>
      <c r="Z273" s="301">
        <f t="shared" si="15"/>
        <v>2684337601.01617</v>
      </c>
      <c r="AA273" s="301">
        <f t="shared" si="13"/>
        <v>103999154426938.42</v>
      </c>
      <c r="AB273" s="301">
        <f t="shared" si="13"/>
        <v>5978532.0026561311</v>
      </c>
    </row>
    <row r="274" spans="18:28" x14ac:dyDescent="0.25">
      <c r="R274" s="254">
        <f t="shared" si="16"/>
        <v>243</v>
      </c>
      <c r="S274" s="254"/>
      <c r="T274" s="301">
        <f t="shared" si="14"/>
        <v>472021.2444111362</v>
      </c>
      <c r="U274" s="301">
        <f t="shared" si="14"/>
        <v>1022260.8922139654</v>
      </c>
      <c r="V274" s="301">
        <f t="shared" si="14"/>
        <v>2417364.3110133973</v>
      </c>
      <c r="W274" s="301">
        <f t="shared" si="14"/>
        <v>6099102.6427092534</v>
      </c>
      <c r="X274" s="301">
        <f t="shared" si="15"/>
        <v>43852499.918591544</v>
      </c>
      <c r="Y274" s="301">
        <f t="shared" si="15"/>
        <v>344357804.3925972</v>
      </c>
      <c r="Z274" s="301">
        <f t="shared" si="15"/>
        <v>2818555481.0669785</v>
      </c>
      <c r="AA274" s="301">
        <f t="shared" si="13"/>
        <v>114399069870632.27</v>
      </c>
      <c r="AB274" s="301">
        <f t="shared" si="13"/>
        <v>6099102.6427092534</v>
      </c>
    </row>
    <row r="275" spans="18:28" x14ac:dyDescent="0.25">
      <c r="R275" s="254">
        <f t="shared" si="16"/>
        <v>244</v>
      </c>
      <c r="S275" s="254"/>
      <c r="T275" s="301">
        <f t="shared" si="14"/>
        <v>475381.3506331917</v>
      </c>
      <c r="U275" s="301">
        <f t="shared" si="14"/>
        <v>1033483.5011361052</v>
      </c>
      <c r="V275" s="301">
        <f t="shared" si="14"/>
        <v>2454624.7756785974</v>
      </c>
      <c r="W275" s="301">
        <f t="shared" si="14"/>
        <v>6222084.6955634383</v>
      </c>
      <c r="X275" s="301">
        <f t="shared" si="15"/>
        <v>45169074.916149296</v>
      </c>
      <c r="Y275" s="301">
        <f t="shared" si="15"/>
        <v>358133116.56830108</v>
      </c>
      <c r="Z275" s="301">
        <f t="shared" si="15"/>
        <v>2959484255.1203279</v>
      </c>
      <c r="AA275" s="301">
        <f t="shared" si="13"/>
        <v>125838976858695.53</v>
      </c>
      <c r="AB275" s="301">
        <f t="shared" si="13"/>
        <v>6222084.6955634383</v>
      </c>
    </row>
    <row r="276" spans="18:28" x14ac:dyDescent="0.25">
      <c r="R276" s="254">
        <f t="shared" si="16"/>
        <v>245</v>
      </c>
      <c r="S276" s="254"/>
      <c r="T276" s="301">
        <f t="shared" si="14"/>
        <v>478758.25738635758</v>
      </c>
      <c r="U276" s="301">
        <f t="shared" si="14"/>
        <v>1044818.3361474662</v>
      </c>
      <c r="V276" s="301">
        <f t="shared" si="14"/>
        <v>2492444.1473137764</v>
      </c>
      <c r="W276" s="301">
        <f t="shared" si="14"/>
        <v>6347526.3894747067</v>
      </c>
      <c r="X276" s="301">
        <f t="shared" si="15"/>
        <v>46525147.163633756</v>
      </c>
      <c r="Y276" s="301">
        <f t="shared" si="15"/>
        <v>372459441.23103327</v>
      </c>
      <c r="Z276" s="301">
        <f t="shared" si="15"/>
        <v>3107459467.8763433</v>
      </c>
      <c r="AA276" s="301">
        <f t="shared" si="13"/>
        <v>138422874545565.06</v>
      </c>
      <c r="AB276" s="301">
        <f t="shared" si="13"/>
        <v>6347526.3894747067</v>
      </c>
    </row>
    <row r="277" spans="18:28" x14ac:dyDescent="0.25">
      <c r="R277" s="254">
        <f t="shared" si="16"/>
        <v>246</v>
      </c>
      <c r="S277" s="254"/>
      <c r="T277" s="301">
        <f t="shared" si="14"/>
        <v>482152.04867328919</v>
      </c>
      <c r="U277" s="301">
        <f t="shared" si="14"/>
        <v>1056266.5195089411</v>
      </c>
      <c r="V277" s="301">
        <f t="shared" si="14"/>
        <v>2530830.8095234814</v>
      </c>
      <c r="W277" s="301">
        <f t="shared" si="14"/>
        <v>6475476.9172642007</v>
      </c>
      <c r="X277" s="301">
        <f t="shared" si="15"/>
        <v>47921901.578542776</v>
      </c>
      <c r="Y277" s="301">
        <f t="shared" si="15"/>
        <v>387358818.88027453</v>
      </c>
      <c r="Z277" s="301">
        <f t="shared" si="15"/>
        <v>3262833441.2701602</v>
      </c>
      <c r="AA277" s="301">
        <f t="shared" si="13"/>
        <v>152265162001121.63</v>
      </c>
      <c r="AB277" s="301">
        <f t="shared" si="13"/>
        <v>6475476.9172642007</v>
      </c>
    </row>
    <row r="278" spans="18:28" x14ac:dyDescent="0.25">
      <c r="R278" s="254">
        <f t="shared" si="16"/>
        <v>247</v>
      </c>
      <c r="S278" s="254"/>
      <c r="T278" s="301">
        <f t="shared" si="14"/>
        <v>485562.8089166556</v>
      </c>
      <c r="U278" s="301">
        <f t="shared" si="14"/>
        <v>1067829.1847040302</v>
      </c>
      <c r="V278" s="301">
        <f t="shared" si="14"/>
        <v>2569793.2716663345</v>
      </c>
      <c r="W278" s="301">
        <f t="shared" si="14"/>
        <v>6605986.4556094836</v>
      </c>
      <c r="X278" s="301">
        <f t="shared" si="15"/>
        <v>49360558.625899069</v>
      </c>
      <c r="Y278" s="301">
        <f t="shared" si="15"/>
        <v>402854171.63548547</v>
      </c>
      <c r="Z278" s="301">
        <f t="shared" si="15"/>
        <v>3425976113.3336697</v>
      </c>
      <c r="AA278" s="301">
        <f t="shared" si="13"/>
        <v>167491678202233.78</v>
      </c>
      <c r="AB278" s="301">
        <f t="shared" si="13"/>
        <v>6605986.4556094836</v>
      </c>
    </row>
    <row r="279" spans="18:28" x14ac:dyDescent="0.25">
      <c r="R279" s="254">
        <f t="shared" si="16"/>
        <v>248</v>
      </c>
      <c r="S279" s="254"/>
      <c r="T279" s="301">
        <f t="shared" si="14"/>
        <v>488990.62296123884</v>
      </c>
      <c r="U279" s="301">
        <f t="shared" si="14"/>
        <v>1079507.4765510708</v>
      </c>
      <c r="V279" s="301">
        <f t="shared" si="14"/>
        <v>2609340.1707413294</v>
      </c>
      <c r="W279" s="301">
        <f t="shared" si="14"/>
        <v>6739106.1847216738</v>
      </c>
      <c r="X279" s="301">
        <f t="shared" si="15"/>
        <v>50842375.384676032</v>
      </c>
      <c r="Y279" s="301">
        <f t="shared" si="15"/>
        <v>418969338.50090492</v>
      </c>
      <c r="Z279" s="301">
        <f t="shared" si="15"/>
        <v>3597275919.0003529</v>
      </c>
      <c r="AA279" s="301">
        <f t="shared" si="13"/>
        <v>184240846023457.09</v>
      </c>
      <c r="AB279" s="301">
        <f t="shared" si="13"/>
        <v>6739106.1847216738</v>
      </c>
    </row>
    <row r="280" spans="18:28" x14ac:dyDescent="0.25">
      <c r="R280" s="254">
        <f t="shared" si="16"/>
        <v>249</v>
      </c>
      <c r="S280" s="254"/>
      <c r="T280" s="301">
        <f t="shared" si="14"/>
        <v>492435.57607604493</v>
      </c>
      <c r="U280" s="301">
        <f t="shared" si="14"/>
        <v>1091302.5513165817</v>
      </c>
      <c r="V280" s="301">
        <f t="shared" si="14"/>
        <v>2649480.2733024484</v>
      </c>
      <c r="W280" s="301">
        <f t="shared" si="14"/>
        <v>6874888.3084161077</v>
      </c>
      <c r="X280" s="301">
        <f t="shared" si="15"/>
        <v>52368646.646216318</v>
      </c>
      <c r="Y280" s="301">
        <f t="shared" si="15"/>
        <v>435729112.0409413</v>
      </c>
      <c r="Z280" s="301">
        <f t="shared" si="15"/>
        <v>3777140714.9503708</v>
      </c>
      <c r="AA280" s="301">
        <f t="shared" si="13"/>
        <v>202664930626802.88</v>
      </c>
      <c r="AB280" s="301">
        <f t="shared" si="13"/>
        <v>6874888.3084161077</v>
      </c>
    </row>
    <row r="281" spans="18:28" x14ac:dyDescent="0.25">
      <c r="R281" s="254">
        <f t="shared" si="16"/>
        <v>250</v>
      </c>
      <c r="S281" s="254"/>
      <c r="T281" s="301">
        <f t="shared" si="14"/>
        <v>495897.75395642512</v>
      </c>
      <c r="U281" s="301">
        <f t="shared" si="14"/>
        <v>1103215.5768297473</v>
      </c>
      <c r="V281" s="301">
        <f t="shared" si="14"/>
        <v>2690222.4774019849</v>
      </c>
      <c r="W281" s="301">
        <f t="shared" si="14"/>
        <v>7013386.0745844301</v>
      </c>
      <c r="X281" s="301">
        <f t="shared" si="15"/>
        <v>53940706.045602813</v>
      </c>
      <c r="Y281" s="301">
        <f t="shared" si="15"/>
        <v>453159276.52257878</v>
      </c>
      <c r="Z281" s="301">
        <f t="shared" si="15"/>
        <v>3965998750.6978893</v>
      </c>
      <c r="AA281" s="301">
        <f t="shared" si="13"/>
        <v>222931423690483.16</v>
      </c>
      <c r="AB281" s="301">
        <f t="shared" si="13"/>
        <v>7013386.0745844301</v>
      </c>
    </row>
    <row r="282" spans="18:28" x14ac:dyDescent="0.25">
      <c r="R282" s="254">
        <f t="shared" si="16"/>
        <v>251</v>
      </c>
      <c r="S282" s="254"/>
      <c r="T282" s="301">
        <f t="shared" si="14"/>
        <v>499377.24272620701</v>
      </c>
      <c r="U282" s="301">
        <f t="shared" si="14"/>
        <v>1115247.7325980444</v>
      </c>
      <c r="V282" s="301">
        <f t="shared" si="14"/>
        <v>2731575.8145630145</v>
      </c>
      <c r="W282" s="301">
        <f t="shared" si="14"/>
        <v>7154653.796076118</v>
      </c>
      <c r="X282" s="301">
        <f t="shared" si="15"/>
        <v>55559927.226970896</v>
      </c>
      <c r="Y282" s="301">
        <f t="shared" si="15"/>
        <v>471286647.58348197</v>
      </c>
      <c r="Z282" s="301">
        <f t="shared" si="15"/>
        <v>4164299688.2327838</v>
      </c>
      <c r="AA282" s="301">
        <f t="shared" si="13"/>
        <v>245224566060531.53</v>
      </c>
      <c r="AB282" s="301">
        <f t="shared" si="13"/>
        <v>7154653.796076118</v>
      </c>
    </row>
    <row r="283" spans="18:28" x14ac:dyDescent="0.25">
      <c r="R283" s="254">
        <f t="shared" si="16"/>
        <v>252</v>
      </c>
      <c r="S283" s="254"/>
      <c r="T283" s="301">
        <f t="shared" si="14"/>
        <v>502874.12893983797</v>
      </c>
      <c r="U283" s="301">
        <f t="shared" si="14"/>
        <v>1127400.2099240252</v>
      </c>
      <c r="V283" s="301">
        <f t="shared" si="14"/>
        <v>2773549.4517814587</v>
      </c>
      <c r="W283" s="301">
        <f t="shared" si="14"/>
        <v>7298746.8719976414</v>
      </c>
      <c r="X283" s="301">
        <f t="shared" si="15"/>
        <v>57227725.043780014</v>
      </c>
      <c r="Y283" s="301">
        <f t="shared" si="15"/>
        <v>490139113.48682141</v>
      </c>
      <c r="Z283" s="301">
        <f t="shared" si="15"/>
        <v>4372515672.6444225</v>
      </c>
      <c r="AA283" s="301">
        <f t="shared" si="15"/>
        <v>269747022667584.63</v>
      </c>
      <c r="AB283" s="301">
        <f t="shared" si="15"/>
        <v>7298746.8719976414</v>
      </c>
    </row>
    <row r="284" spans="18:28" x14ac:dyDescent="0.25">
      <c r="R284" s="254">
        <f t="shared" si="16"/>
        <v>253</v>
      </c>
      <c r="S284" s="254"/>
      <c r="T284" s="301">
        <f t="shared" si="14"/>
        <v>506388.49958453712</v>
      </c>
      <c r="U284" s="301">
        <f t="shared" si="14"/>
        <v>1139674.2120232654</v>
      </c>
      <c r="V284" s="301">
        <f t="shared" si="14"/>
        <v>2816152.6935581812</v>
      </c>
      <c r="W284" s="301">
        <f t="shared" si="14"/>
        <v>7445721.8094375953</v>
      </c>
      <c r="X284" s="301">
        <f t="shared" si="15"/>
        <v>58945556.795093402</v>
      </c>
      <c r="Y284" s="301">
        <f t="shared" si="15"/>
        <v>509745678.02629429</v>
      </c>
      <c r="Z284" s="301">
        <f t="shared" si="15"/>
        <v>4591142456.2766438</v>
      </c>
      <c r="AA284" s="301">
        <f t="shared" si="15"/>
        <v>296721724935343.13</v>
      </c>
      <c r="AB284" s="301">
        <f t="shared" si="15"/>
        <v>7445721.8094375953</v>
      </c>
    </row>
    <row r="285" spans="18:28" x14ac:dyDescent="0.25">
      <c r="R285" s="254">
        <f t="shared" si="16"/>
        <v>254</v>
      </c>
      <c r="S285" s="254"/>
      <c r="T285" s="301">
        <f t="shared" si="14"/>
        <v>509920.44208245963</v>
      </c>
      <c r="U285" s="301">
        <f t="shared" si="14"/>
        <v>1152070.9541434983</v>
      </c>
      <c r="V285" s="301">
        <f t="shared" si="14"/>
        <v>2859394.9839615528</v>
      </c>
      <c r="W285" s="301">
        <f t="shared" si="14"/>
        <v>7595636.2456263462</v>
      </c>
      <c r="X285" s="301">
        <f t="shared" si="15"/>
        <v>60714923.498946205</v>
      </c>
      <c r="Y285" s="301">
        <f t="shared" si="15"/>
        <v>530136505.14734596</v>
      </c>
      <c r="Z285" s="301">
        <f t="shared" si="15"/>
        <v>4820700579.0904741</v>
      </c>
      <c r="AA285" s="301">
        <f t="shared" si="15"/>
        <v>326393897429877.56</v>
      </c>
      <c r="AB285" s="301">
        <f t="shared" si="15"/>
        <v>7595636.2456263462</v>
      </c>
    </row>
    <row r="286" spans="18:28" x14ac:dyDescent="0.25">
      <c r="R286" s="254">
        <f t="shared" si="16"/>
        <v>255</v>
      </c>
      <c r="S286" s="254"/>
      <c r="T286" s="301">
        <f t="shared" si="14"/>
        <v>513470.04429287178</v>
      </c>
      <c r="U286" s="301">
        <f t="shared" si="14"/>
        <v>1164591.663684933</v>
      </c>
      <c r="V286" s="301">
        <f t="shared" si="14"/>
        <v>2903285.9087209757</v>
      </c>
      <c r="W286" s="301">
        <f t="shared" si="14"/>
        <v>7748548.9705388714</v>
      </c>
      <c r="X286" s="301">
        <f t="shared" si="15"/>
        <v>62537371.203914605</v>
      </c>
      <c r="Y286" s="301">
        <f t="shared" si="15"/>
        <v>551342965.35323977</v>
      </c>
      <c r="Z286" s="301">
        <f t="shared" si="15"/>
        <v>5061736608.045001</v>
      </c>
      <c r="AA286" s="301">
        <f t="shared" si="15"/>
        <v>359033287173865.25</v>
      </c>
      <c r="AB286" s="301">
        <f t="shared" si="15"/>
        <v>7748548.9705388714</v>
      </c>
    </row>
    <row r="287" spans="18:28" x14ac:dyDescent="0.25">
      <c r="R287" s="254">
        <f t="shared" si="16"/>
        <v>256</v>
      </c>
      <c r="S287" s="254"/>
      <c r="T287" s="301">
        <f t="shared" si="14"/>
        <v>517037.39451433602</v>
      </c>
      <c r="U287" s="301">
        <f t="shared" si="14"/>
        <v>1177237.5803217825</v>
      </c>
      <c r="V287" s="301">
        <f t="shared" si="14"/>
        <v>2947835.1973517896</v>
      </c>
      <c r="W287" s="301">
        <f t="shared" si="14"/>
        <v>7904519.9499496501</v>
      </c>
      <c r="X287" s="301">
        <f t="shared" si="15"/>
        <v>64414492.340032026</v>
      </c>
      <c r="Y287" s="301">
        <f t="shared" si="15"/>
        <v>573397683.96736944</v>
      </c>
      <c r="Z287" s="301">
        <f t="shared" si="15"/>
        <v>5314824438.4472504</v>
      </c>
      <c r="AA287" s="301">
        <f t="shared" si="15"/>
        <v>394936615892251.75</v>
      </c>
      <c r="AB287" s="301">
        <f t="shared" si="15"/>
        <v>7904519.9499496501</v>
      </c>
    </row>
    <row r="288" spans="18:28" x14ac:dyDescent="0.25">
      <c r="R288" s="254">
        <f t="shared" si="16"/>
        <v>257</v>
      </c>
      <c r="S288" s="254"/>
      <c r="T288" s="301">
        <f t="shared" si="14"/>
        <v>520622.58148690773</v>
      </c>
      <c r="U288" s="301">
        <f t="shared" si="14"/>
        <v>1190009.9561250003</v>
      </c>
      <c r="V288" s="301">
        <f t="shared" si="14"/>
        <v>2993052.7253120663</v>
      </c>
      <c r="W288" s="301">
        <f t="shared" ref="W288:AA351" si="17">$G$21*(((1+W$31)^($R288)-1)/(W$31))</f>
        <v>8063610.3489486435</v>
      </c>
      <c r="X288" s="301">
        <f t="shared" si="15"/>
        <v>66347927.110232979</v>
      </c>
      <c r="Y288" s="301">
        <f t="shared" si="15"/>
        <v>596334591.32606435</v>
      </c>
      <c r="Z288" s="301">
        <f t="shared" si="15"/>
        <v>5580566660.3696127</v>
      </c>
      <c r="AA288" s="301">
        <f t="shared" si="15"/>
        <v>434430277482477</v>
      </c>
      <c r="AB288" s="301">
        <f t="shared" si="15"/>
        <v>8063610.3489486435</v>
      </c>
    </row>
    <row r="289" spans="18:28" x14ac:dyDescent="0.25">
      <c r="R289" s="254">
        <f t="shared" si="16"/>
        <v>258</v>
      </c>
      <c r="S289" s="254"/>
      <c r="T289" s="301">
        <f t="shared" ref="T289:Z352" si="18">$G$21*(((1+T$31)^($R289)-1)/(T$31))</f>
        <v>524225.69439434208</v>
      </c>
      <c r="U289" s="301">
        <f t="shared" si="18"/>
        <v>1202910.0556862501</v>
      </c>
      <c r="V289" s="301">
        <f t="shared" si="18"/>
        <v>3038948.516191747</v>
      </c>
      <c r="W289" s="301">
        <f t="shared" si="17"/>
        <v>8225882.5559276156</v>
      </c>
      <c r="X289" s="301">
        <f t="shared" si="17"/>
        <v>68339364.923539981</v>
      </c>
      <c r="Y289" s="301">
        <f t="shared" si="17"/>
        <v>620188974.9791069</v>
      </c>
      <c r="Z289" s="301">
        <f t="shared" si="17"/>
        <v>5859595993.388093</v>
      </c>
      <c r="AA289" s="301">
        <f t="shared" si="17"/>
        <v>477873305231724.75</v>
      </c>
      <c r="AB289" s="301">
        <f t="shared" ref="AB289:AB352" si="19">$G$21*(((1+AB$31)^($R289)-1)/(AB$31))</f>
        <v>8225882.5559276156</v>
      </c>
    </row>
    <row r="290" spans="18:28" x14ac:dyDescent="0.25">
      <c r="R290" s="254">
        <f t="shared" ref="R290:R330" si="20">1+R289</f>
        <v>259</v>
      </c>
      <c r="S290" s="254"/>
      <c r="T290" s="301">
        <f t="shared" si="18"/>
        <v>527846.82286631374</v>
      </c>
      <c r="U290" s="301">
        <f t="shared" si="18"/>
        <v>1215939.1562431126</v>
      </c>
      <c r="V290" s="301">
        <f t="shared" si="18"/>
        <v>3085532.743934623</v>
      </c>
      <c r="W290" s="301">
        <f t="shared" si="17"/>
        <v>8391400.2070461679</v>
      </c>
      <c r="X290" s="301">
        <f t="shared" si="17"/>
        <v>70390545.871246174</v>
      </c>
      <c r="Y290" s="301">
        <f t="shared" si="17"/>
        <v>644997533.97827125</v>
      </c>
      <c r="Z290" s="301">
        <f t="shared" si="17"/>
        <v>6152576793.057498</v>
      </c>
      <c r="AA290" s="301">
        <f t="shared" si="17"/>
        <v>525660635755897.25</v>
      </c>
      <c r="AB290" s="301">
        <f t="shared" si="19"/>
        <v>8391400.2070461679</v>
      </c>
    </row>
    <row r="291" spans="18:28" x14ac:dyDescent="0.25">
      <c r="R291" s="254">
        <f t="shared" si="20"/>
        <v>260</v>
      </c>
      <c r="S291" s="254"/>
      <c r="T291" s="301">
        <f t="shared" si="18"/>
        <v>531486.05698064517</v>
      </c>
      <c r="U291" s="301">
        <f t="shared" si="18"/>
        <v>1229098.547805544</v>
      </c>
      <c r="V291" s="301">
        <f t="shared" si="18"/>
        <v>3132815.7350936411</v>
      </c>
      <c r="W291" s="301">
        <f t="shared" si="17"/>
        <v>8560228.2111870926</v>
      </c>
      <c r="X291" s="301">
        <f t="shared" si="17"/>
        <v>72503262.24738355</v>
      </c>
      <c r="Y291" s="301">
        <f t="shared" si="17"/>
        <v>670798435.33740211</v>
      </c>
      <c r="Z291" s="301">
        <f t="shared" si="17"/>
        <v>6460206632.710372</v>
      </c>
      <c r="AA291" s="301">
        <f t="shared" ref="AA291:AB354" si="21">$G$21*(((1+AA$31)^($R291)-1)/(AA$31))</f>
        <v>578226699332487</v>
      </c>
      <c r="AB291" s="301">
        <f t="shared" si="19"/>
        <v>8560228.2111870926</v>
      </c>
    </row>
    <row r="292" spans="18:28" x14ac:dyDescent="0.25">
      <c r="R292" s="254">
        <f t="shared" si="20"/>
        <v>261</v>
      </c>
      <c r="S292" s="254"/>
      <c r="T292" s="301">
        <f t="shared" si="18"/>
        <v>535143.4872655482</v>
      </c>
      <c r="U292" s="301">
        <f t="shared" si="18"/>
        <v>1242389.5332835994</v>
      </c>
      <c r="V292" s="301">
        <f t="shared" si="18"/>
        <v>3180807.9711200455</v>
      </c>
      <c r="W292" s="301">
        <f t="shared" si="17"/>
        <v>8732432.7754108347</v>
      </c>
      <c r="X292" s="301">
        <f t="shared" si="17"/>
        <v>74679360.114805073</v>
      </c>
      <c r="Y292" s="301">
        <f t="shared" si="17"/>
        <v>697631372.75089824</v>
      </c>
      <c r="Z292" s="301">
        <f t="shared" si="17"/>
        <v>6783217964.345892</v>
      </c>
      <c r="AA292" s="301">
        <f t="shared" si="21"/>
        <v>636049369266735.75</v>
      </c>
      <c r="AB292" s="301">
        <f t="shared" si="19"/>
        <v>8732432.7754108347</v>
      </c>
    </row>
    <row r="293" spans="18:28" x14ac:dyDescent="0.25">
      <c r="R293" s="254">
        <f t="shared" si="20"/>
        <v>262</v>
      </c>
      <c r="S293" s="254"/>
      <c r="T293" s="301">
        <f t="shared" si="18"/>
        <v>538819.20470187569</v>
      </c>
      <c r="U293" s="301">
        <f t="shared" si="18"/>
        <v>1255813.4286164355</v>
      </c>
      <c r="V293" s="301">
        <f t="shared" si="18"/>
        <v>3229520.0906868461</v>
      </c>
      <c r="W293" s="301">
        <f t="shared" si="17"/>
        <v>8908081.4309190512</v>
      </c>
      <c r="X293" s="301">
        <f t="shared" si="17"/>
        <v>76920740.918249205</v>
      </c>
      <c r="Y293" s="301">
        <f t="shared" si="17"/>
        <v>725537627.66093421</v>
      </c>
      <c r="Z293" s="301">
        <f t="shared" si="17"/>
        <v>7122379862.5631866</v>
      </c>
      <c r="AA293" s="301">
        <f t="shared" si="21"/>
        <v>699654306194409.38</v>
      </c>
      <c r="AB293" s="301">
        <f t="shared" si="19"/>
        <v>8908081.4309190512</v>
      </c>
    </row>
    <row r="294" spans="18:28" x14ac:dyDescent="0.25">
      <c r="R294" s="254">
        <f t="shared" si="20"/>
        <v>263</v>
      </c>
      <c r="S294" s="254"/>
      <c r="T294" s="301">
        <f t="shared" si="18"/>
        <v>542513.30072538508</v>
      </c>
      <c r="U294" s="301">
        <f t="shared" si="18"/>
        <v>1269371.5629025993</v>
      </c>
      <c r="V294" s="301">
        <f t="shared" si="18"/>
        <v>3278962.8920471482</v>
      </c>
      <c r="W294" s="301">
        <f t="shared" si="17"/>
        <v>9087243.0595374294</v>
      </c>
      <c r="X294" s="301">
        <f t="shared" si="17"/>
        <v>79229363.145796701</v>
      </c>
      <c r="Y294" s="301">
        <f t="shared" si="17"/>
        <v>754560132.76737154</v>
      </c>
      <c r="Z294" s="301">
        <f t="shared" si="17"/>
        <v>7478499855.6913462</v>
      </c>
      <c r="AA294" s="301">
        <f t="shared" si="21"/>
        <v>769619736814850.5</v>
      </c>
      <c r="AB294" s="301">
        <f t="shared" si="19"/>
        <v>9087243.0595374294</v>
      </c>
    </row>
    <row r="295" spans="18:28" x14ac:dyDescent="0.25">
      <c r="R295" s="254">
        <f t="shared" si="20"/>
        <v>264</v>
      </c>
      <c r="S295" s="254"/>
      <c r="T295" s="301">
        <f t="shared" si="18"/>
        <v>546225.86722901196</v>
      </c>
      <c r="U295" s="301">
        <f t="shared" si="18"/>
        <v>1283065.2785316259</v>
      </c>
      <c r="V295" s="301">
        <f t="shared" si="18"/>
        <v>3329147.3354278547</v>
      </c>
      <c r="W295" s="301">
        <f t="shared" si="17"/>
        <v>9269987.9207281787</v>
      </c>
      <c r="X295" s="301">
        <f t="shared" si="17"/>
        <v>81607244.04017058</v>
      </c>
      <c r="Y295" s="301">
        <f t="shared" si="17"/>
        <v>784743538.07806659</v>
      </c>
      <c r="Z295" s="301">
        <f t="shared" si="17"/>
        <v>7852425848.475913</v>
      </c>
      <c r="AA295" s="301">
        <f t="shared" si="21"/>
        <v>846581710497335.5</v>
      </c>
      <c r="AB295" s="301">
        <f t="shared" si="19"/>
        <v>9269987.9207281787</v>
      </c>
    </row>
    <row r="296" spans="18:28" x14ac:dyDescent="0.25">
      <c r="R296" s="254">
        <f t="shared" si="20"/>
        <v>265</v>
      </c>
      <c r="S296" s="254"/>
      <c r="T296" s="301">
        <f t="shared" si="18"/>
        <v>549956.99656515697</v>
      </c>
      <c r="U296" s="301">
        <f t="shared" si="18"/>
        <v>1296895.9313169422</v>
      </c>
      <c r="V296" s="301">
        <f t="shared" si="18"/>
        <v>3380084.5454592723</v>
      </c>
      <c r="W296" s="301">
        <f t="shared" si="17"/>
        <v>9456387.6791427433</v>
      </c>
      <c r="X296" s="301">
        <f t="shared" si="17"/>
        <v>84056461.361375704</v>
      </c>
      <c r="Y296" s="301">
        <f t="shared" si="17"/>
        <v>816134279.60118914</v>
      </c>
      <c r="Z296" s="301">
        <f t="shared" si="17"/>
        <v>8245048140.8997087</v>
      </c>
      <c r="AA296" s="301">
        <f t="shared" si="21"/>
        <v>931239881548069.13</v>
      </c>
      <c r="AB296" s="301">
        <f t="shared" si="19"/>
        <v>9456387.6791427433</v>
      </c>
    </row>
    <row r="297" spans="18:28" x14ac:dyDescent="0.25">
      <c r="R297" s="254">
        <f t="shared" si="20"/>
        <v>266</v>
      </c>
      <c r="S297" s="254"/>
      <c r="T297" s="301">
        <f t="shared" si="18"/>
        <v>553706.78154798259</v>
      </c>
      <c r="U297" s="301">
        <f t="shared" si="18"/>
        <v>1310864.8906301116</v>
      </c>
      <c r="V297" s="301">
        <f t="shared" si="18"/>
        <v>3431785.8136411612</v>
      </c>
      <c r="W297" s="301">
        <f t="shared" si="17"/>
        <v>9646515.432725599</v>
      </c>
      <c r="X297" s="301">
        <f t="shared" si="17"/>
        <v>86579155.202216983</v>
      </c>
      <c r="Y297" s="301">
        <f t="shared" si="17"/>
        <v>848780650.78523684</v>
      </c>
      <c r="Z297" s="301">
        <f t="shared" si="17"/>
        <v>8657301547.9446945</v>
      </c>
      <c r="AA297" s="301">
        <f t="shared" si="21"/>
        <v>1024363869703876.1</v>
      </c>
      <c r="AB297" s="301">
        <f t="shared" si="19"/>
        <v>9646515.432725599</v>
      </c>
    </row>
    <row r="298" spans="18:28" x14ac:dyDescent="0.25">
      <c r="R298" s="254">
        <f t="shared" si="20"/>
        <v>267</v>
      </c>
      <c r="S298" s="254"/>
      <c r="T298" s="301">
        <f t="shared" si="18"/>
        <v>557475.31545572251</v>
      </c>
      <c r="U298" s="301">
        <f t="shared" si="18"/>
        <v>1324973.5395364126</v>
      </c>
      <c r="V298" s="301">
        <f t="shared" si="18"/>
        <v>3484262.6008457784</v>
      </c>
      <c r="W298" s="301">
        <f t="shared" si="17"/>
        <v>9840445.7413801085</v>
      </c>
      <c r="X298" s="301">
        <f t="shared" si="17"/>
        <v>89177529.85828349</v>
      </c>
      <c r="Y298" s="301">
        <f t="shared" si="17"/>
        <v>882732876.81664622</v>
      </c>
      <c r="Z298" s="301">
        <f t="shared" si="17"/>
        <v>9090167625.3419304</v>
      </c>
      <c r="AA298" s="301">
        <f t="shared" si="21"/>
        <v>1126800256675264</v>
      </c>
      <c r="AB298" s="301">
        <f t="shared" si="19"/>
        <v>9840445.7413801085</v>
      </c>
    </row>
    <row r="299" spans="18:28" x14ac:dyDescent="0.25">
      <c r="R299" s="254">
        <f t="shared" si="20"/>
        <v>268</v>
      </c>
      <c r="S299" s="254"/>
      <c r="T299" s="301">
        <f t="shared" si="18"/>
        <v>561262.69203300076</v>
      </c>
      <c r="U299" s="301">
        <f t="shared" si="18"/>
        <v>1339223.2749317766</v>
      </c>
      <c r="V299" s="301">
        <f t="shared" si="18"/>
        <v>3537526.5398584642</v>
      </c>
      <c r="W299" s="301">
        <f t="shared" si="17"/>
        <v>10038254.656207711</v>
      </c>
      <c r="X299" s="301">
        <f t="shared" si="17"/>
        <v>91853855.754031971</v>
      </c>
      <c r="Y299" s="301">
        <f t="shared" si="17"/>
        <v>918043191.88931227</v>
      </c>
      <c r="Z299" s="301">
        <f t="shared" si="17"/>
        <v>9544677006.609024</v>
      </c>
      <c r="AA299" s="301">
        <f t="shared" si="21"/>
        <v>1239480282343790.3</v>
      </c>
      <c r="AB299" s="301">
        <f t="shared" si="19"/>
        <v>10038254.656207711</v>
      </c>
    </row>
    <row r="300" spans="18:28" x14ac:dyDescent="0.25">
      <c r="R300" s="254">
        <f t="shared" si="20"/>
        <v>269</v>
      </c>
      <c r="S300" s="254"/>
      <c r="T300" s="301">
        <f t="shared" si="18"/>
        <v>565069.00549316569</v>
      </c>
      <c r="U300" s="301">
        <f t="shared" si="18"/>
        <v>1353615.5076810946</v>
      </c>
      <c r="V300" s="301">
        <f t="shared" si="18"/>
        <v>3591589.4379563411</v>
      </c>
      <c r="W300" s="301">
        <f t="shared" si="17"/>
        <v>10240019.749331865</v>
      </c>
      <c r="X300" s="301">
        <f t="shared" si="17"/>
        <v>94610471.426652938</v>
      </c>
      <c r="Y300" s="301">
        <f t="shared" si="17"/>
        <v>954765919.5648849</v>
      </c>
      <c r="Z300" s="301">
        <f t="shared" si="17"/>
        <v>10021911856.939478</v>
      </c>
      <c r="AA300" s="301">
        <f t="shared" si="21"/>
        <v>1363428310579169.3</v>
      </c>
      <c r="AB300" s="301">
        <f t="shared" si="19"/>
        <v>10240019.749331865</v>
      </c>
    </row>
    <row r="301" spans="18:28" x14ac:dyDescent="0.25">
      <c r="R301" s="254">
        <f t="shared" si="20"/>
        <v>270</v>
      </c>
      <c r="S301" s="254"/>
      <c r="T301" s="301">
        <f t="shared" si="18"/>
        <v>568894.35052063141</v>
      </c>
      <c r="U301" s="301">
        <f t="shared" si="18"/>
        <v>1368151.6627579059</v>
      </c>
      <c r="V301" s="301">
        <f t="shared" si="18"/>
        <v>3646463.2795256847</v>
      </c>
      <c r="W301" s="301">
        <f t="shared" si="17"/>
        <v>10445820.144318504</v>
      </c>
      <c r="X301" s="301">
        <f t="shared" si="17"/>
        <v>97449785.569452524</v>
      </c>
      <c r="Y301" s="301">
        <f t="shared" si="17"/>
        <v>992957556.34748018</v>
      </c>
      <c r="Z301" s="301">
        <f t="shared" si="17"/>
        <v>10523008449.786449</v>
      </c>
      <c r="AA301" s="301">
        <f t="shared" si="21"/>
        <v>1499771141638086.5</v>
      </c>
      <c r="AB301" s="301">
        <f t="shared" si="19"/>
        <v>10445820.144318504</v>
      </c>
    </row>
    <row r="302" spans="18:28" x14ac:dyDescent="0.25">
      <c r="R302" s="254">
        <f t="shared" si="20"/>
        <v>271</v>
      </c>
      <c r="S302" s="254"/>
      <c r="T302" s="301">
        <f t="shared" si="18"/>
        <v>572738.82227323437</v>
      </c>
      <c r="U302" s="301">
        <f t="shared" si="18"/>
        <v>1382833.1793854842</v>
      </c>
      <c r="V302" s="301">
        <f t="shared" si="18"/>
        <v>3702160.2287185695</v>
      </c>
      <c r="W302" s="301">
        <f t="shared" si="17"/>
        <v>10655736.547204871</v>
      </c>
      <c r="X302" s="301">
        <f t="shared" si="17"/>
        <v>100374279.13653612</v>
      </c>
      <c r="Y302" s="301">
        <f t="shared" si="17"/>
        <v>1032676858.6013793</v>
      </c>
      <c r="Z302" s="301">
        <f t="shared" si="17"/>
        <v>11049159872.275774</v>
      </c>
      <c r="AA302" s="301">
        <f t="shared" si="21"/>
        <v>1649748255802895</v>
      </c>
      <c r="AB302" s="301">
        <f t="shared" si="19"/>
        <v>10655736.547204871</v>
      </c>
    </row>
    <row r="303" spans="18:28" x14ac:dyDescent="0.25">
      <c r="R303" s="254">
        <f t="shared" si="20"/>
        <v>272</v>
      </c>
      <c r="S303" s="254"/>
      <c r="T303" s="301">
        <f t="shared" si="18"/>
        <v>576602.51638460043</v>
      </c>
      <c r="U303" s="301">
        <f t="shared" si="18"/>
        <v>1397661.5111793396</v>
      </c>
      <c r="V303" s="301">
        <f t="shared" si="18"/>
        <v>3758692.6321493476</v>
      </c>
      <c r="W303" s="301">
        <f t="shared" si="17"/>
        <v>10869851.278148971</v>
      </c>
      <c r="X303" s="301">
        <f t="shared" si="17"/>
        <v>103386507.51063217</v>
      </c>
      <c r="Y303" s="301">
        <f t="shared" si="17"/>
        <v>1073984932.9454348</v>
      </c>
      <c r="Z303" s="301">
        <f t="shared" si="17"/>
        <v>11601618865.889565</v>
      </c>
      <c r="AA303" s="301">
        <f t="shared" si="21"/>
        <v>1814723081384184.8</v>
      </c>
      <c r="AB303" s="301">
        <f t="shared" si="19"/>
        <v>10869851.278148971</v>
      </c>
    </row>
    <row r="304" spans="18:28" x14ac:dyDescent="0.25">
      <c r="R304" s="254">
        <f t="shared" si="20"/>
        <v>273</v>
      </c>
      <c r="S304" s="254"/>
      <c r="T304" s="301">
        <f t="shared" si="18"/>
        <v>580485.52896652347</v>
      </c>
      <c r="U304" s="301">
        <f t="shared" si="18"/>
        <v>1412638.126291133</v>
      </c>
      <c r="V304" s="301">
        <f t="shared" si="18"/>
        <v>3816073.0216315873</v>
      </c>
      <c r="W304" s="301">
        <f t="shared" si="17"/>
        <v>11088248.303711951</v>
      </c>
      <c r="X304" s="301">
        <f t="shared" si="17"/>
        <v>106489102.73595116</v>
      </c>
      <c r="Y304" s="301">
        <f t="shared" si="17"/>
        <v>1116945330.263252</v>
      </c>
      <c r="Z304" s="301">
        <f t="shared" si="17"/>
        <v>12181700809.184042</v>
      </c>
      <c r="AA304" s="301">
        <f t="shared" si="21"/>
        <v>1996195389523603</v>
      </c>
      <c r="AB304" s="301">
        <f t="shared" si="19"/>
        <v>11088248.303711951</v>
      </c>
    </row>
    <row r="305" spans="18:28" x14ac:dyDescent="0.25">
      <c r="R305" s="254">
        <f t="shared" si="20"/>
        <v>274</v>
      </c>
      <c r="S305" s="254"/>
      <c r="T305" s="301">
        <f t="shared" si="18"/>
        <v>584387.95661135588</v>
      </c>
      <c r="U305" s="301">
        <f t="shared" si="18"/>
        <v>1427764.5075540445</v>
      </c>
      <c r="V305" s="301">
        <f t="shared" si="18"/>
        <v>3874314.1169560608</v>
      </c>
      <c r="W305" s="301">
        <f t="shared" si="17"/>
        <v>11311013.269786188</v>
      </c>
      <c r="X305" s="301">
        <f t="shared" si="17"/>
        <v>109684775.81802969</v>
      </c>
      <c r="Y305" s="301">
        <f t="shared" si="17"/>
        <v>1161624143.4737823</v>
      </c>
      <c r="Z305" s="301">
        <f t="shared" si="17"/>
        <v>12790786849.643246</v>
      </c>
      <c r="AA305" s="301">
        <f t="shared" si="21"/>
        <v>2195814928476963.5</v>
      </c>
      <c r="AB305" s="301">
        <f t="shared" si="19"/>
        <v>11311013.269786188</v>
      </c>
    </row>
    <row r="306" spans="18:28" x14ac:dyDescent="0.25">
      <c r="R306" s="254">
        <f t="shared" si="20"/>
        <v>275</v>
      </c>
      <c r="S306" s="254"/>
      <c r="T306" s="301">
        <f t="shared" si="18"/>
        <v>588309.89639441262</v>
      </c>
      <c r="U306" s="301">
        <f t="shared" si="18"/>
        <v>1443042.1526295845</v>
      </c>
      <c r="V306" s="301">
        <f t="shared" si="18"/>
        <v>3933428.8287104014</v>
      </c>
      <c r="W306" s="301">
        <f t="shared" si="17"/>
        <v>11538233.535181914</v>
      </c>
      <c r="X306" s="301">
        <f t="shared" si="17"/>
        <v>112976319.09257057</v>
      </c>
      <c r="Y306" s="301">
        <f t="shared" si="17"/>
        <v>1208090109.2127335</v>
      </c>
      <c r="Z306" s="301">
        <f t="shared" si="17"/>
        <v>13430327192.125406</v>
      </c>
      <c r="AA306" s="301">
        <f t="shared" si="21"/>
        <v>2415396421325660.5</v>
      </c>
      <c r="AB306" s="301">
        <f t="shared" si="19"/>
        <v>11538233.535181914</v>
      </c>
    </row>
    <row r="307" spans="18:28" x14ac:dyDescent="0.25">
      <c r="R307" s="254">
        <f t="shared" si="20"/>
        <v>276</v>
      </c>
      <c r="S307" s="254"/>
      <c r="T307" s="301">
        <f t="shared" si="18"/>
        <v>592251.4458763845</v>
      </c>
      <c r="U307" s="301">
        <f t="shared" si="18"/>
        <v>1458472.5741558804</v>
      </c>
      <c r="V307" s="301">
        <f t="shared" si="18"/>
        <v>3993430.2611410557</v>
      </c>
      <c r="W307" s="301">
        <f t="shared" si="17"/>
        <v>11769998.205885552</v>
      </c>
      <c r="X307" s="301">
        <f t="shared" si="17"/>
        <v>116366608.66534768</v>
      </c>
      <c r="Y307" s="301">
        <f t="shared" si="17"/>
        <v>1256414713.5812428</v>
      </c>
      <c r="Z307" s="301">
        <f t="shared" si="17"/>
        <v>14101844551.731676</v>
      </c>
      <c r="AA307" s="301">
        <f t="shared" si="21"/>
        <v>2656936063459226.5</v>
      </c>
      <c r="AB307" s="301">
        <f t="shared" si="19"/>
        <v>11769998.205885552</v>
      </c>
    </row>
    <row r="308" spans="18:28" x14ac:dyDescent="0.25">
      <c r="R308" s="254">
        <f t="shared" si="20"/>
        <v>277</v>
      </c>
      <c r="S308" s="254"/>
      <c r="T308" s="301">
        <f t="shared" si="18"/>
        <v>596212.70310576633</v>
      </c>
      <c r="U308" s="301">
        <f t="shared" si="18"/>
        <v>1474057.2998974391</v>
      </c>
      <c r="V308" s="301">
        <f t="shared" si="18"/>
        <v>4054331.7150581717</v>
      </c>
      <c r="W308" s="301">
        <f t="shared" si="17"/>
        <v>12006398.170003261</v>
      </c>
      <c r="X308" s="301">
        <f t="shared" si="17"/>
        <v>119858606.92530809</v>
      </c>
      <c r="Y308" s="301">
        <f t="shared" si="17"/>
        <v>1306672302.1244931</v>
      </c>
      <c r="Z308" s="301">
        <f t="shared" si="17"/>
        <v>14806937779.318262</v>
      </c>
      <c r="AA308" s="301">
        <f t="shared" si="21"/>
        <v>2922629669806150</v>
      </c>
      <c r="AB308" s="301">
        <f t="shared" si="19"/>
        <v>12006398.170003261</v>
      </c>
    </row>
    <row r="309" spans="18:28" x14ac:dyDescent="0.25">
      <c r="R309" s="254">
        <f t="shared" si="20"/>
        <v>278</v>
      </c>
      <c r="S309" s="254"/>
      <c r="T309" s="301">
        <f t="shared" si="18"/>
        <v>600193.7666212949</v>
      </c>
      <c r="U309" s="301">
        <f t="shared" si="18"/>
        <v>1489797.8728964138</v>
      </c>
      <c r="V309" s="301">
        <f t="shared" si="18"/>
        <v>4116146.6907840441</v>
      </c>
      <c r="W309" s="301">
        <f t="shared" si="17"/>
        <v>12247526.133403327</v>
      </c>
      <c r="X309" s="301">
        <f t="shared" si="17"/>
        <v>123455365.13306735</v>
      </c>
      <c r="Y309" s="301">
        <f t="shared" si="17"/>
        <v>1358940194.2094724</v>
      </c>
      <c r="Z309" s="301">
        <f t="shared" si="17"/>
        <v>15547285668.284172</v>
      </c>
      <c r="AA309" s="301">
        <f t="shared" si="21"/>
        <v>3214892636787764.5</v>
      </c>
      <c r="AB309" s="301">
        <f t="shared" si="19"/>
        <v>12247526.133403327</v>
      </c>
    </row>
    <row r="310" spans="18:28" x14ac:dyDescent="0.25">
      <c r="R310" s="254">
        <f t="shared" si="20"/>
        <v>279</v>
      </c>
      <c r="S310" s="254"/>
      <c r="T310" s="301">
        <f t="shared" si="18"/>
        <v>604194.73545440123</v>
      </c>
      <c r="U310" s="301">
        <f t="shared" si="18"/>
        <v>1505695.8516253778</v>
      </c>
      <c r="V310" s="301">
        <f t="shared" si="18"/>
        <v>4178888.8911458035</v>
      </c>
      <c r="W310" s="301">
        <f t="shared" si="17"/>
        <v>12493476.656071393</v>
      </c>
      <c r="X310" s="301">
        <f t="shared" si="17"/>
        <v>127160026.08705939</v>
      </c>
      <c r="Y310" s="301">
        <f t="shared" si="17"/>
        <v>1413298801.9778514</v>
      </c>
      <c r="Z310" s="301">
        <f t="shared" si="17"/>
        <v>16324650951.698385</v>
      </c>
      <c r="AA310" s="301">
        <f t="shared" si="21"/>
        <v>3536381900467542</v>
      </c>
      <c r="AB310" s="301">
        <f t="shared" si="19"/>
        <v>12493476.656071393</v>
      </c>
    </row>
    <row r="311" spans="18:28" x14ac:dyDescent="0.25">
      <c r="R311" s="254">
        <f t="shared" si="20"/>
        <v>280</v>
      </c>
      <c r="S311" s="254"/>
      <c r="T311" s="301">
        <f t="shared" si="18"/>
        <v>608215.70913167344</v>
      </c>
      <c r="U311" s="301">
        <f t="shared" si="18"/>
        <v>1521752.8101416319</v>
      </c>
      <c r="V311" s="301">
        <f t="shared" si="18"/>
        <v>4242572.2245129896</v>
      </c>
      <c r="W311" s="301">
        <f t="shared" si="17"/>
        <v>12744346.18919282</v>
      </c>
      <c r="X311" s="301">
        <f t="shared" si="17"/>
        <v>130975826.86967114</v>
      </c>
      <c r="Y311" s="301">
        <f t="shared" si="17"/>
        <v>1469831754.0569656</v>
      </c>
      <c r="Z311" s="301">
        <f t="shared" si="17"/>
        <v>17140884499.283302</v>
      </c>
      <c r="AA311" s="301">
        <f t="shared" si="21"/>
        <v>3890020090515295.5</v>
      </c>
      <c r="AB311" s="301">
        <f t="shared" si="19"/>
        <v>12744346.18919282</v>
      </c>
    </row>
    <row r="312" spans="18:28" x14ac:dyDescent="0.25">
      <c r="R312" s="254">
        <f t="shared" si="20"/>
        <v>281</v>
      </c>
      <c r="S312" s="254"/>
      <c r="T312" s="301">
        <f t="shared" si="18"/>
        <v>612256.78767733159</v>
      </c>
      <c r="U312" s="301">
        <f t="shared" si="18"/>
        <v>1537970.3382430484</v>
      </c>
      <c r="V312" s="301">
        <f t="shared" si="18"/>
        <v>4307210.8078806847</v>
      </c>
      <c r="W312" s="301">
        <f t="shared" si="17"/>
        <v>13000233.112976676</v>
      </c>
      <c r="X312" s="301">
        <f t="shared" si="17"/>
        <v>134906101.67576128</v>
      </c>
      <c r="Y312" s="301">
        <f t="shared" si="17"/>
        <v>1528626024.2192445</v>
      </c>
      <c r="Z312" s="301">
        <f t="shared" si="17"/>
        <v>17997929724.247467</v>
      </c>
      <c r="AA312" s="301">
        <f t="shared" si="21"/>
        <v>4279022099567825.5</v>
      </c>
      <c r="AB312" s="301">
        <f t="shared" si="19"/>
        <v>13000233.112976676</v>
      </c>
    </row>
    <row r="313" spans="18:28" x14ac:dyDescent="0.25">
      <c r="R313" s="254">
        <f t="shared" si="20"/>
        <v>282</v>
      </c>
      <c r="S313" s="254"/>
      <c r="T313" s="301">
        <f t="shared" si="18"/>
        <v>616318.07161571819</v>
      </c>
      <c r="U313" s="301">
        <f t="shared" si="18"/>
        <v>1554350.041625479</v>
      </c>
      <c r="V313" s="301">
        <f t="shared" si="18"/>
        <v>4372818.9699988943</v>
      </c>
      <c r="W313" s="301">
        <f t="shared" si="17"/>
        <v>13261237.77523621</v>
      </c>
      <c r="X313" s="301">
        <f t="shared" si="17"/>
        <v>138954284.72603416</v>
      </c>
      <c r="Y313" s="301">
        <f t="shared" si="17"/>
        <v>1589772065.1880143</v>
      </c>
      <c r="Z313" s="301">
        <f t="shared" si="17"/>
        <v>18897827210.459839</v>
      </c>
      <c r="AA313" s="301">
        <f t="shared" si="21"/>
        <v>4706924309525608</v>
      </c>
      <c r="AB313" s="301">
        <f t="shared" si="19"/>
        <v>13261237.77523621</v>
      </c>
    </row>
    <row r="314" spans="18:28" x14ac:dyDescent="0.25">
      <c r="R314" s="254">
        <f t="shared" si="20"/>
        <v>283</v>
      </c>
      <c r="S314" s="254"/>
      <c r="T314" s="301">
        <f t="shared" si="18"/>
        <v>620399.66197379655</v>
      </c>
      <c r="U314" s="301">
        <f t="shared" si="18"/>
        <v>1570893.5420417334</v>
      </c>
      <c r="V314" s="301">
        <f t="shared" si="18"/>
        <v>4439411.2545488765</v>
      </c>
      <c r="W314" s="301">
        <f t="shared" si="17"/>
        <v>13527462.530740933</v>
      </c>
      <c r="X314" s="301">
        <f t="shared" si="17"/>
        <v>143123913.26781514</v>
      </c>
      <c r="Y314" s="301">
        <f t="shared" si="17"/>
        <v>1653363947.7955348</v>
      </c>
      <c r="Z314" s="301">
        <f t="shared" si="17"/>
        <v>19842719570.982838</v>
      </c>
      <c r="AA314" s="301">
        <f t="shared" si="21"/>
        <v>5177616740479170</v>
      </c>
      <c r="AB314" s="301">
        <f t="shared" si="19"/>
        <v>13527462.530740933</v>
      </c>
    </row>
    <row r="315" spans="18:28" x14ac:dyDescent="0.25">
      <c r="R315" s="254">
        <f t="shared" si="20"/>
        <v>284</v>
      </c>
      <c r="S315" s="254"/>
      <c r="T315" s="301">
        <f t="shared" si="18"/>
        <v>624501.66028366552</v>
      </c>
      <c r="U315" s="301">
        <f t="shared" si="18"/>
        <v>1587602.4774621506</v>
      </c>
      <c r="V315" s="301">
        <f t="shared" si="18"/>
        <v>4507002.4233671091</v>
      </c>
      <c r="W315" s="301">
        <f t="shared" si="17"/>
        <v>13799011.781355755</v>
      </c>
      <c r="X315" s="301">
        <f t="shared" si="17"/>
        <v>147418630.6658496</v>
      </c>
      <c r="Y315" s="301">
        <f t="shared" si="17"/>
        <v>1719499505.7073565</v>
      </c>
      <c r="Z315" s="301">
        <f t="shared" si="17"/>
        <v>20834856549.531975</v>
      </c>
      <c r="AA315" s="301">
        <f t="shared" si="21"/>
        <v>5695378414528087</v>
      </c>
      <c r="AB315" s="301">
        <f t="shared" si="19"/>
        <v>13799011.781355755</v>
      </c>
    </row>
    <row r="316" spans="18:28" x14ac:dyDescent="0.25">
      <c r="R316" s="254">
        <f t="shared" si="20"/>
        <v>285</v>
      </c>
      <c r="S316" s="254"/>
      <c r="T316" s="301">
        <f t="shared" si="18"/>
        <v>628624.16858508356</v>
      </c>
      <c r="U316" s="301">
        <f t="shared" si="18"/>
        <v>1604478.5022367723</v>
      </c>
      <c r="V316" s="301">
        <f t="shared" si="18"/>
        <v>4575607.4597176155</v>
      </c>
      <c r="W316" s="301">
        <f t="shared" si="17"/>
        <v>14075992.016982868</v>
      </c>
      <c r="X316" s="301">
        <f t="shared" si="17"/>
        <v>151842189.58582506</v>
      </c>
      <c r="Y316" s="301">
        <f t="shared" si="17"/>
        <v>1788280485.9356508</v>
      </c>
      <c r="Z316" s="301">
        <f t="shared" si="17"/>
        <v>21876600377.008572</v>
      </c>
      <c r="AA316" s="301">
        <f t="shared" si="21"/>
        <v>6264916255981896</v>
      </c>
      <c r="AB316" s="301">
        <f t="shared" si="19"/>
        <v>14075992.016982868</v>
      </c>
    </row>
    <row r="317" spans="18:28" x14ac:dyDescent="0.25">
      <c r="R317" s="254">
        <f t="shared" si="20"/>
        <v>286</v>
      </c>
      <c r="S317" s="254"/>
      <c r="T317" s="301">
        <f t="shared" si="18"/>
        <v>632767.28942800895</v>
      </c>
      <c r="U317" s="301">
        <f t="shared" si="18"/>
        <v>1621523.2872591403</v>
      </c>
      <c r="V317" s="301">
        <f t="shared" si="18"/>
        <v>4645241.5716133788</v>
      </c>
      <c r="W317" s="301">
        <f t="shared" si="17"/>
        <v>14358511.857322527</v>
      </c>
      <c r="X317" s="301">
        <f t="shared" si="17"/>
        <v>156398455.27339983</v>
      </c>
      <c r="Y317" s="301">
        <f t="shared" si="17"/>
        <v>1859812705.3730767</v>
      </c>
      <c r="Z317" s="301">
        <f t="shared" si="17"/>
        <v>22970431395.858997</v>
      </c>
      <c r="AA317" s="301">
        <f t="shared" si="21"/>
        <v>6891407881581087</v>
      </c>
      <c r="AB317" s="301">
        <f t="shared" si="19"/>
        <v>14358511.857322527</v>
      </c>
    </row>
    <row r="318" spans="18:28" x14ac:dyDescent="0.25">
      <c r="R318" s="254">
        <f t="shared" si="20"/>
        <v>287</v>
      </c>
      <c r="S318" s="254"/>
      <c r="T318" s="301">
        <f t="shared" si="18"/>
        <v>636931.12587514869</v>
      </c>
      <c r="U318" s="301">
        <f t="shared" si="18"/>
        <v>1638738.5201317312</v>
      </c>
      <c r="V318" s="301">
        <f t="shared" si="18"/>
        <v>4715920.195187578</v>
      </c>
      <c r="W318" s="301">
        <f t="shared" si="17"/>
        <v>14646682.094468974</v>
      </c>
      <c r="X318" s="301">
        <f t="shared" si="17"/>
        <v>161091408.93160185</v>
      </c>
      <c r="Y318" s="301">
        <f t="shared" si="17"/>
        <v>1934206213.5879998</v>
      </c>
      <c r="Z318" s="301">
        <f t="shared" si="17"/>
        <v>24118953965.651955</v>
      </c>
      <c r="AA318" s="301">
        <f t="shared" si="21"/>
        <v>7580548669740195</v>
      </c>
      <c r="AB318" s="301">
        <f t="shared" si="19"/>
        <v>14646682.094468974</v>
      </c>
    </row>
    <row r="319" spans="18:28" x14ac:dyDescent="0.25">
      <c r="R319" s="254">
        <f t="shared" si="20"/>
        <v>288</v>
      </c>
      <c r="S319" s="254"/>
      <c r="T319" s="301">
        <f t="shared" si="18"/>
        <v>641115.78150452429</v>
      </c>
      <c r="U319" s="301">
        <f t="shared" si="18"/>
        <v>1656125.9053330489</v>
      </c>
      <c r="V319" s="301">
        <f t="shared" si="18"/>
        <v>4787658.9981153924</v>
      </c>
      <c r="W319" s="301">
        <f t="shared" si="17"/>
        <v>14940615.736358356</v>
      </c>
      <c r="X319" s="301">
        <f t="shared" si="17"/>
        <v>165925151.19954985</v>
      </c>
      <c r="Y319" s="301">
        <f t="shared" si="17"/>
        <v>2011575462.1315198</v>
      </c>
      <c r="Z319" s="301">
        <f t="shared" si="17"/>
        <v>25324902663.934551</v>
      </c>
      <c r="AA319" s="301">
        <f t="shared" si="21"/>
        <v>8338603536715216</v>
      </c>
      <c r="AB319" s="301">
        <f t="shared" si="19"/>
        <v>14940615.736358356</v>
      </c>
    </row>
    <row r="320" spans="18:28" x14ac:dyDescent="0.25">
      <c r="R320" s="254">
        <f t="shared" si="20"/>
        <v>289</v>
      </c>
      <c r="S320" s="254"/>
      <c r="T320" s="301">
        <f t="shared" si="18"/>
        <v>645321.3604120469</v>
      </c>
      <c r="U320" s="301">
        <f t="shared" si="18"/>
        <v>1673687.1643863793</v>
      </c>
      <c r="V320" s="301">
        <f t="shared" si="18"/>
        <v>4860473.8830871219</v>
      </c>
      <c r="W320" s="301">
        <f t="shared" si="17"/>
        <v>15240428.051085524</v>
      </c>
      <c r="X320" s="301">
        <f t="shared" si="17"/>
        <v>170903905.73553637</v>
      </c>
      <c r="Y320" s="301">
        <f t="shared" si="17"/>
        <v>2092039480.6167805</v>
      </c>
      <c r="Z320" s="301">
        <f t="shared" si="17"/>
        <v>26591148797.131283</v>
      </c>
      <c r="AA320" s="301">
        <f t="shared" si="21"/>
        <v>9172463890387738</v>
      </c>
      <c r="AB320" s="301">
        <f t="shared" si="19"/>
        <v>15240428.051085524</v>
      </c>
    </row>
    <row r="321" spans="18:28" x14ac:dyDescent="0.25">
      <c r="R321" s="254">
        <f t="shared" si="20"/>
        <v>290</v>
      </c>
      <c r="S321" s="254"/>
      <c r="T321" s="301">
        <f t="shared" si="18"/>
        <v>649547.96721410693</v>
      </c>
      <c r="U321" s="301">
        <f t="shared" si="18"/>
        <v>1691424.0360302434</v>
      </c>
      <c r="V321" s="301">
        <f t="shared" si="18"/>
        <v>4934380.9913334278</v>
      </c>
      <c r="W321" s="301">
        <f t="shared" si="17"/>
        <v>15546236.612107234</v>
      </c>
      <c r="X321" s="301">
        <f t="shared" si="17"/>
        <v>176032022.90760243</v>
      </c>
      <c r="Y321" s="301">
        <f t="shared" si="17"/>
        <v>2175722059.8414521</v>
      </c>
      <c r="Z321" s="301">
        <f t="shared" si="17"/>
        <v>27920707236.987843</v>
      </c>
      <c r="AA321" s="301">
        <f t="shared" si="21"/>
        <v>1.0089710279427514E+16</v>
      </c>
      <c r="AB321" s="301">
        <f t="shared" si="19"/>
        <v>15546236.612107234</v>
      </c>
    </row>
    <row r="322" spans="18:28" x14ac:dyDescent="0.25">
      <c r="R322" s="254">
        <f t="shared" si="20"/>
        <v>291</v>
      </c>
      <c r="S322" s="254"/>
      <c r="T322" s="301">
        <f t="shared" si="18"/>
        <v>653795.7070501775</v>
      </c>
      <c r="U322" s="301">
        <f t="shared" si="18"/>
        <v>1709338.2763905451</v>
      </c>
      <c r="V322" s="301">
        <f t="shared" si="18"/>
        <v>5009396.70620343</v>
      </c>
      <c r="W322" s="301">
        <f t="shared" si="17"/>
        <v>15858161.344349377</v>
      </c>
      <c r="X322" s="301">
        <f t="shared" si="17"/>
        <v>181313983.59483051</v>
      </c>
      <c r="Y322" s="301">
        <f t="shared" si="17"/>
        <v>2262751942.2351103</v>
      </c>
      <c r="Z322" s="301">
        <f t="shared" si="17"/>
        <v>29316743598.837242</v>
      </c>
      <c r="AA322" s="301">
        <f t="shared" si="21"/>
        <v>1.1098681307371264E+16</v>
      </c>
      <c r="AB322" s="301">
        <f t="shared" si="19"/>
        <v>15858161.344349377</v>
      </c>
    </row>
    <row r="323" spans="18:28" x14ac:dyDescent="0.25">
      <c r="R323" s="254">
        <f t="shared" si="20"/>
        <v>292</v>
      </c>
      <c r="S323" s="254"/>
      <c r="T323" s="301">
        <f t="shared" si="18"/>
        <v>658064.68558542815</v>
      </c>
      <c r="U323" s="301">
        <f t="shared" si="18"/>
        <v>1727431.6591544508</v>
      </c>
      <c r="V323" s="301">
        <f t="shared" si="18"/>
        <v>5085537.6567964805</v>
      </c>
      <c r="W323" s="301">
        <f t="shared" si="17"/>
        <v>16176324.571236365</v>
      </c>
      <c r="X323" s="301">
        <f t="shared" si="17"/>
        <v>186754403.10267544</v>
      </c>
      <c r="Y323" s="301">
        <f t="shared" si="17"/>
        <v>2353263019.9245148</v>
      </c>
      <c r="Z323" s="301">
        <f t="shared" si="17"/>
        <v>30782581778.779099</v>
      </c>
      <c r="AA323" s="301">
        <f t="shared" si="21"/>
        <v>1.220854943810939E+16</v>
      </c>
      <c r="AB323" s="301">
        <f t="shared" si="19"/>
        <v>16176324.571236365</v>
      </c>
    </row>
    <row r="324" spans="18:28" x14ac:dyDescent="0.25">
      <c r="R324" s="254">
        <f t="shared" si="20"/>
        <v>293</v>
      </c>
      <c r="S324" s="254"/>
      <c r="T324" s="301">
        <f t="shared" si="18"/>
        <v>662355.00901335501</v>
      </c>
      <c r="U324" s="301">
        <f t="shared" si="18"/>
        <v>1745705.9757459955</v>
      </c>
      <c r="V324" s="301">
        <f t="shared" si="18"/>
        <v>5162820.7216484258</v>
      </c>
      <c r="W324" s="301">
        <f t="shared" si="17"/>
        <v>16500851.062661095</v>
      </c>
      <c r="X324" s="301">
        <f t="shared" si="17"/>
        <v>192358035.19575566</v>
      </c>
      <c r="Y324" s="301">
        <f t="shared" si="17"/>
        <v>2447394540.7214961</v>
      </c>
      <c r="Z324" s="301">
        <f t="shared" si="17"/>
        <v>32321711867.718056</v>
      </c>
      <c r="AA324" s="301">
        <f t="shared" si="21"/>
        <v>1.3429404381921332E+16</v>
      </c>
      <c r="AB324" s="301">
        <f t="shared" si="19"/>
        <v>16500851.062661095</v>
      </c>
    </row>
    <row r="325" spans="18:28" x14ac:dyDescent="0.25">
      <c r="R325" s="254">
        <f t="shared" si="20"/>
        <v>294</v>
      </c>
      <c r="S325" s="254"/>
      <c r="T325" s="301">
        <f t="shared" si="18"/>
        <v>666666.78405842173</v>
      </c>
      <c r="U325" s="301">
        <f t="shared" si="18"/>
        <v>1764163.0355034557</v>
      </c>
      <c r="V325" s="301">
        <f t="shared" si="18"/>
        <v>5241263.0324731516</v>
      </c>
      <c r="W325" s="301">
        <f t="shared" si="17"/>
        <v>16831868.083914317</v>
      </c>
      <c r="X325" s="301">
        <f t="shared" si="17"/>
        <v>198129776.25162834</v>
      </c>
      <c r="Y325" s="301">
        <f t="shared" si="17"/>
        <v>2545291322.3503551</v>
      </c>
      <c r="Z325" s="301">
        <f t="shared" si="17"/>
        <v>33937798461.103954</v>
      </c>
      <c r="AA325" s="301">
        <f t="shared" si="21"/>
        <v>1.4772344820114466E+16</v>
      </c>
      <c r="AB325" s="301">
        <f t="shared" si="19"/>
        <v>16831868.083914317</v>
      </c>
    </row>
    <row r="326" spans="18:28" x14ac:dyDescent="0.25">
      <c r="R326" s="254">
        <f t="shared" si="20"/>
        <v>295</v>
      </c>
      <c r="S326" s="254"/>
      <c r="T326" s="301">
        <f t="shared" si="18"/>
        <v>671000.11797871382</v>
      </c>
      <c r="U326" s="301">
        <f t="shared" si="18"/>
        <v>1782804.6658584895</v>
      </c>
      <c r="V326" s="301">
        <f t="shared" si="18"/>
        <v>5320881.9779602485</v>
      </c>
      <c r="W326" s="301">
        <f t="shared" si="17"/>
        <v>17169505.445592597</v>
      </c>
      <c r="X326" s="301">
        <f t="shared" si="17"/>
        <v>204074669.53917724</v>
      </c>
      <c r="Y326" s="301">
        <f t="shared" si="17"/>
        <v>2647103975.2443695</v>
      </c>
      <c r="Z326" s="301">
        <f t="shared" si="17"/>
        <v>35634689384.159157</v>
      </c>
      <c r="AA326" s="301">
        <f t="shared" si="21"/>
        <v>1.6249579302126916E+16</v>
      </c>
      <c r="AB326" s="301">
        <f t="shared" si="19"/>
        <v>17169505.445592597</v>
      </c>
    </row>
    <row r="327" spans="18:28" x14ac:dyDescent="0.25">
      <c r="R327" s="254">
        <f t="shared" si="20"/>
        <v>296</v>
      </c>
      <c r="S327" s="254"/>
      <c r="T327" s="301">
        <f t="shared" si="18"/>
        <v>675355.11856860726</v>
      </c>
      <c r="U327" s="301">
        <f t="shared" si="18"/>
        <v>1801632.712517075</v>
      </c>
      <c r="V327" s="301">
        <f t="shared" si="18"/>
        <v>5401695.2076296518</v>
      </c>
      <c r="W327" s="301">
        <f t="shared" si="17"/>
        <v>17513895.554504454</v>
      </c>
      <c r="X327" s="301">
        <f t="shared" si="17"/>
        <v>210197909.6253525</v>
      </c>
      <c r="Y327" s="301">
        <f t="shared" si="17"/>
        <v>2752989134.2541451</v>
      </c>
      <c r="Z327" s="301">
        <f t="shared" si="17"/>
        <v>37416424853.367111</v>
      </c>
      <c r="AA327" s="301">
        <f t="shared" si="21"/>
        <v>1.7874537232340606E+16</v>
      </c>
      <c r="AB327" s="301">
        <f t="shared" si="19"/>
        <v>17513895.554504454</v>
      </c>
    </row>
    <row r="328" spans="18:28" x14ac:dyDescent="0.25">
      <c r="R328" s="254">
        <f t="shared" si="20"/>
        <v>297</v>
      </c>
      <c r="S328" s="254"/>
      <c r="T328" s="301">
        <f t="shared" si="18"/>
        <v>679731.89416145021</v>
      </c>
      <c r="U328" s="301">
        <f t="shared" si="18"/>
        <v>1820649.039642246</v>
      </c>
      <c r="V328" s="301">
        <f t="shared" si="18"/>
        <v>5483720.6357440967</v>
      </c>
      <c r="W328" s="301">
        <f t="shared" si="17"/>
        <v>17865173.465594545</v>
      </c>
      <c r="X328" s="301">
        <f t="shared" si="17"/>
        <v>216504846.9141131</v>
      </c>
      <c r="Y328" s="301">
        <f t="shared" si="17"/>
        <v>2863109699.6243105</v>
      </c>
      <c r="Z328" s="301">
        <f t="shared" si="17"/>
        <v>39287247096.035469</v>
      </c>
      <c r="AA328" s="301">
        <f t="shared" si="21"/>
        <v>1.9661990955575664E+16</v>
      </c>
      <c r="AB328" s="301">
        <f t="shared" si="19"/>
        <v>17865173.465594545</v>
      </c>
    </row>
    <row r="329" spans="18:28" x14ac:dyDescent="0.25">
      <c r="R329" s="254">
        <f t="shared" si="20"/>
        <v>298</v>
      </c>
      <c r="S329" s="254"/>
      <c r="T329" s="301">
        <f t="shared" si="18"/>
        <v>684130.55363225727</v>
      </c>
      <c r="U329" s="301">
        <f t="shared" si="18"/>
        <v>1839855.5300386685</v>
      </c>
      <c r="V329" s="301">
        <f t="shared" si="18"/>
        <v>5566976.4452802567</v>
      </c>
      <c r="W329" s="301">
        <f t="shared" si="17"/>
        <v>18223476.934906434</v>
      </c>
      <c r="X329" s="301">
        <f t="shared" si="17"/>
        <v>223000992.32153651</v>
      </c>
      <c r="Y329" s="301">
        <f t="shared" si="17"/>
        <v>2977635087.609283</v>
      </c>
      <c r="Z329" s="301">
        <f t="shared" si="17"/>
        <v>41251610450.837242</v>
      </c>
      <c r="AA329" s="301">
        <f t="shared" si="21"/>
        <v>2.1628190051134236E+16</v>
      </c>
      <c r="AB329" s="301">
        <f t="shared" si="19"/>
        <v>18223476.934906434</v>
      </c>
    </row>
    <row r="330" spans="18:28" x14ac:dyDescent="0.25">
      <c r="R330" s="254">
        <f t="shared" si="20"/>
        <v>299</v>
      </c>
      <c r="S330" s="254"/>
      <c r="T330" s="301">
        <f t="shared" si="18"/>
        <v>688551.20640041854</v>
      </c>
      <c r="U330" s="301">
        <f t="shared" si="18"/>
        <v>1859254.0853390549</v>
      </c>
      <c r="V330" s="301">
        <f t="shared" si="18"/>
        <v>5651481.0919594597</v>
      </c>
      <c r="W330" s="301">
        <f t="shared" si="17"/>
        <v>18588946.47360456</v>
      </c>
      <c r="X330" s="301">
        <f t="shared" si="17"/>
        <v>229692022.09118259</v>
      </c>
      <c r="Y330" s="301">
        <f t="shared" si="17"/>
        <v>3096741491.1136546</v>
      </c>
      <c r="Z330" s="301">
        <f t="shared" si="17"/>
        <v>43314191973.379112</v>
      </c>
      <c r="AA330" s="301">
        <f t="shared" si="21"/>
        <v>2.379100905624866E+16</v>
      </c>
      <c r="AB330" s="301">
        <f t="shared" si="19"/>
        <v>18588946.47360456</v>
      </c>
    </row>
    <row r="331" spans="18:28" x14ac:dyDescent="0.25">
      <c r="R331" s="254">
        <f>1+R330</f>
        <v>300</v>
      </c>
      <c r="S331" s="254"/>
      <c r="T331" s="301">
        <f t="shared" si="18"/>
        <v>692993.96243242035</v>
      </c>
      <c r="U331" s="301">
        <f t="shared" si="18"/>
        <v>1878846.6261924454</v>
      </c>
      <c r="V331" s="301">
        <f t="shared" si="18"/>
        <v>5737253.3083388507</v>
      </c>
      <c r="W331" s="301">
        <f t="shared" si="17"/>
        <v>18961725.403076652</v>
      </c>
      <c r="X331" s="301">
        <f t="shared" si="17"/>
        <v>236583782.75391802</v>
      </c>
      <c r="Y331" s="301">
        <f t="shared" si="17"/>
        <v>3220612150.7582011</v>
      </c>
      <c r="Z331" s="301">
        <f t="shared" si="17"/>
        <v>45479902572.048058</v>
      </c>
      <c r="AA331" s="301">
        <f t="shared" si="21"/>
        <v>2.6170109961874532E+16</v>
      </c>
      <c r="AB331" s="301">
        <f t="shared" si="19"/>
        <v>18961725.403076652</v>
      </c>
    </row>
    <row r="332" spans="18:28" x14ac:dyDescent="0.25">
      <c r="R332" s="254">
        <f t="shared" ref="R332:R374" si="22">1+R331</f>
        <v>301</v>
      </c>
      <c r="S332" s="254"/>
      <c r="T332" s="301">
        <f t="shared" si="18"/>
        <v>697458.93224458222</v>
      </c>
      <c r="U332" s="301">
        <f t="shared" si="18"/>
        <v>1898635.0924543699</v>
      </c>
      <c r="V332" s="301">
        <f t="shared" si="18"/>
        <v>5824312.1079639336</v>
      </c>
      <c r="W332" s="301">
        <f t="shared" si="17"/>
        <v>19341959.911138188</v>
      </c>
      <c r="X332" s="301">
        <f t="shared" si="17"/>
        <v>243682296.23653558</v>
      </c>
      <c r="Y332" s="301">
        <f t="shared" si="17"/>
        <v>3349437636.7885294</v>
      </c>
      <c r="Z332" s="301">
        <f t="shared" si="17"/>
        <v>47753898700.650467</v>
      </c>
      <c r="AA332" s="301">
        <f t="shared" si="21"/>
        <v>2.878712095806298E+16</v>
      </c>
      <c r="AB332" s="301">
        <f t="shared" si="19"/>
        <v>19341959.911138188</v>
      </c>
    </row>
    <row r="333" spans="18:28" x14ac:dyDescent="0.25">
      <c r="R333" s="254">
        <f t="shared" si="22"/>
        <v>302</v>
      </c>
      <c r="S333" s="254"/>
      <c r="T333" s="301">
        <f t="shared" si="18"/>
        <v>701946.22690580518</v>
      </c>
      <c r="U333" s="301">
        <f t="shared" si="18"/>
        <v>1918621.4433789139</v>
      </c>
      <c r="V333" s="301">
        <f t="shared" si="18"/>
        <v>5912676.7895833906</v>
      </c>
      <c r="W333" s="301">
        <f t="shared" si="17"/>
        <v>19729799.109360948</v>
      </c>
      <c r="X333" s="301">
        <f t="shared" si="17"/>
        <v>250993765.12363163</v>
      </c>
      <c r="Y333" s="301">
        <f t="shared" si="17"/>
        <v>3483416142.2600708</v>
      </c>
      <c r="Z333" s="301">
        <f t="shared" si="17"/>
        <v>50141594635.682976</v>
      </c>
      <c r="AA333" s="301">
        <f t="shared" si="21"/>
        <v>3.1665833053870284E+16</v>
      </c>
      <c r="AB333" s="301">
        <f t="shared" si="19"/>
        <v>19729799.109360948</v>
      </c>
    </row>
    <row r="334" spans="18:28" x14ac:dyDescent="0.25">
      <c r="R334" s="254">
        <f t="shared" si="22"/>
        <v>303</v>
      </c>
      <c r="S334" s="254"/>
      <c r="T334" s="301">
        <f t="shared" si="18"/>
        <v>706455.95804033382</v>
      </c>
      <c r="U334" s="301">
        <f t="shared" si="18"/>
        <v>1938807.6578127022</v>
      </c>
      <c r="V334" s="301">
        <f t="shared" si="18"/>
        <v>6002366.9414271405</v>
      </c>
      <c r="W334" s="301">
        <f t="shared" si="17"/>
        <v>20125395.091548167</v>
      </c>
      <c r="X334" s="301">
        <f t="shared" si="17"/>
        <v>258524578.07734063</v>
      </c>
      <c r="Y334" s="301">
        <f t="shared" si="17"/>
        <v>3622753787.9504733</v>
      </c>
      <c r="Z334" s="301">
        <f t="shared" si="17"/>
        <v>52648675367.467148</v>
      </c>
      <c r="AA334" s="301">
        <f t="shared" si="21"/>
        <v>3.4832416359258312E+16</v>
      </c>
      <c r="AB334" s="301">
        <f t="shared" si="19"/>
        <v>20125395.091548167</v>
      </c>
    </row>
    <row r="335" spans="18:28" x14ac:dyDescent="0.25">
      <c r="R335" s="254">
        <f t="shared" si="22"/>
        <v>304</v>
      </c>
      <c r="S335" s="254"/>
      <c r="T335" s="301">
        <f t="shared" si="18"/>
        <v>710988.23783053539</v>
      </c>
      <c r="U335" s="301">
        <f t="shared" si="18"/>
        <v>1959195.7343908302</v>
      </c>
      <c r="V335" s="301">
        <f t="shared" si="18"/>
        <v>6093402.4455485465</v>
      </c>
      <c r="W335" s="301">
        <f t="shared" si="17"/>
        <v>20528902.993379131</v>
      </c>
      <c r="X335" s="301">
        <f t="shared" si="17"/>
        <v>266281315.41966084</v>
      </c>
      <c r="Y335" s="301">
        <f t="shared" si="17"/>
        <v>3767664939.468493</v>
      </c>
      <c r="Z335" s="301">
        <f t="shared" si="17"/>
        <v>55281110135.8405</v>
      </c>
      <c r="AA335" s="301">
        <f t="shared" si="21"/>
        <v>3.8315657995185144E+16</v>
      </c>
      <c r="AB335" s="301">
        <f t="shared" si="19"/>
        <v>20528902.993379131</v>
      </c>
    </row>
    <row r="336" spans="18:28" x14ac:dyDescent="0.25">
      <c r="R336" s="254">
        <f t="shared" si="22"/>
        <v>305</v>
      </c>
      <c r="S336" s="254"/>
      <c r="T336" s="301">
        <f t="shared" si="18"/>
        <v>715543.17901968805</v>
      </c>
      <c r="U336" s="301">
        <f t="shared" si="18"/>
        <v>1979787.6917347384</v>
      </c>
      <c r="V336" s="301">
        <f t="shared" si="18"/>
        <v>6185803.4822317744</v>
      </c>
      <c r="W336" s="301">
        <f t="shared" si="17"/>
        <v>20940481.053246714</v>
      </c>
      <c r="X336" s="301">
        <f t="shared" si="17"/>
        <v>274270754.88225061</v>
      </c>
      <c r="Y336" s="301">
        <f t="shared" si="17"/>
        <v>3918372537.0472326</v>
      </c>
      <c r="Z336" s="301">
        <f t="shared" si="17"/>
        <v>58045166642.63253</v>
      </c>
      <c r="AA336" s="301">
        <f t="shared" si="21"/>
        <v>4.2147223794704664E+16</v>
      </c>
      <c r="AB336" s="301">
        <f t="shared" si="19"/>
        <v>20940481.053246714</v>
      </c>
    </row>
    <row r="337" spans="18:28" x14ac:dyDescent="0.25">
      <c r="R337" s="254">
        <f t="shared" si="22"/>
        <v>306</v>
      </c>
      <c r="S337" s="254"/>
      <c r="T337" s="301">
        <f t="shared" si="18"/>
        <v>720120.89491478621</v>
      </c>
      <c r="U337" s="301">
        <f t="shared" si="18"/>
        <v>2000585.568652086</v>
      </c>
      <c r="V337" s="301">
        <f t="shared" si="18"/>
        <v>6279590.5344652506</v>
      </c>
      <c r="W337" s="301">
        <f t="shared" si="17"/>
        <v>21360290.674311649</v>
      </c>
      <c r="X337" s="301">
        <f t="shared" si="17"/>
        <v>282499877.52871817</v>
      </c>
      <c r="Y337" s="301">
        <f t="shared" si="17"/>
        <v>4075108438.5291224</v>
      </c>
      <c r="Z337" s="301">
        <f t="shared" si="17"/>
        <v>60947425974.76416</v>
      </c>
      <c r="AA337" s="301">
        <f t="shared" si="21"/>
        <v>4.6361946174176144E+16</v>
      </c>
      <c r="AB337" s="301">
        <f t="shared" si="19"/>
        <v>21360290.674311649</v>
      </c>
    </row>
    <row r="338" spans="18:28" x14ac:dyDescent="0.25">
      <c r="R338" s="254">
        <f t="shared" si="22"/>
        <v>307</v>
      </c>
      <c r="S338" s="254"/>
      <c r="T338" s="301">
        <f t="shared" si="18"/>
        <v>724721.49938936008</v>
      </c>
      <c r="U338" s="301">
        <f t="shared" si="18"/>
        <v>2021591.4243386067</v>
      </c>
      <c r="V338" s="301">
        <f t="shared" si="18"/>
        <v>6374784.3924822286</v>
      </c>
      <c r="W338" s="301">
        <f t="shared" si="17"/>
        <v>21788496.487797879</v>
      </c>
      <c r="X338" s="301">
        <f t="shared" si="17"/>
        <v>290975873.85457969</v>
      </c>
      <c r="Y338" s="301">
        <f t="shared" si="17"/>
        <v>4238113776.0702872</v>
      </c>
      <c r="Z338" s="301">
        <f t="shared" si="17"/>
        <v>63994798273.502365</v>
      </c>
      <c r="AA338" s="301">
        <f t="shared" si="21"/>
        <v>5.0998140791594752E+16</v>
      </c>
      <c r="AB338" s="301">
        <f t="shared" si="19"/>
        <v>21788496.487797879</v>
      </c>
    </row>
    <row r="339" spans="18:28" x14ac:dyDescent="0.25">
      <c r="R339" s="254">
        <f t="shared" si="22"/>
        <v>308</v>
      </c>
      <c r="S339" s="254"/>
      <c r="T339" s="301">
        <f t="shared" si="18"/>
        <v>729345.10688630666</v>
      </c>
      <c r="U339" s="301">
        <f t="shared" si="18"/>
        <v>2042807.3385819928</v>
      </c>
      <c r="V339" s="301">
        <f t="shared" si="18"/>
        <v>6471406.1583694601</v>
      </c>
      <c r="W339" s="301">
        <f t="shared" si="17"/>
        <v>22225266.417553842</v>
      </c>
      <c r="X339" s="301">
        <f t="shared" si="17"/>
        <v>299706150.07021701</v>
      </c>
      <c r="Y339" s="301">
        <f t="shared" si="17"/>
        <v>4407639327.1130981</v>
      </c>
      <c r="Z339" s="301">
        <f t="shared" si="17"/>
        <v>67194539187.177483</v>
      </c>
      <c r="AA339" s="301">
        <f t="shared" si="21"/>
        <v>5.6097954870755232E+16</v>
      </c>
      <c r="AB339" s="301">
        <f t="shared" si="19"/>
        <v>22225266.417553842</v>
      </c>
    </row>
    <row r="340" spans="18:28" x14ac:dyDescent="0.25">
      <c r="R340" s="254">
        <f t="shared" si="22"/>
        <v>309</v>
      </c>
      <c r="S340" s="254"/>
      <c r="T340" s="301">
        <f t="shared" si="18"/>
        <v>733991.83242073818</v>
      </c>
      <c r="U340" s="301">
        <f t="shared" si="18"/>
        <v>2064235.4119678126</v>
      </c>
      <c r="V340" s="301">
        <f t="shared" si="18"/>
        <v>6569477.2507450012</v>
      </c>
      <c r="W340" s="301">
        <f t="shared" si="17"/>
        <v>22670771.745904911</v>
      </c>
      <c r="X340" s="301">
        <f t="shared" si="17"/>
        <v>308698334.5723235</v>
      </c>
      <c r="Y340" s="301">
        <f t="shared" si="17"/>
        <v>4583945900.1976242</v>
      </c>
      <c r="Z340" s="301">
        <f t="shared" si="17"/>
        <v>70554267146.536346</v>
      </c>
      <c r="AA340" s="301">
        <f t="shared" si="21"/>
        <v>6.1707750357831768E+16</v>
      </c>
      <c r="AB340" s="301">
        <f t="shared" si="19"/>
        <v>22670771.745904911</v>
      </c>
    </row>
    <row r="341" spans="18:28" x14ac:dyDescent="0.25">
      <c r="R341" s="254">
        <f t="shared" si="22"/>
        <v>310</v>
      </c>
      <c r="S341" s="254"/>
      <c r="T341" s="301">
        <f t="shared" si="18"/>
        <v>738661.79158284166</v>
      </c>
      <c r="U341" s="301">
        <f t="shared" si="18"/>
        <v>2085877.7660874911</v>
      </c>
      <c r="V341" s="301">
        <f t="shared" si="18"/>
        <v>6669019.4095061738</v>
      </c>
      <c r="W341" s="301">
        <f t="shared" si="17"/>
        <v>23125187.180823017</v>
      </c>
      <c r="X341" s="301">
        <f t="shared" si="17"/>
        <v>317960284.60949326</v>
      </c>
      <c r="Y341" s="301">
        <f t="shared" si="17"/>
        <v>4767304736.2055283</v>
      </c>
      <c r="Z341" s="301">
        <f t="shared" si="17"/>
        <v>74081981503.863159</v>
      </c>
      <c r="AA341" s="301">
        <f t="shared" si="21"/>
        <v>6.7878525393615944E+16</v>
      </c>
      <c r="AB341" s="301">
        <f t="shared" si="19"/>
        <v>23125187.180823017</v>
      </c>
    </row>
    <row r="342" spans="18:28" x14ac:dyDescent="0.25">
      <c r="R342" s="254">
        <f t="shared" si="22"/>
        <v>311</v>
      </c>
      <c r="S342" s="254"/>
      <c r="T342" s="301">
        <f t="shared" si="18"/>
        <v>743355.10054075567</v>
      </c>
      <c r="U342" s="301">
        <f t="shared" si="18"/>
        <v>2107736.5437483652</v>
      </c>
      <c r="V342" s="301">
        <f t="shared" si="18"/>
        <v>6770054.7006487669</v>
      </c>
      <c r="W342" s="301">
        <f t="shared" si="17"/>
        <v>23588690.924439467</v>
      </c>
      <c r="X342" s="301">
        <f t="shared" si="17"/>
        <v>327500093.14777809</v>
      </c>
      <c r="Y342" s="301">
        <f t="shared" si="17"/>
        <v>4957997925.6537495</v>
      </c>
      <c r="Z342" s="301">
        <f t="shared" si="17"/>
        <v>77786081579.056335</v>
      </c>
      <c r="AA342" s="301">
        <f t="shared" si="21"/>
        <v>7.4666377932978544E+16</v>
      </c>
      <c r="AB342" s="301">
        <f t="shared" si="19"/>
        <v>23588690.924439467</v>
      </c>
    </row>
    <row r="343" spans="18:28" x14ac:dyDescent="0.25">
      <c r="R343" s="254">
        <f t="shared" si="22"/>
        <v>312</v>
      </c>
      <c r="S343" s="254"/>
      <c r="T343" s="301">
        <f t="shared" si="18"/>
        <v>748071.87604345952</v>
      </c>
      <c r="U343" s="301">
        <f t="shared" si="18"/>
        <v>2129813.9091858496</v>
      </c>
      <c r="V343" s="301">
        <f t="shared" si="18"/>
        <v>6872605.5211584968</v>
      </c>
      <c r="W343" s="301">
        <f t="shared" si="17"/>
        <v>24061464.742928259</v>
      </c>
      <c r="X343" s="301">
        <f t="shared" si="17"/>
        <v>337326095.94221133</v>
      </c>
      <c r="Y343" s="301">
        <f t="shared" si="17"/>
        <v>5156318842.6798992</v>
      </c>
      <c r="Z343" s="301">
        <f t="shared" si="17"/>
        <v>81675386658.00914</v>
      </c>
      <c r="AA343" s="301">
        <f t="shared" si="21"/>
        <v>8.2133015726277392E+16</v>
      </c>
      <c r="AB343" s="301">
        <f t="shared" si="19"/>
        <v>24061464.742928259</v>
      </c>
    </row>
    <row r="344" spans="18:28" x14ac:dyDescent="0.25">
      <c r="R344" s="254">
        <f t="shared" si="22"/>
        <v>313</v>
      </c>
      <c r="S344" s="254"/>
      <c r="T344" s="301">
        <f t="shared" si="18"/>
        <v>752812.23542367667</v>
      </c>
      <c r="U344" s="301">
        <f t="shared" si="18"/>
        <v>2152112.0482777087</v>
      </c>
      <c r="V344" s="301">
        <f t="shared" si="18"/>
        <v>6976694.6039758744</v>
      </c>
      <c r="W344" s="301">
        <f t="shared" si="17"/>
        <v>24543694.037786823</v>
      </c>
      <c r="X344" s="301">
        <f t="shared" si="17"/>
        <v>347446878.82047772</v>
      </c>
      <c r="Y344" s="301">
        <f t="shared" si="17"/>
        <v>5362572596.3870974</v>
      </c>
      <c r="Z344" s="301">
        <f t="shared" si="17"/>
        <v>85759156990.909607</v>
      </c>
      <c r="AA344" s="301">
        <f t="shared" si="21"/>
        <v>9.0346317298906144E+16</v>
      </c>
      <c r="AB344" s="301">
        <f t="shared" si="19"/>
        <v>24543694.037786823</v>
      </c>
    </row>
    <row r="345" spans="18:28" x14ac:dyDescent="0.25">
      <c r="R345" s="254">
        <f t="shared" si="22"/>
        <v>314</v>
      </c>
      <c r="S345" s="254"/>
      <c r="T345" s="301">
        <f t="shared" si="18"/>
        <v>757576.29660079489</v>
      </c>
      <c r="U345" s="301">
        <f t="shared" si="18"/>
        <v>2174633.168760485</v>
      </c>
      <c r="V345" s="301">
        <f t="shared" si="18"/>
        <v>7082345.0230355104</v>
      </c>
      <c r="W345" s="301">
        <f t="shared" si="17"/>
        <v>25035567.91854256</v>
      </c>
      <c r="X345" s="301">
        <f t="shared" si="17"/>
        <v>357871285.18509209</v>
      </c>
      <c r="Y345" s="301">
        <f t="shared" si="17"/>
        <v>5577076500.2425795</v>
      </c>
      <c r="Z345" s="301">
        <f t="shared" si="17"/>
        <v>90047115840.455093</v>
      </c>
      <c r="AA345" s="301">
        <f t="shared" si="21"/>
        <v>9.938094902879776E+16</v>
      </c>
      <c r="AB345" s="301">
        <f t="shared" si="19"/>
        <v>25035567.91854256</v>
      </c>
    </row>
    <row r="346" spans="18:28" x14ac:dyDescent="0.25">
      <c r="R346" s="254">
        <f t="shared" si="22"/>
        <v>315</v>
      </c>
      <c r="S346" s="254"/>
      <c r="T346" s="301">
        <f t="shared" si="18"/>
        <v>762364.17808379873</v>
      </c>
      <c r="U346" s="301">
        <f t="shared" si="18"/>
        <v>2197379.5004480896</v>
      </c>
      <c r="V346" s="301">
        <f t="shared" si="18"/>
        <v>7189580.198381043</v>
      </c>
      <c r="W346" s="301">
        <f t="shared" si="17"/>
        <v>25537279.276913412</v>
      </c>
      <c r="X346" s="301">
        <f t="shared" si="17"/>
        <v>368608423.74064481</v>
      </c>
      <c r="Y346" s="301">
        <f t="shared" si="17"/>
        <v>5800160560.2522831</v>
      </c>
      <c r="Z346" s="301">
        <f t="shared" si="17"/>
        <v>94549472632.477844</v>
      </c>
      <c r="AA346" s="301">
        <f t="shared" si="21"/>
        <v>1.0931904393167856E+17</v>
      </c>
      <c r="AB346" s="301">
        <f t="shared" si="19"/>
        <v>25537279.276913412</v>
      </c>
    </row>
    <row r="347" spans="18:28" x14ac:dyDescent="0.25">
      <c r="R347" s="254">
        <f t="shared" si="22"/>
        <v>316</v>
      </c>
      <c r="S347" s="254"/>
      <c r="T347" s="301">
        <f t="shared" si="18"/>
        <v>767175.99897421733</v>
      </c>
      <c r="U347" s="301">
        <f t="shared" si="18"/>
        <v>2220353.2954525705</v>
      </c>
      <c r="V347" s="301">
        <f t="shared" si="18"/>
        <v>7298423.9013567567</v>
      </c>
      <c r="W347" s="301">
        <f t="shared" si="17"/>
        <v>26049024.862451684</v>
      </c>
      <c r="X347" s="301">
        <f t="shared" si="17"/>
        <v>379667676.45286417</v>
      </c>
      <c r="Y347" s="301">
        <f t="shared" si="17"/>
        <v>6032167982.6623764</v>
      </c>
      <c r="Z347" s="301">
        <f t="shared" si="17"/>
        <v>99276947264.10173</v>
      </c>
      <c r="AA347" s="301">
        <f t="shared" si="21"/>
        <v>1.2025094832484742E+17</v>
      </c>
      <c r="AB347" s="301">
        <f t="shared" si="19"/>
        <v>26049024.862451684</v>
      </c>
    </row>
    <row r="348" spans="18:28" x14ac:dyDescent="0.25">
      <c r="R348" s="254">
        <f t="shared" si="22"/>
        <v>317</v>
      </c>
      <c r="S348" s="254"/>
      <c r="T348" s="301">
        <f t="shared" si="18"/>
        <v>772011.87896908843</v>
      </c>
      <c r="U348" s="301">
        <f t="shared" si="18"/>
        <v>2243556.8284070962</v>
      </c>
      <c r="V348" s="301">
        <f t="shared" si="18"/>
        <v>7408900.259877109</v>
      </c>
      <c r="W348" s="301">
        <f t="shared" si="17"/>
        <v>26571005.359700717</v>
      </c>
      <c r="X348" s="301">
        <f t="shared" si="17"/>
        <v>391058706.74645001</v>
      </c>
      <c r="Y348" s="301">
        <f t="shared" si="17"/>
        <v>6273455701.9688721</v>
      </c>
      <c r="Z348" s="301">
        <f t="shared" si="17"/>
        <v>104240795627.30685</v>
      </c>
      <c r="AA348" s="301">
        <f t="shared" si="21"/>
        <v>1.3227604315733317E+17</v>
      </c>
      <c r="AB348" s="301">
        <f t="shared" si="19"/>
        <v>26571005.359700717</v>
      </c>
    </row>
    <row r="349" spans="18:28" x14ac:dyDescent="0.25">
      <c r="R349" s="254">
        <f t="shared" si="22"/>
        <v>318</v>
      </c>
      <c r="S349" s="254"/>
      <c r="T349" s="301">
        <f t="shared" si="18"/>
        <v>776871.9383639337</v>
      </c>
      <c r="U349" s="301">
        <f t="shared" si="18"/>
        <v>2266992.3966911677</v>
      </c>
      <c r="V349" s="301">
        <f t="shared" si="18"/>
        <v>7521033.763775263</v>
      </c>
      <c r="W349" s="301">
        <f t="shared" si="17"/>
        <v>27103425.466894731</v>
      </c>
      <c r="X349" s="301">
        <f t="shared" si="17"/>
        <v>402791467.94884354</v>
      </c>
      <c r="Y349" s="301">
        <f t="shared" si="17"/>
        <v>6524394930.0476255</v>
      </c>
      <c r="Z349" s="301">
        <f t="shared" si="17"/>
        <v>109452836408.67213</v>
      </c>
      <c r="AA349" s="301">
        <f t="shared" si="21"/>
        <v>1.4550364747306749E+17</v>
      </c>
      <c r="AB349" s="301">
        <f t="shared" si="19"/>
        <v>27103425.466894731</v>
      </c>
    </row>
    <row r="350" spans="18:28" x14ac:dyDescent="0.25">
      <c r="R350" s="254">
        <f t="shared" si="22"/>
        <v>319</v>
      </c>
      <c r="S350" s="254"/>
      <c r="T350" s="301">
        <f t="shared" si="18"/>
        <v>781756.29805575334</v>
      </c>
      <c r="U350" s="301">
        <f t="shared" si="18"/>
        <v>2290662.3206580789</v>
      </c>
      <c r="V350" s="301">
        <f t="shared" si="18"/>
        <v>7634849.2702318905</v>
      </c>
      <c r="W350" s="301">
        <f t="shared" si="17"/>
        <v>27646493.976232618</v>
      </c>
      <c r="X350" s="301">
        <f t="shared" si="17"/>
        <v>414876211.98730892</v>
      </c>
      <c r="Y350" s="301">
        <f t="shared" si="17"/>
        <v>6785371727.2495289</v>
      </c>
      <c r="Z350" s="301">
        <f t="shared" si="17"/>
        <v>114925479229.1058</v>
      </c>
      <c r="AA350" s="301">
        <f t="shared" si="21"/>
        <v>1.6005401222037526E+17</v>
      </c>
      <c r="AB350" s="301">
        <f t="shared" si="19"/>
        <v>27646493.976232618</v>
      </c>
    </row>
    <row r="351" spans="18:28" x14ac:dyDescent="0.25">
      <c r="R351" s="254">
        <f t="shared" si="22"/>
        <v>320</v>
      </c>
      <c r="S351" s="254"/>
      <c r="T351" s="301">
        <f t="shared" si="18"/>
        <v>786665.07954603201</v>
      </c>
      <c r="U351" s="301">
        <f t="shared" si="18"/>
        <v>2314568.9438646599</v>
      </c>
      <c r="V351" s="301">
        <f t="shared" si="18"/>
        <v>7750372.009285368</v>
      </c>
      <c r="W351" s="301">
        <f t="shared" si="17"/>
        <v>28200423.855757274</v>
      </c>
      <c r="X351" s="301">
        <f t="shared" si="17"/>
        <v>427323498.34692812</v>
      </c>
      <c r="Y351" s="301">
        <f t="shared" si="17"/>
        <v>7056787596.3395128</v>
      </c>
      <c r="Z351" s="301">
        <f t="shared" si="17"/>
        <v>120671754190.56107</v>
      </c>
      <c r="AA351" s="301">
        <f t="shared" si="21"/>
        <v>1.7605941344241379E+17</v>
      </c>
      <c r="AB351" s="301">
        <f t="shared" si="19"/>
        <v>28200423.855757274</v>
      </c>
    </row>
    <row r="352" spans="18:28" x14ac:dyDescent="0.25">
      <c r="R352" s="254">
        <f t="shared" si="22"/>
        <v>321</v>
      </c>
      <c r="S352" s="254"/>
      <c r="T352" s="301">
        <f t="shared" si="18"/>
        <v>791598.404943762</v>
      </c>
      <c r="U352" s="301">
        <f t="shared" si="18"/>
        <v>2338714.633303307</v>
      </c>
      <c r="V352" s="301">
        <f t="shared" si="18"/>
        <v>7867627.5894246493</v>
      </c>
      <c r="W352" s="301">
        <f t="shared" si="18"/>
        <v>28765432.332872428</v>
      </c>
      <c r="X352" s="301">
        <f t="shared" si="18"/>
        <v>440144203.29733592</v>
      </c>
      <c r="Y352" s="301">
        <f t="shared" si="18"/>
        <v>7339060100.1930933</v>
      </c>
      <c r="Z352" s="301">
        <f t="shared" si="18"/>
        <v>126705342900.08914</v>
      </c>
      <c r="AA352" s="301">
        <f t="shared" si="21"/>
        <v>1.9366535478665616E+17</v>
      </c>
      <c r="AB352" s="301">
        <f t="shared" si="19"/>
        <v>28765432.332872428</v>
      </c>
    </row>
    <row r="353" spans="18:28" x14ac:dyDescent="0.25">
      <c r="R353" s="254">
        <f t="shared" si="22"/>
        <v>322</v>
      </c>
      <c r="S353" s="254"/>
      <c r="T353" s="301">
        <f t="shared" ref="T353:W416" si="23">$G$21*(((1+T$31)^($R353)-1)/(T$31))</f>
        <v>796556.39696848067</v>
      </c>
      <c r="U353" s="301">
        <f t="shared" si="23"/>
        <v>2363101.7796363398</v>
      </c>
      <c r="V353" s="301">
        <f t="shared" si="23"/>
        <v>7986642.003266017</v>
      </c>
      <c r="W353" s="301">
        <f t="shared" si="23"/>
        <v>29341740.979529865</v>
      </c>
      <c r="X353" s="301">
        <f t="shared" ref="X353:AB416" si="24">$G$21*(((1+X$31)^($R353)-1)/(X$31))</f>
        <v>453349529.39625597</v>
      </c>
      <c r="Y353" s="301">
        <f t="shared" si="24"/>
        <v>7632623504.2008181</v>
      </c>
      <c r="Z353" s="301">
        <f t="shared" si="24"/>
        <v>133040611045.09361</v>
      </c>
      <c r="AA353" s="301">
        <f t="shared" si="21"/>
        <v>2.1303189026532282E+17</v>
      </c>
      <c r="AB353" s="301">
        <f t="shared" si="21"/>
        <v>29341740.979529865</v>
      </c>
    </row>
    <row r="354" spans="18:28" x14ac:dyDescent="0.25">
      <c r="R354" s="254">
        <f t="shared" si="22"/>
        <v>323</v>
      </c>
      <c r="S354" s="254"/>
      <c r="T354" s="301">
        <f t="shared" si="23"/>
        <v>801539.17895332293</v>
      </c>
      <c r="U354" s="301">
        <f t="shared" si="23"/>
        <v>2387732.797432703</v>
      </c>
      <c r="V354" s="301">
        <f t="shared" si="23"/>
        <v>8107441.6333150063</v>
      </c>
      <c r="W354" s="301">
        <f t="shared" si="23"/>
        <v>29929575.799120471</v>
      </c>
      <c r="X354" s="301">
        <f t="shared" si="24"/>
        <v>466951015.2781437</v>
      </c>
      <c r="Y354" s="301">
        <f t="shared" si="24"/>
        <v>7937929444.3688498</v>
      </c>
      <c r="Z354" s="301">
        <f t="shared" si="24"/>
        <v>139692642597.3483</v>
      </c>
      <c r="AA354" s="301">
        <f t="shared" si="21"/>
        <v>2.3433507929185616E+17</v>
      </c>
      <c r="AB354" s="301">
        <f t="shared" si="21"/>
        <v>29929575.799120471</v>
      </c>
    </row>
    <row r="355" spans="18:28" x14ac:dyDescent="0.25">
      <c r="R355" s="254">
        <f t="shared" si="22"/>
        <v>324</v>
      </c>
      <c r="S355" s="254"/>
      <c r="T355" s="301">
        <f t="shared" si="23"/>
        <v>806546.8748480893</v>
      </c>
      <c r="U355" s="301">
        <f t="shared" si="23"/>
        <v>2412610.1254070303</v>
      </c>
      <c r="V355" s="301">
        <f t="shared" si="23"/>
        <v>8230053.2578147305</v>
      </c>
      <c r="W355" s="301">
        <f t="shared" si="23"/>
        <v>30529167.315102879</v>
      </c>
      <c r="X355" s="301">
        <f t="shared" si="24"/>
        <v>480960545.73648798</v>
      </c>
      <c r="Y355" s="301">
        <f t="shared" si="24"/>
        <v>8255447622.1436052</v>
      </c>
      <c r="Z355" s="301">
        <f t="shared" si="24"/>
        <v>146677275727.21567</v>
      </c>
      <c r="AA355" s="301">
        <f t="shared" si="24"/>
        <v>2.5776858722104272E+17</v>
      </c>
      <c r="AB355" s="301">
        <f t="shared" si="24"/>
        <v>30529167.315102879</v>
      </c>
    </row>
    <row r="356" spans="18:28" x14ac:dyDescent="0.25">
      <c r="R356" s="254">
        <f t="shared" si="22"/>
        <v>325</v>
      </c>
      <c r="S356" s="254"/>
      <c r="T356" s="301">
        <f t="shared" si="23"/>
        <v>811579.60922232945</v>
      </c>
      <c r="U356" s="301">
        <f t="shared" si="23"/>
        <v>2437736.2266611005</v>
      </c>
      <c r="V356" s="301">
        <f t="shared" si="23"/>
        <v>8354504.0566819496</v>
      </c>
      <c r="W356" s="301">
        <f t="shared" si="23"/>
        <v>31140750.661404934</v>
      </c>
      <c r="X356" s="301">
        <f t="shared" si="24"/>
        <v>495390362.10858256</v>
      </c>
      <c r="Y356" s="301">
        <f t="shared" si="24"/>
        <v>8585666527.0293484</v>
      </c>
      <c r="Z356" s="301">
        <f t="shared" si="24"/>
        <v>154011140513.57648</v>
      </c>
      <c r="AA356" s="301">
        <f t="shared" si="24"/>
        <v>2.83545445943148E+17</v>
      </c>
      <c r="AB356" s="301">
        <f t="shared" ref="AB356:AB419" si="25">$G$21*(((1+AB$31)^($R356)-1)/(AB$31))</f>
        <v>31140750.661404934</v>
      </c>
    </row>
    <row r="357" spans="18:28" x14ac:dyDescent="0.25">
      <c r="R357" s="254">
        <f t="shared" si="22"/>
        <v>326</v>
      </c>
      <c r="S357" s="254"/>
      <c r="T357" s="301">
        <f t="shared" si="23"/>
        <v>816637.50726844103</v>
      </c>
      <c r="U357" s="301">
        <f t="shared" si="23"/>
        <v>2463113.5889277118</v>
      </c>
      <c r="V357" s="301">
        <f t="shared" si="23"/>
        <v>8480821.6175321769</v>
      </c>
      <c r="W357" s="301">
        <f t="shared" si="23"/>
        <v>31764565.674633034</v>
      </c>
      <c r="X357" s="301">
        <f t="shared" si="24"/>
        <v>510253072.97184002</v>
      </c>
      <c r="Y357" s="301">
        <f t="shared" si="24"/>
        <v>8929094188.1105251</v>
      </c>
      <c r="Z357" s="301">
        <f t="shared" si="24"/>
        <v>161711698539.25528</v>
      </c>
      <c r="AA357" s="301">
        <f t="shared" si="24"/>
        <v>3.1189999053746387E+17</v>
      </c>
      <c r="AB357" s="301">
        <f t="shared" si="25"/>
        <v>31764565.674633034</v>
      </c>
    </row>
    <row r="358" spans="18:28" x14ac:dyDescent="0.25">
      <c r="R358" s="254">
        <f t="shared" si="22"/>
        <v>327</v>
      </c>
      <c r="S358" s="254"/>
      <c r="T358" s="301">
        <f t="shared" si="23"/>
        <v>821720.6948047831</v>
      </c>
      <c r="U358" s="301">
        <f t="shared" si="23"/>
        <v>2488744.7248169878</v>
      </c>
      <c r="V358" s="301">
        <f t="shared" si="23"/>
        <v>8609033.9417951591</v>
      </c>
      <c r="W358" s="301">
        <f t="shared" si="23"/>
        <v>32400856.988125697</v>
      </c>
      <c r="X358" s="301">
        <f t="shared" si="24"/>
        <v>525561665.1609953</v>
      </c>
      <c r="Y358" s="301">
        <f t="shared" si="24"/>
        <v>9286258955.6349449</v>
      </c>
      <c r="Z358" s="301">
        <f t="shared" si="24"/>
        <v>169797284466.21808</v>
      </c>
      <c r="AA358" s="301">
        <f t="shared" si="24"/>
        <v>3.4308998959121133E+17</v>
      </c>
      <c r="AB358" s="301">
        <f t="shared" si="25"/>
        <v>32400856.988125697</v>
      </c>
    </row>
    <row r="359" spans="18:28" x14ac:dyDescent="0.25">
      <c r="R359" s="254">
        <f t="shared" si="22"/>
        <v>328</v>
      </c>
      <c r="S359" s="254"/>
      <c r="T359" s="301">
        <f t="shared" si="23"/>
        <v>826829.29827880685</v>
      </c>
      <c r="U359" s="301">
        <f t="shared" si="23"/>
        <v>2514632.1720651588</v>
      </c>
      <c r="V359" s="301">
        <f t="shared" si="23"/>
        <v>8739169.450922085</v>
      </c>
      <c r="W359" s="301">
        <f t="shared" si="23"/>
        <v>33049874.127888206</v>
      </c>
      <c r="X359" s="301">
        <f t="shared" si="24"/>
        <v>541329515.11582506</v>
      </c>
      <c r="Y359" s="301">
        <f t="shared" si="24"/>
        <v>9657710313.860342</v>
      </c>
      <c r="Z359" s="301">
        <f t="shared" si="24"/>
        <v>178287149689.52896</v>
      </c>
      <c r="AA359" s="301">
        <f t="shared" si="24"/>
        <v>3.7739898855033344E+17</v>
      </c>
      <c r="AB359" s="301">
        <f t="shared" si="25"/>
        <v>33049874.127888206</v>
      </c>
    </row>
    <row r="360" spans="18:28" x14ac:dyDescent="0.25">
      <c r="R360" s="254">
        <f t="shared" si="22"/>
        <v>329</v>
      </c>
      <c r="S360" s="254"/>
      <c r="T360" s="301">
        <f t="shared" si="23"/>
        <v>831963.44477020088</v>
      </c>
      <c r="U360" s="301">
        <f t="shared" si="23"/>
        <v>2540778.4937858107</v>
      </c>
      <c r="V360" s="301">
        <f t="shared" si="23"/>
        <v>8871256.992685914</v>
      </c>
      <c r="W360" s="301">
        <f t="shared" si="23"/>
        <v>33711871.610445969</v>
      </c>
      <c r="X360" s="301">
        <f t="shared" si="24"/>
        <v>557570400.56929982</v>
      </c>
      <c r="Y360" s="301">
        <f t="shared" si="24"/>
        <v>10044019726.414757</v>
      </c>
      <c r="Z360" s="301">
        <f t="shared" si="24"/>
        <v>187201508174.0054</v>
      </c>
      <c r="AA360" s="301">
        <f t="shared" si="24"/>
        <v>4.1513888740536781E+17</v>
      </c>
      <c r="AB360" s="301">
        <f t="shared" si="25"/>
        <v>33711871.610445969</v>
      </c>
    </row>
    <row r="361" spans="18:28" x14ac:dyDescent="0.25">
      <c r="R361" s="254">
        <f t="shared" si="22"/>
        <v>330</v>
      </c>
      <c r="S361" s="254"/>
      <c r="T361" s="301">
        <f t="shared" si="23"/>
        <v>837123.26199405151</v>
      </c>
      <c r="U361" s="301">
        <f t="shared" si="23"/>
        <v>2567186.2787236688</v>
      </c>
      <c r="V361" s="301">
        <f t="shared" si="23"/>
        <v>9005325.8475762028</v>
      </c>
      <c r="W361" s="301">
        <f t="shared" si="23"/>
        <v>34387109.042654902</v>
      </c>
      <c r="X361" s="301">
        <f t="shared" si="24"/>
        <v>574298512.58637869</v>
      </c>
      <c r="Y361" s="301">
        <f t="shared" si="24"/>
        <v>10445781515.471348</v>
      </c>
      <c r="Z361" s="301">
        <f t="shared" si="24"/>
        <v>196561584582.70569</v>
      </c>
      <c r="AA361" s="301">
        <f t="shared" si="24"/>
        <v>4.566527761459056E+17</v>
      </c>
      <c r="AB361" s="301">
        <f t="shared" si="25"/>
        <v>34387109.042654902</v>
      </c>
    </row>
    <row r="362" spans="18:28" x14ac:dyDescent="0.25">
      <c r="R362" s="254">
        <f t="shared" si="22"/>
        <v>331</v>
      </c>
      <c r="S362" s="254"/>
      <c r="T362" s="301">
        <f t="shared" si="23"/>
        <v>842308.87830402178</v>
      </c>
      <c r="U362" s="301">
        <f t="shared" si="23"/>
        <v>2593858.1415109048</v>
      </c>
      <c r="V362" s="301">
        <f t="shared" si="23"/>
        <v>9141405.7352898456</v>
      </c>
      <c r="W362" s="301">
        <f t="shared" si="23"/>
        <v>35075851.223507985</v>
      </c>
      <c r="X362" s="301">
        <f t="shared" si="24"/>
        <v>591528467.9639703</v>
      </c>
      <c r="Y362" s="301">
        <f t="shared" si="24"/>
        <v>10863613776.0902</v>
      </c>
      <c r="Z362" s="301">
        <f t="shared" si="24"/>
        <v>206389664811.84097</v>
      </c>
      <c r="AA362" s="301">
        <f t="shared" si="24"/>
        <v>5.0231805376049722E+17</v>
      </c>
      <c r="AB362" s="301">
        <f t="shared" si="25"/>
        <v>35075851.223507985</v>
      </c>
    </row>
    <row r="363" spans="18:28" x14ac:dyDescent="0.25">
      <c r="R363" s="254">
        <f t="shared" si="22"/>
        <v>332</v>
      </c>
      <c r="S363" s="254"/>
      <c r="T363" s="301">
        <f t="shared" si="23"/>
        <v>847520.42269554164</v>
      </c>
      <c r="U363" s="301">
        <f t="shared" si="23"/>
        <v>2620796.7229260141</v>
      </c>
      <c r="V363" s="301">
        <f t="shared" si="23"/>
        <v>9279526.8213191908</v>
      </c>
      <c r="W363" s="301">
        <f t="shared" si="23"/>
        <v>35778368.247978151</v>
      </c>
      <c r="X363" s="301">
        <f t="shared" si="24"/>
        <v>609275322.00288928</v>
      </c>
      <c r="Y363" s="301">
        <f t="shared" si="24"/>
        <v>11298159327.13381</v>
      </c>
      <c r="Z363" s="301">
        <f t="shared" si="24"/>
        <v>216709149052.43298</v>
      </c>
      <c r="AA363" s="301">
        <f t="shared" si="24"/>
        <v>5.5254985913654797E+17</v>
      </c>
      <c r="AB363" s="301">
        <f t="shared" si="25"/>
        <v>35778368.247978151</v>
      </c>
    </row>
    <row r="364" spans="18:28" x14ac:dyDescent="0.25">
      <c r="R364" s="254">
        <f t="shared" si="22"/>
        <v>333</v>
      </c>
      <c r="S364" s="254"/>
      <c r="T364" s="301">
        <f t="shared" si="23"/>
        <v>852758.02480901917</v>
      </c>
      <c r="U364" s="301">
        <f t="shared" si="23"/>
        <v>2648004.6901552742</v>
      </c>
      <c r="V364" s="301">
        <f t="shared" si="23"/>
        <v>9419719.7236389779</v>
      </c>
      <c r="W364" s="301">
        <f t="shared" si="23"/>
        <v>36494935.612937711</v>
      </c>
      <c r="X364" s="301">
        <f t="shared" si="24"/>
        <v>627554581.66297591</v>
      </c>
      <c r="Y364" s="301">
        <f t="shared" si="24"/>
        <v>11750086700.219164</v>
      </c>
      <c r="Z364" s="301">
        <f t="shared" si="24"/>
        <v>227544607505.05472</v>
      </c>
      <c r="AA364" s="301">
        <f t="shared" si="24"/>
        <v>6.0780484505020378E+17</v>
      </c>
      <c r="AB364" s="301">
        <f t="shared" si="25"/>
        <v>36494935.612937711</v>
      </c>
    </row>
    <row r="365" spans="18:28" x14ac:dyDescent="0.25">
      <c r="R365" s="254">
        <f t="shared" si="22"/>
        <v>334</v>
      </c>
      <c r="S365" s="254"/>
      <c r="T365" s="301">
        <f t="shared" si="23"/>
        <v>858021.81493306404</v>
      </c>
      <c r="U365" s="301">
        <f t="shared" si="23"/>
        <v>2675484.7370568272</v>
      </c>
      <c r="V365" s="301">
        <f t="shared" si="23"/>
        <v>9562015.5194935612</v>
      </c>
      <c r="W365" s="301">
        <f t="shared" si="23"/>
        <v>37225834.325196467</v>
      </c>
      <c r="X365" s="301">
        <f t="shared" si="24"/>
        <v>646382219.11286533</v>
      </c>
      <c r="Y365" s="301">
        <f t="shared" si="24"/>
        <v>12220091168.227932</v>
      </c>
      <c r="Z365" s="301">
        <f t="shared" si="24"/>
        <v>238921838880.30737</v>
      </c>
      <c r="AA365" s="301">
        <f t="shared" si="24"/>
        <v>6.6858532955522522E+17</v>
      </c>
      <c r="AB365" s="301">
        <f t="shared" si="25"/>
        <v>37225834.325196467</v>
      </c>
    </row>
    <row r="366" spans="18:28" x14ac:dyDescent="0.25">
      <c r="R366" s="254">
        <f t="shared" si="22"/>
        <v>335</v>
      </c>
      <c r="S366" s="254"/>
      <c r="T366" s="301">
        <f t="shared" si="23"/>
        <v>863311.92400772916</v>
      </c>
      <c r="U366" s="301">
        <f t="shared" si="23"/>
        <v>2703239.5844273949</v>
      </c>
      <c r="V366" s="301">
        <f t="shared" si="23"/>
        <v>9706445.7522859629</v>
      </c>
      <c r="W366" s="301">
        <f t="shared" si="23"/>
        <v>37971351.011700384</v>
      </c>
      <c r="X366" s="301">
        <f t="shared" si="24"/>
        <v>665774685.6862514</v>
      </c>
      <c r="Y366" s="301">
        <f t="shared" si="24"/>
        <v>12708895814.957048</v>
      </c>
      <c r="Z366" s="301">
        <f t="shared" si="24"/>
        <v>250867931824.32281</v>
      </c>
      <c r="AA366" s="301">
        <f t="shared" si="24"/>
        <v>7.354438625107488E+17</v>
      </c>
      <c r="AB366" s="301">
        <f t="shared" si="25"/>
        <v>37971351.011700384</v>
      </c>
    </row>
    <row r="367" spans="18:28" x14ac:dyDescent="0.25">
      <c r="R367" s="254">
        <f t="shared" si="22"/>
        <v>336</v>
      </c>
      <c r="S367" s="254"/>
      <c r="T367" s="301">
        <f t="shared" si="23"/>
        <v>868628.48362776765</v>
      </c>
      <c r="U367" s="301">
        <f t="shared" si="23"/>
        <v>2731271.9802716696</v>
      </c>
      <c r="V367" s="301">
        <f t="shared" si="23"/>
        <v>9853042.4385702498</v>
      </c>
      <c r="W367" s="301">
        <f t="shared" si="23"/>
        <v>38731778.031934403</v>
      </c>
      <c r="X367" s="301">
        <f t="shared" si="24"/>
        <v>685748926.25683856</v>
      </c>
      <c r="Y367" s="301">
        <f t="shared" si="24"/>
        <v>13217252647.555334</v>
      </c>
      <c r="Z367" s="301">
        <f t="shared" si="24"/>
        <v>263411329415.53897</v>
      </c>
      <c r="AA367" s="301">
        <f t="shared" si="24"/>
        <v>8.0898824876182464E+17</v>
      </c>
      <c r="AB367" s="301">
        <f t="shared" si="25"/>
        <v>38731778.031934403</v>
      </c>
    </row>
    <row r="368" spans="18:28" x14ac:dyDescent="0.25">
      <c r="R368" s="254">
        <f t="shared" si="22"/>
        <v>337</v>
      </c>
      <c r="S368" s="254"/>
      <c r="T368" s="301">
        <f t="shared" si="23"/>
        <v>873971.62604590657</v>
      </c>
      <c r="U368" s="301">
        <f t="shared" si="23"/>
        <v>2759584.7000743863</v>
      </c>
      <c r="V368" s="301">
        <f t="shared" si="23"/>
        <v>10001838.075148804</v>
      </c>
      <c r="W368" s="301">
        <f t="shared" si="23"/>
        <v>39507413.592573091</v>
      </c>
      <c r="X368" s="301">
        <f t="shared" si="24"/>
        <v>706322394.04454398</v>
      </c>
      <c r="Y368" s="301">
        <f t="shared" si="24"/>
        <v>13745943753.457544</v>
      </c>
      <c r="Z368" s="301">
        <f t="shared" si="24"/>
        <v>276581896886.31592</v>
      </c>
      <c r="AA368" s="301">
        <f t="shared" si="24"/>
        <v>8.8988707363800806E+17</v>
      </c>
      <c r="AB368" s="301">
        <f t="shared" si="25"/>
        <v>39507413.592573091</v>
      </c>
    </row>
    <row r="369" spans="18:28" x14ac:dyDescent="0.25">
      <c r="R369" s="254">
        <f t="shared" si="22"/>
        <v>338</v>
      </c>
      <c r="S369" s="254"/>
      <c r="T369" s="301">
        <f t="shared" si="23"/>
        <v>879341.48417613574</v>
      </c>
      <c r="U369" s="301">
        <f t="shared" si="23"/>
        <v>2788180.547075131</v>
      </c>
      <c r="V369" s="301">
        <f t="shared" si="23"/>
        <v>10152865.646276034</v>
      </c>
      <c r="W369" s="301">
        <f t="shared" si="23"/>
        <v>40298561.864424549</v>
      </c>
      <c r="X369" s="301">
        <f t="shared" si="24"/>
        <v>727513065.86588025</v>
      </c>
      <c r="Y369" s="301">
        <f t="shared" si="24"/>
        <v>14295782503.59585</v>
      </c>
      <c r="Z369" s="301">
        <f t="shared" si="24"/>
        <v>290410992730.63171</v>
      </c>
      <c r="AA369" s="301">
        <f t="shared" si="24"/>
        <v>9.7887578100181005E+17</v>
      </c>
      <c r="AB369" s="301">
        <f t="shared" si="25"/>
        <v>40298561.864424549</v>
      </c>
    </row>
    <row r="370" spans="18:28" x14ac:dyDescent="0.25">
      <c r="R370" s="254">
        <f t="shared" si="22"/>
        <v>339</v>
      </c>
      <c r="S370" s="254"/>
      <c r="T370" s="301">
        <f t="shared" si="23"/>
        <v>884738.1915970163</v>
      </c>
      <c r="U370" s="301">
        <f t="shared" si="23"/>
        <v>2817062.3525458812</v>
      </c>
      <c r="V370" s="301">
        <f t="shared" si="23"/>
        <v>10306158.630970173</v>
      </c>
      <c r="W370" s="301">
        <f t="shared" si="23"/>
        <v>41105533.101713039</v>
      </c>
      <c r="X370" s="301">
        <f t="shared" si="24"/>
        <v>749339457.84185648</v>
      </c>
      <c r="Y370" s="301">
        <f t="shared" si="24"/>
        <v>14867614803.739679</v>
      </c>
      <c r="Z370" s="301">
        <f t="shared" si="24"/>
        <v>304931543367.16333</v>
      </c>
      <c r="AA370" s="301">
        <f t="shared" si="24"/>
        <v>1.0767633591019924E+18</v>
      </c>
      <c r="AB370" s="301">
        <f t="shared" si="25"/>
        <v>41105533.101713039</v>
      </c>
    </row>
    <row r="371" spans="18:28" x14ac:dyDescent="0.25">
      <c r="R371" s="254">
        <f t="shared" si="22"/>
        <v>340</v>
      </c>
      <c r="S371" s="254"/>
      <c r="T371" s="301">
        <f t="shared" si="23"/>
        <v>890161.8825550013</v>
      </c>
      <c r="U371" s="301">
        <f t="shared" si="23"/>
        <v>2846232.9760713405</v>
      </c>
      <c r="V371" s="301">
        <f t="shared" si="23"/>
        <v>10461751.010434724</v>
      </c>
      <c r="W371" s="301">
        <f t="shared" si="23"/>
        <v>41928643.763747297</v>
      </c>
      <c r="X371" s="301">
        <f t="shared" si="24"/>
        <v>771820641.5771122</v>
      </c>
      <c r="Y371" s="301">
        <f t="shared" si="24"/>
        <v>15462320395.889269</v>
      </c>
      <c r="Z371" s="301">
        <f t="shared" si="24"/>
        <v>320178121535.52142</v>
      </c>
      <c r="AA371" s="301">
        <f t="shared" si="24"/>
        <v>1.1844396950121925E+18</v>
      </c>
      <c r="AB371" s="301">
        <f t="shared" si="25"/>
        <v>41928643.763747297</v>
      </c>
    </row>
    <row r="372" spans="18:28" x14ac:dyDescent="0.25">
      <c r="R372" s="254">
        <f t="shared" si="22"/>
        <v>341</v>
      </c>
      <c r="S372" s="254"/>
      <c r="T372" s="301">
        <f t="shared" si="23"/>
        <v>895612.69196777605</v>
      </c>
      <c r="U372" s="301">
        <f t="shared" si="23"/>
        <v>2875695.3058320531</v>
      </c>
      <c r="V372" s="301">
        <f t="shared" si="23"/>
        <v>10619677.275591245</v>
      </c>
      <c r="W372" s="301">
        <f t="shared" si="23"/>
        <v>42768216.639022246</v>
      </c>
      <c r="X372" s="301">
        <f t="shared" si="24"/>
        <v>794976260.82442546</v>
      </c>
      <c r="Y372" s="301">
        <f t="shared" si="24"/>
        <v>16080814211.724844</v>
      </c>
      <c r="Z372" s="301">
        <f t="shared" si="24"/>
        <v>336187028612.29755</v>
      </c>
      <c r="AA372" s="301">
        <f t="shared" si="24"/>
        <v>1.3028836645134131E+18</v>
      </c>
      <c r="AB372" s="301">
        <f t="shared" si="25"/>
        <v>42768216.639022246</v>
      </c>
    </row>
    <row r="373" spans="18:28" x14ac:dyDescent="0.25">
      <c r="R373" s="254">
        <f t="shared" si="22"/>
        <v>342</v>
      </c>
      <c r="S373" s="254"/>
      <c r="T373" s="301">
        <f t="shared" si="23"/>
        <v>901090.75542761455</v>
      </c>
      <c r="U373" s="301">
        <f t="shared" si="23"/>
        <v>2905452.2588903746</v>
      </c>
      <c r="V373" s="301">
        <f t="shared" si="23"/>
        <v>10779972.434725109</v>
      </c>
      <c r="W373" s="301">
        <f t="shared" si="23"/>
        <v>43624580.971802697</v>
      </c>
      <c r="X373" s="301">
        <f t="shared" si="24"/>
        <v>818826548.64915824</v>
      </c>
      <c r="Y373" s="301">
        <f t="shared" si="24"/>
        <v>16724047780.19384</v>
      </c>
      <c r="Z373" s="301">
        <f t="shared" si="24"/>
        <v>352996381042.91235</v>
      </c>
      <c r="AA373" s="301">
        <f t="shared" si="24"/>
        <v>1.4331720309647552E+18</v>
      </c>
      <c r="AB373" s="301">
        <f t="shared" si="25"/>
        <v>43624580.971802697</v>
      </c>
    </row>
    <row r="374" spans="18:28" x14ac:dyDescent="0.25">
      <c r="R374" s="254">
        <f t="shared" si="22"/>
        <v>343</v>
      </c>
      <c r="S374" s="254"/>
      <c r="T374" s="301">
        <f t="shared" si="23"/>
        <v>906596.20920475258</v>
      </c>
      <c r="U374" s="301">
        <f t="shared" si="23"/>
        <v>2935506.7814792772</v>
      </c>
      <c r="V374" s="301">
        <f t="shared" si="23"/>
        <v>10942672.021245986</v>
      </c>
      <c r="W374" s="301">
        <f t="shared" si="23"/>
        <v>44498072.591238737</v>
      </c>
      <c r="X374" s="301">
        <f t="shared" si="24"/>
        <v>843392345.10863316</v>
      </c>
      <c r="Y374" s="301">
        <f t="shared" si="24"/>
        <v>17393010691.401588</v>
      </c>
      <c r="Z374" s="301">
        <f t="shared" si="24"/>
        <v>370646201095.05811</v>
      </c>
      <c r="AA374" s="301">
        <f t="shared" si="24"/>
        <v>1.5764892340612319E+18</v>
      </c>
      <c r="AB374" s="301">
        <f t="shared" si="25"/>
        <v>44498072.591238737</v>
      </c>
    </row>
    <row r="375" spans="18:28" x14ac:dyDescent="0.25">
      <c r="R375" s="254">
        <f>1+R374</f>
        <v>344</v>
      </c>
      <c r="S375" s="254"/>
      <c r="T375" s="301">
        <f t="shared" si="23"/>
        <v>912129.19025077636</v>
      </c>
      <c r="U375" s="301">
        <f t="shared" si="23"/>
        <v>2965861.8492940711</v>
      </c>
      <c r="V375" s="301">
        <f t="shared" si="23"/>
        <v>11107812.101564674</v>
      </c>
      <c r="W375" s="301">
        <f t="shared" si="23"/>
        <v>45389034.043063514</v>
      </c>
      <c r="X375" s="301">
        <f t="shared" si="24"/>
        <v>868695115.46189201</v>
      </c>
      <c r="Y375" s="301">
        <f t="shared" si="24"/>
        <v>18088732119.057652</v>
      </c>
      <c r="Z375" s="301">
        <f t="shared" si="24"/>
        <v>389178512149.81091</v>
      </c>
      <c r="AA375" s="301">
        <f t="shared" si="24"/>
        <v>1.7341381574673556E+18</v>
      </c>
      <c r="AB375" s="301">
        <f t="shared" si="25"/>
        <v>45389034.043063514</v>
      </c>
    </row>
    <row r="376" spans="18:28" x14ac:dyDescent="0.25">
      <c r="R376" s="254">
        <f t="shared" ref="R376:R439" si="26">1+R375</f>
        <v>345</v>
      </c>
      <c r="S376" s="254"/>
      <c r="T376" s="301">
        <f t="shared" si="23"/>
        <v>917689.83620203019</v>
      </c>
      <c r="U376" s="301">
        <f t="shared" si="23"/>
        <v>2996520.4677870125</v>
      </c>
      <c r="V376" s="301">
        <f t="shared" si="23"/>
        <v>11275429.283088144</v>
      </c>
      <c r="W376" s="301">
        <f t="shared" si="23"/>
        <v>46297814.723924793</v>
      </c>
      <c r="X376" s="301">
        <f t="shared" si="24"/>
        <v>894756968.92574871</v>
      </c>
      <c r="Y376" s="301">
        <f t="shared" si="24"/>
        <v>18812282403.819962</v>
      </c>
      <c r="Z376" s="301">
        <f t="shared" si="24"/>
        <v>408637438757.30145</v>
      </c>
      <c r="AA376" s="301">
        <f t="shared" si="24"/>
        <v>1.9075519732140931E+18</v>
      </c>
      <c r="AB376" s="301">
        <f t="shared" si="25"/>
        <v>46297814.723924793</v>
      </c>
    </row>
    <row r="377" spans="18:28" x14ac:dyDescent="0.25">
      <c r="R377" s="254">
        <f t="shared" si="26"/>
        <v>346</v>
      </c>
      <c r="S377" s="254"/>
      <c r="T377" s="301">
        <f t="shared" si="23"/>
        <v>923278.28538304009</v>
      </c>
      <c r="U377" s="301">
        <f t="shared" si="23"/>
        <v>3027485.6724648825</v>
      </c>
      <c r="V377" s="301">
        <f t="shared" si="23"/>
        <v>11445560.722334463</v>
      </c>
      <c r="W377" s="301">
        <f t="shared" si="23"/>
        <v>47224771.018403284</v>
      </c>
      <c r="X377" s="301">
        <f t="shared" si="24"/>
        <v>921600677.99352133</v>
      </c>
      <c r="Y377" s="301">
        <f t="shared" si="24"/>
        <v>19564774699.972759</v>
      </c>
      <c r="Z377" s="301">
        <f t="shared" si="24"/>
        <v>429069311695.16656</v>
      </c>
      <c r="AA377" s="301">
        <f t="shared" si="24"/>
        <v>2.0983071705355034E+18</v>
      </c>
      <c r="AB377" s="301">
        <f t="shared" si="25"/>
        <v>47224771.018403284</v>
      </c>
    </row>
    <row r="378" spans="18:28" x14ac:dyDescent="0.25">
      <c r="R378" s="254">
        <f t="shared" si="26"/>
        <v>347</v>
      </c>
      <c r="S378" s="254"/>
      <c r="T378" s="301">
        <f t="shared" si="23"/>
        <v>928894.67680995504</v>
      </c>
      <c r="U378" s="301">
        <f t="shared" si="23"/>
        <v>3058760.5291895303</v>
      </c>
      <c r="V378" s="301">
        <f t="shared" si="23"/>
        <v>11618244.13316948</v>
      </c>
      <c r="W378" s="301">
        <f t="shared" si="23"/>
        <v>48170266.438771345</v>
      </c>
      <c r="X378" s="301">
        <f t="shared" si="24"/>
        <v>949249698.33332682</v>
      </c>
      <c r="Y378" s="301">
        <f t="shared" si="24"/>
        <v>20347366687.971672</v>
      </c>
      <c r="Z378" s="301">
        <f t="shared" si="24"/>
        <v>450522778279.92499</v>
      </c>
      <c r="AA378" s="301">
        <f t="shared" si="24"/>
        <v>2.308137887589055E+18</v>
      </c>
      <c r="AB378" s="301">
        <f t="shared" si="25"/>
        <v>48170266.438771345</v>
      </c>
    </row>
    <row r="379" spans="18:28" x14ac:dyDescent="0.25">
      <c r="R379" s="254">
        <f t="shared" si="26"/>
        <v>348</v>
      </c>
      <c r="S379" s="254"/>
      <c r="T379" s="301">
        <f t="shared" si="23"/>
        <v>934539.15019400464</v>
      </c>
      <c r="U379" s="301">
        <f t="shared" si="23"/>
        <v>3090348.1344814254</v>
      </c>
      <c r="V379" s="301">
        <f t="shared" si="23"/>
        <v>11793517.795167018</v>
      </c>
      <c r="W379" s="301">
        <f t="shared" si="23"/>
        <v>49134671.767546788</v>
      </c>
      <c r="X379" s="301">
        <f t="shared" si="24"/>
        <v>977728189.28332663</v>
      </c>
      <c r="Y379" s="301">
        <f t="shared" si="24"/>
        <v>21161262355.490543</v>
      </c>
      <c r="Z379" s="301">
        <f t="shared" si="24"/>
        <v>473048918193.92114</v>
      </c>
      <c r="AA379" s="301">
        <f t="shared" si="24"/>
        <v>2.5389516763479613E+18</v>
      </c>
      <c r="AB379" s="301">
        <f t="shared" si="25"/>
        <v>49134671.767546788</v>
      </c>
    </row>
    <row r="380" spans="18:28" x14ac:dyDescent="0.25">
      <c r="R380" s="254">
        <f t="shared" si="26"/>
        <v>349</v>
      </c>
      <c r="S380" s="254"/>
      <c r="T380" s="301">
        <f t="shared" si="23"/>
        <v>940211.84594497457</v>
      </c>
      <c r="U380" s="301">
        <f t="shared" si="23"/>
        <v>3122251.6158262403</v>
      </c>
      <c r="V380" s="301">
        <f t="shared" si="23"/>
        <v>11971420.562094523</v>
      </c>
      <c r="W380" s="301">
        <f t="shared" si="23"/>
        <v>50118365.202897705</v>
      </c>
      <c r="X380" s="301">
        <f t="shared" si="24"/>
        <v>1007061034.9618264</v>
      </c>
      <c r="Y380" s="301">
        <f t="shared" si="24"/>
        <v>22007713849.710167</v>
      </c>
      <c r="Z380" s="301">
        <f t="shared" si="24"/>
        <v>496701365103.61731</v>
      </c>
      <c r="AA380" s="301">
        <f t="shared" si="24"/>
        <v>2.7928468439827584E+18</v>
      </c>
      <c r="AB380" s="301">
        <f t="shared" si="25"/>
        <v>50118365.202897705</v>
      </c>
    </row>
    <row r="381" spans="18:28" x14ac:dyDescent="0.25">
      <c r="R381" s="254">
        <f t="shared" si="26"/>
        <v>350</v>
      </c>
      <c r="S381" s="254"/>
      <c r="T381" s="301">
        <f t="shared" si="23"/>
        <v>945912.90517469915</v>
      </c>
      <c r="U381" s="301">
        <f t="shared" si="23"/>
        <v>3154474.1319845039</v>
      </c>
      <c r="V381" s="301">
        <f t="shared" si="23"/>
        <v>12151991.870525938</v>
      </c>
      <c r="W381" s="301">
        <f t="shared" si="23"/>
        <v>51121732.506955668</v>
      </c>
      <c r="X381" s="301">
        <f t="shared" si="24"/>
        <v>1037273866.0106813</v>
      </c>
      <c r="Y381" s="301">
        <f t="shared" si="24"/>
        <v>22888023403.69857</v>
      </c>
      <c r="Z381" s="301">
        <f t="shared" si="24"/>
        <v>521536434358.79797</v>
      </c>
      <c r="AA381" s="301">
        <f t="shared" si="24"/>
        <v>3.072131528381036E+18</v>
      </c>
      <c r="AB381" s="301">
        <f t="shared" si="25"/>
        <v>51121732.506955668</v>
      </c>
    </row>
    <row r="382" spans="18:28" x14ac:dyDescent="0.25">
      <c r="R382" s="254">
        <f t="shared" si="26"/>
        <v>351</v>
      </c>
      <c r="S382" s="254"/>
      <c r="T382" s="301">
        <f t="shared" si="23"/>
        <v>951642.46970057231</v>
      </c>
      <c r="U382" s="301">
        <f t="shared" si="23"/>
        <v>3187018.873304348</v>
      </c>
      <c r="V382" s="301">
        <f t="shared" si="23"/>
        <v>12335271.748583825</v>
      </c>
      <c r="W382" s="301">
        <f t="shared" si="23"/>
        <v>52145167.157094769</v>
      </c>
      <c r="X382" s="301">
        <f t="shared" si="24"/>
        <v>1068393081.9910017</v>
      </c>
      <c r="Y382" s="301">
        <f t="shared" si="24"/>
        <v>23803545339.846512</v>
      </c>
      <c r="Z382" s="301">
        <f t="shared" si="24"/>
        <v>547613257076.7381</v>
      </c>
      <c r="AA382" s="301">
        <f t="shared" si="24"/>
        <v>3.3793446812191411E+18</v>
      </c>
      <c r="AB382" s="301">
        <f t="shared" si="25"/>
        <v>52145167.157094769</v>
      </c>
    </row>
    <row r="383" spans="18:28" x14ac:dyDescent="0.25">
      <c r="R383" s="254">
        <f t="shared" si="26"/>
        <v>352</v>
      </c>
      <c r="S383" s="254"/>
      <c r="T383" s="301">
        <f t="shared" si="23"/>
        <v>957400.68204907514</v>
      </c>
      <c r="U383" s="301">
        <f t="shared" si="23"/>
        <v>3219889.0620373911</v>
      </c>
      <c r="V383" s="301">
        <f t="shared" si="23"/>
        <v>12521300.82481258</v>
      </c>
      <c r="W383" s="301">
        <f t="shared" si="23"/>
        <v>53189070.500236675</v>
      </c>
      <c r="X383" s="301">
        <f t="shared" si="24"/>
        <v>1100445874.4507318</v>
      </c>
      <c r="Y383" s="301">
        <f t="shared" si="24"/>
        <v>24755688153.440376</v>
      </c>
      <c r="Z383" s="301">
        <f t="shared" si="24"/>
        <v>574993920930.57495</v>
      </c>
      <c r="AA383" s="301">
        <f t="shared" si="24"/>
        <v>3.717279149341056E+18</v>
      </c>
      <c r="AB383" s="301">
        <f t="shared" si="25"/>
        <v>53189070.500236675</v>
      </c>
    </row>
    <row r="384" spans="18:28" x14ac:dyDescent="0.25">
      <c r="R384" s="254">
        <f t="shared" si="26"/>
        <v>353</v>
      </c>
      <c r="S384" s="254"/>
      <c r="T384" s="301">
        <f t="shared" si="23"/>
        <v>963187.68545932032</v>
      </c>
      <c r="U384" s="301">
        <f t="shared" si="23"/>
        <v>3253087.9526577657</v>
      </c>
      <c r="V384" s="301">
        <f t="shared" si="23"/>
        <v>12710120.337184768</v>
      </c>
      <c r="W384" s="301">
        <f t="shared" si="23"/>
        <v>54253851.91024141</v>
      </c>
      <c r="X384" s="301">
        <f t="shared" si="24"/>
        <v>1133460250.6842537</v>
      </c>
      <c r="Y384" s="301">
        <f t="shared" si="24"/>
        <v>25745916679.577991</v>
      </c>
      <c r="Z384" s="301">
        <f t="shared" si="24"/>
        <v>603743617977.10376</v>
      </c>
      <c r="AA384" s="301">
        <f t="shared" si="24"/>
        <v>4.0890070642751631E+18</v>
      </c>
      <c r="AB384" s="301">
        <f t="shared" si="25"/>
        <v>54253851.91024141</v>
      </c>
    </row>
    <row r="385" spans="18:28" x14ac:dyDescent="0.25">
      <c r="R385" s="254">
        <f t="shared" si="26"/>
        <v>354</v>
      </c>
      <c r="S385" s="254"/>
      <c r="T385" s="301">
        <f t="shared" si="23"/>
        <v>969003.6238866169</v>
      </c>
      <c r="U385" s="301">
        <f t="shared" si="23"/>
        <v>3286618.8321843427</v>
      </c>
      <c r="V385" s="301">
        <f t="shared" si="23"/>
        <v>12901772.142242538</v>
      </c>
      <c r="W385" s="301">
        <f t="shared" si="23"/>
        <v>55339928.948446229</v>
      </c>
      <c r="X385" s="301">
        <f t="shared" si="24"/>
        <v>1167465058.2047811</v>
      </c>
      <c r="Y385" s="301">
        <f t="shared" si="24"/>
        <v>26775754346.761112</v>
      </c>
      <c r="Z385" s="301">
        <f t="shared" si="24"/>
        <v>633930799875.95886</v>
      </c>
      <c r="AA385" s="301">
        <f t="shared" si="24"/>
        <v>4.4979077707026806E+18</v>
      </c>
      <c r="AB385" s="301">
        <f t="shared" si="25"/>
        <v>55339928.948446229</v>
      </c>
    </row>
    <row r="386" spans="18:28" x14ac:dyDescent="0.25">
      <c r="R386" s="254">
        <f t="shared" si="26"/>
        <v>355</v>
      </c>
      <c r="S386" s="254"/>
      <c r="T386" s="301">
        <f t="shared" si="23"/>
        <v>974848.64200604975</v>
      </c>
      <c r="U386" s="301">
        <f t="shared" si="23"/>
        <v>3320485.0205061859</v>
      </c>
      <c r="V386" s="301">
        <f t="shared" si="23"/>
        <v>13096298.724376176</v>
      </c>
      <c r="W386" s="301">
        <f t="shared" si="23"/>
        <v>56447727.527415171</v>
      </c>
      <c r="X386" s="301">
        <f t="shared" si="24"/>
        <v>1202490009.9509249</v>
      </c>
      <c r="Y386" s="301">
        <f t="shared" si="24"/>
        <v>27846785520.631557</v>
      </c>
      <c r="Z386" s="301">
        <f t="shared" si="24"/>
        <v>665627340869.75696</v>
      </c>
      <c r="AA386" s="301">
        <f t="shared" si="24"/>
        <v>4.9476985477729495E+18</v>
      </c>
      <c r="AB386" s="301">
        <f t="shared" si="25"/>
        <v>56447727.527415171</v>
      </c>
    </row>
    <row r="387" spans="18:28" x14ac:dyDescent="0.25">
      <c r="R387" s="254">
        <f t="shared" si="26"/>
        <v>356</v>
      </c>
      <c r="S387" s="254"/>
      <c r="T387" s="301">
        <f t="shared" si="23"/>
        <v>980722.88521607965</v>
      </c>
      <c r="U387" s="301">
        <f t="shared" si="23"/>
        <v>3354689.8707112484</v>
      </c>
      <c r="V387" s="301">
        <f t="shared" si="23"/>
        <v>13293743.205241816</v>
      </c>
      <c r="W387" s="301">
        <f t="shared" si="23"/>
        <v>57577682.077963457</v>
      </c>
      <c r="X387" s="301">
        <f t="shared" si="24"/>
        <v>1238565710.2494526</v>
      </c>
      <c r="Y387" s="301">
        <f t="shared" si="24"/>
        <v>28960657941.456821</v>
      </c>
      <c r="Z387" s="301">
        <f t="shared" si="24"/>
        <v>698908708913.24463</v>
      </c>
      <c r="AA387" s="301">
        <f t="shared" si="24"/>
        <v>5.4424684025502474E+18</v>
      </c>
      <c r="AB387" s="301">
        <f t="shared" si="25"/>
        <v>57577682.077963457</v>
      </c>
    </row>
    <row r="388" spans="18:28" x14ac:dyDescent="0.25">
      <c r="R388" s="254">
        <f t="shared" si="26"/>
        <v>357</v>
      </c>
      <c r="S388" s="254"/>
      <c r="T388" s="301">
        <f t="shared" si="23"/>
        <v>986626.49964215979</v>
      </c>
      <c r="U388" s="301">
        <f t="shared" si="23"/>
        <v>3389236.7694183602</v>
      </c>
      <c r="V388" s="301">
        <f t="shared" si="23"/>
        <v>13494149.35332044</v>
      </c>
      <c r="W388" s="301">
        <f t="shared" si="23"/>
        <v>58730235.719522737</v>
      </c>
      <c r="X388" s="301">
        <f t="shared" si="24"/>
        <v>1275723681.5569355</v>
      </c>
      <c r="Y388" s="301">
        <f t="shared" si="24"/>
        <v>30119085259.115101</v>
      </c>
      <c r="Z388" s="301">
        <f t="shared" si="24"/>
        <v>733854145358.90698</v>
      </c>
      <c r="AA388" s="301">
        <f t="shared" si="24"/>
        <v>5.9867152428052716E+18</v>
      </c>
      <c r="AB388" s="301">
        <f t="shared" si="25"/>
        <v>58730235.719522737</v>
      </c>
    </row>
    <row r="389" spans="18:28" x14ac:dyDescent="0.25">
      <c r="R389" s="254">
        <f t="shared" si="26"/>
        <v>358</v>
      </c>
      <c r="S389" s="254"/>
      <c r="T389" s="301">
        <f t="shared" si="23"/>
        <v>992559.63214037055</v>
      </c>
      <c r="U389" s="301">
        <f t="shared" si="23"/>
        <v>3424129.1371125448</v>
      </c>
      <c r="V389" s="301">
        <f t="shared" si="23"/>
        <v>13697561.593620244</v>
      </c>
      <c r="W389" s="301">
        <f t="shared" si="23"/>
        <v>59905840.433913186</v>
      </c>
      <c r="X389" s="301">
        <f t="shared" si="24"/>
        <v>1313996392.0036438</v>
      </c>
      <c r="Y389" s="301">
        <f t="shared" si="24"/>
        <v>31323849669.479702</v>
      </c>
      <c r="Z389" s="301">
        <f t="shared" si="24"/>
        <v>770546853626.85217</v>
      </c>
      <c r="AA389" s="301">
        <f t="shared" si="24"/>
        <v>6.5853867670858015E+18</v>
      </c>
      <c r="AB389" s="301">
        <f t="shared" si="25"/>
        <v>59905840.433913186</v>
      </c>
    </row>
    <row r="390" spans="18:28" x14ac:dyDescent="0.25">
      <c r="R390" s="254">
        <f t="shared" si="26"/>
        <v>359</v>
      </c>
      <c r="S390" s="254"/>
      <c r="T390" s="301">
        <f t="shared" si="23"/>
        <v>998522.43030107231</v>
      </c>
      <c r="U390" s="301">
        <f t="shared" si="23"/>
        <v>3459370.4284836692</v>
      </c>
      <c r="V390" s="301">
        <f t="shared" si="23"/>
        <v>13904025.017524548</v>
      </c>
      <c r="W390" s="301">
        <f t="shared" si="23"/>
        <v>61104957.242591433</v>
      </c>
      <c r="X390" s="301">
        <f t="shared" si="24"/>
        <v>1353417283.7637532</v>
      </c>
      <c r="Y390" s="301">
        <f t="shared" si="24"/>
        <v>32576804656.258888</v>
      </c>
      <c r="Z390" s="301">
        <f t="shared" si="24"/>
        <v>809074197308.19482</v>
      </c>
      <c r="AA390" s="301">
        <f t="shared" si="24"/>
        <v>7.2439254437943828E+18</v>
      </c>
      <c r="AB390" s="301">
        <f t="shared" si="25"/>
        <v>61104957.242591433</v>
      </c>
    </row>
    <row r="391" spans="18:28" x14ac:dyDescent="0.25">
      <c r="R391" s="254">
        <f t="shared" si="26"/>
        <v>360</v>
      </c>
      <c r="S391" s="254"/>
      <c r="T391" s="301">
        <f t="shared" si="23"/>
        <v>1004515.0424525775</v>
      </c>
      <c r="U391" s="301">
        <f t="shared" si="23"/>
        <v>3494964.1327685062</v>
      </c>
      <c r="V391" s="301">
        <f t="shared" si="23"/>
        <v>14113585.392787414</v>
      </c>
      <c r="W391" s="301">
        <f t="shared" si="23"/>
        <v>62328056.387443289</v>
      </c>
      <c r="X391" s="301">
        <f t="shared" si="24"/>
        <v>1394020802.2766659</v>
      </c>
      <c r="Y391" s="301">
        <f t="shared" si="24"/>
        <v>33879877842.509254</v>
      </c>
      <c r="Z391" s="301">
        <f t="shared" si="24"/>
        <v>849527908173.60461</v>
      </c>
      <c r="AA391" s="301">
        <f t="shared" si="24"/>
        <v>7.968317988173822E+18</v>
      </c>
      <c r="AB391" s="301">
        <f t="shared" si="25"/>
        <v>62328056.387443289</v>
      </c>
    </row>
    <row r="392" spans="18:28" x14ac:dyDescent="0.25">
      <c r="R392" s="254">
        <f t="shared" si="26"/>
        <v>361</v>
      </c>
      <c r="S392" s="254"/>
      <c r="T392" s="301">
        <f t="shared" si="23"/>
        <v>1010537.6176648402</v>
      </c>
      <c r="U392" s="301">
        <f t="shared" si="23"/>
        <v>3530913.7740961923</v>
      </c>
      <c r="V392" s="301">
        <f t="shared" si="23"/>
        <v>14326289.173679223</v>
      </c>
      <c r="W392" s="301">
        <f t="shared" si="23"/>
        <v>63575617.515192151</v>
      </c>
      <c r="X392" s="301">
        <f t="shared" si="24"/>
        <v>1435842426.3449659</v>
      </c>
      <c r="Y392" s="301">
        <f t="shared" si="24"/>
        <v>35235073956.209618</v>
      </c>
      <c r="Z392" s="301">
        <f t="shared" si="24"/>
        <v>892004304582.28479</v>
      </c>
      <c r="AA392" s="301">
        <f t="shared" si="24"/>
        <v>8.7651497869912064E+18</v>
      </c>
      <c r="AB392" s="301">
        <f t="shared" si="25"/>
        <v>63575617.515192151</v>
      </c>
    </row>
    <row r="393" spans="18:28" x14ac:dyDescent="0.25">
      <c r="R393" s="254">
        <f t="shared" si="26"/>
        <v>362</v>
      </c>
      <c r="S393" s="254"/>
      <c r="T393" s="301">
        <f t="shared" si="23"/>
        <v>1016590.3057531642</v>
      </c>
      <c r="U393" s="301">
        <f t="shared" si="23"/>
        <v>3567222.9118371545</v>
      </c>
      <c r="V393" s="301">
        <f t="shared" si="23"/>
        <v>14542183.511284411</v>
      </c>
      <c r="W393" s="301">
        <f t="shared" si="23"/>
        <v>64848129.865495987</v>
      </c>
      <c r="X393" s="301">
        <f t="shared" si="24"/>
        <v>1478918699.1353149</v>
      </c>
      <c r="Y393" s="301">
        <f t="shared" si="24"/>
        <v>36644477914.458008</v>
      </c>
      <c r="Z393" s="301">
        <f t="shared" si="24"/>
        <v>936604520811.39917</v>
      </c>
      <c r="AA393" s="301">
        <f t="shared" si="24"/>
        <v>9.641664765690327E+18</v>
      </c>
      <c r="AB393" s="301">
        <f t="shared" si="25"/>
        <v>64848129.865495987</v>
      </c>
    </row>
    <row r="394" spans="18:28" x14ac:dyDescent="0.25">
      <c r="R394" s="254">
        <f t="shared" si="26"/>
        <v>363</v>
      </c>
      <c r="S394" s="254"/>
      <c r="T394" s="301">
        <f t="shared" si="23"/>
        <v>1022673.25728193</v>
      </c>
      <c r="U394" s="301">
        <f t="shared" si="23"/>
        <v>3603895.1409555255</v>
      </c>
      <c r="V394" s="301">
        <f t="shared" si="23"/>
        <v>14761316.263953673</v>
      </c>
      <c r="W394" s="301">
        <f t="shared" si="23"/>
        <v>66146092.462805897</v>
      </c>
      <c r="X394" s="301">
        <f t="shared" si="24"/>
        <v>1523287260.1093743</v>
      </c>
      <c r="Y394" s="301">
        <f t="shared" si="24"/>
        <v>38110258031.036324</v>
      </c>
      <c r="Z394" s="301">
        <f t="shared" si="24"/>
        <v>983434747851.96924</v>
      </c>
      <c r="AA394" s="301">
        <f t="shared" si="24"/>
        <v>1.0605831242259364E+19</v>
      </c>
      <c r="AB394" s="301">
        <f t="shared" si="25"/>
        <v>66146092.462805897</v>
      </c>
    </row>
    <row r="395" spans="18:28" x14ac:dyDescent="0.25">
      <c r="R395" s="254">
        <f t="shared" si="26"/>
        <v>364</v>
      </c>
      <c r="S395" s="254"/>
      <c r="T395" s="301">
        <f t="shared" si="23"/>
        <v>1028786.6235683392</v>
      </c>
      <c r="U395" s="301">
        <f t="shared" si="23"/>
        <v>3640934.0923650805</v>
      </c>
      <c r="V395" s="301">
        <f t="shared" si="23"/>
        <v>14983736.007912975</v>
      </c>
      <c r="W395" s="301">
        <f t="shared" si="23"/>
        <v>67470014.312062025</v>
      </c>
      <c r="X395" s="301">
        <f t="shared" si="24"/>
        <v>1568986877.9126554</v>
      </c>
      <c r="Y395" s="301">
        <f t="shared" si="24"/>
        <v>39634669352.277786</v>
      </c>
      <c r="Z395" s="301">
        <f t="shared" si="24"/>
        <v>1032606486244.5674</v>
      </c>
      <c r="AA395" s="301">
        <f t="shared" si="24"/>
        <v>1.1666414366485301E+19</v>
      </c>
      <c r="AB395" s="301">
        <f t="shared" si="25"/>
        <v>67470014.312062025</v>
      </c>
    </row>
    <row r="396" spans="18:28" x14ac:dyDescent="0.25">
      <c r="R396" s="254">
        <f t="shared" si="26"/>
        <v>365</v>
      </c>
      <c r="S396" s="254"/>
      <c r="T396" s="301">
        <f t="shared" si="23"/>
        <v>1034930.5566861805</v>
      </c>
      <c r="U396" s="301">
        <f t="shared" si="23"/>
        <v>3678343.4332887316</v>
      </c>
      <c r="V396" s="301">
        <f t="shared" si="23"/>
        <v>15209492.048031669</v>
      </c>
      <c r="W396" s="301">
        <f t="shared" si="23"/>
        <v>68820414.598303258</v>
      </c>
      <c r="X396" s="301">
        <f t="shared" si="24"/>
        <v>1616057484.2500348</v>
      </c>
      <c r="Y396" s="301">
        <f t="shared" si="24"/>
        <v>41220057126.368896</v>
      </c>
      <c r="Z396" s="301">
        <f t="shared" si="24"/>
        <v>1084236811556.796</v>
      </c>
      <c r="AA396" s="301">
        <f t="shared" si="24"/>
        <v>1.2833055803133833E+19</v>
      </c>
      <c r="AB396" s="301">
        <f t="shared" si="25"/>
        <v>68820414.598303258</v>
      </c>
    </row>
    <row r="397" spans="18:28" x14ac:dyDescent="0.25">
      <c r="R397" s="254">
        <f t="shared" si="26"/>
        <v>366</v>
      </c>
      <c r="S397" s="254"/>
      <c r="T397" s="301">
        <f t="shared" si="23"/>
        <v>1041105.2094696115</v>
      </c>
      <c r="U397" s="301">
        <f t="shared" si="23"/>
        <v>3716126.8676216197</v>
      </c>
      <c r="V397" s="301">
        <f t="shared" si="23"/>
        <v>15438634.428752141</v>
      </c>
      <c r="W397" s="301">
        <f t="shared" si="23"/>
        <v>70197822.890269339</v>
      </c>
      <c r="X397" s="301">
        <f t="shared" si="24"/>
        <v>1664540208.7775359</v>
      </c>
      <c r="Y397" s="301">
        <f t="shared" si="24"/>
        <v>42868860411.42366</v>
      </c>
      <c r="Z397" s="301">
        <f t="shared" si="24"/>
        <v>1138448653134.6357</v>
      </c>
      <c r="AA397" s="301">
        <f t="shared" si="24"/>
        <v>1.4116361383447222E+19</v>
      </c>
      <c r="AB397" s="301">
        <f t="shared" si="25"/>
        <v>70197822.890269339</v>
      </c>
    </row>
    <row r="398" spans="18:28" x14ac:dyDescent="0.25">
      <c r="R398" s="254">
        <f t="shared" si="26"/>
        <v>367</v>
      </c>
      <c r="S398" s="254"/>
      <c r="T398" s="301">
        <f t="shared" si="23"/>
        <v>1047310.7355169591</v>
      </c>
      <c r="U398" s="301">
        <f t="shared" si="23"/>
        <v>3754288.1362978341</v>
      </c>
      <c r="V398" s="301">
        <f t="shared" si="23"/>
        <v>15671213.945183422</v>
      </c>
      <c r="W398" s="301">
        <f t="shared" si="23"/>
        <v>71602779.34807469</v>
      </c>
      <c r="X398" s="301">
        <f t="shared" si="24"/>
        <v>1714477415.0408623</v>
      </c>
      <c r="Y398" s="301">
        <f t="shared" si="24"/>
        <v>44583615827.8806</v>
      </c>
      <c r="Z398" s="301">
        <f t="shared" si="24"/>
        <v>1195371086791.3677</v>
      </c>
      <c r="AA398" s="301">
        <f t="shared" si="24"/>
        <v>1.5527997521791945E+19</v>
      </c>
      <c r="AB398" s="301">
        <f t="shared" si="25"/>
        <v>71602779.34807469</v>
      </c>
    </row>
    <row r="399" spans="18:28" x14ac:dyDescent="0.25">
      <c r="R399" s="254">
        <f t="shared" si="26"/>
        <v>368</v>
      </c>
      <c r="S399" s="254"/>
      <c r="T399" s="301">
        <f t="shared" si="23"/>
        <v>1053547.2891945441</v>
      </c>
      <c r="U399" s="301">
        <f t="shared" si="23"/>
        <v>3792831.0176608134</v>
      </c>
      <c r="V399" s="301">
        <f t="shared" si="23"/>
        <v>15907282.15436117</v>
      </c>
      <c r="W399" s="301">
        <f t="shared" si="23"/>
        <v>73035834.935036212</v>
      </c>
      <c r="X399" s="301">
        <f t="shared" si="24"/>
        <v>1765912737.4920881</v>
      </c>
      <c r="Y399" s="301">
        <f t="shared" si="24"/>
        <v>46366961460.995834</v>
      </c>
      <c r="Z399" s="301">
        <f t="shared" si="24"/>
        <v>1255139642130.936</v>
      </c>
      <c r="AA399" s="301">
        <f t="shared" si="24"/>
        <v>1.7080797273971141E+19</v>
      </c>
      <c r="AB399" s="301">
        <f t="shared" si="25"/>
        <v>73035834.935036212</v>
      </c>
    </row>
    <row r="400" spans="18:28" x14ac:dyDescent="0.25">
      <c r="R400" s="254">
        <f t="shared" si="26"/>
        <v>369</v>
      </c>
      <c r="S400" s="254"/>
      <c r="T400" s="301">
        <f t="shared" si="23"/>
        <v>1059815.0256405168</v>
      </c>
      <c r="U400" s="301">
        <f t="shared" si="23"/>
        <v>3831759.3278374225</v>
      </c>
      <c r="V400" s="301">
        <f t="shared" si="23"/>
        <v>16146891.386676583</v>
      </c>
      <c r="W400" s="301">
        <f t="shared" si="23"/>
        <v>74497551.633736938</v>
      </c>
      <c r="X400" s="301">
        <f t="shared" si="24"/>
        <v>1818891119.6168504</v>
      </c>
      <c r="Y400" s="301">
        <f t="shared" si="24"/>
        <v>48221640919.435661</v>
      </c>
      <c r="Z400" s="301">
        <f t="shared" si="24"/>
        <v>1317896625237.4829</v>
      </c>
      <c r="AA400" s="301">
        <f t="shared" si="24"/>
        <v>1.8788877001368257E+19</v>
      </c>
      <c r="AB400" s="301">
        <f t="shared" si="25"/>
        <v>74497551.633736938</v>
      </c>
    </row>
    <row r="401" spans="18:28" x14ac:dyDescent="0.25">
      <c r="R401" s="254">
        <f t="shared" si="26"/>
        <v>370</v>
      </c>
      <c r="S401" s="254"/>
      <c r="T401" s="301">
        <f t="shared" si="23"/>
        <v>1066114.1007687186</v>
      </c>
      <c r="U401" s="301">
        <f t="shared" si="23"/>
        <v>3871076.9211157965</v>
      </c>
      <c r="V401" s="301">
        <f t="shared" si="23"/>
        <v>16390094.757476734</v>
      </c>
      <c r="W401" s="301">
        <f t="shared" si="23"/>
        <v>75988502.666411668</v>
      </c>
      <c r="X401" s="301">
        <f t="shared" si="24"/>
        <v>1873458853.2053559</v>
      </c>
      <c r="Y401" s="301">
        <f t="shared" si="24"/>
        <v>50150507556.213104</v>
      </c>
      <c r="Z401" s="301">
        <f t="shared" si="24"/>
        <v>1383791457499.3574</v>
      </c>
      <c r="AA401" s="301">
        <f t="shared" si="24"/>
        <v>2.0667764701505085E+19</v>
      </c>
      <c r="AB401" s="301">
        <f t="shared" si="25"/>
        <v>75988502.666411668</v>
      </c>
    </row>
    <row r="402" spans="18:28" x14ac:dyDescent="0.25">
      <c r="R402" s="254">
        <f t="shared" si="26"/>
        <v>371</v>
      </c>
      <c r="S402" s="254"/>
      <c r="T402" s="301">
        <f t="shared" si="23"/>
        <v>1072444.6712725624</v>
      </c>
      <c r="U402" s="301">
        <f t="shared" si="23"/>
        <v>3910787.6903269538</v>
      </c>
      <c r="V402" s="301">
        <f t="shared" si="23"/>
        <v>16636946.178838883</v>
      </c>
      <c r="W402" s="301">
        <f t="shared" si="23"/>
        <v>77509272.719739899</v>
      </c>
      <c r="X402" s="301">
        <f t="shared" si="24"/>
        <v>1929663618.8015165</v>
      </c>
      <c r="Y402" s="301">
        <f t="shared" si="24"/>
        <v>52156528858.461617</v>
      </c>
      <c r="Z402" s="301">
        <f t="shared" si="24"/>
        <v>1452981031374.325</v>
      </c>
      <c r="AA402" s="301">
        <f t="shared" si="24"/>
        <v>2.2734541171655594E+19</v>
      </c>
      <c r="AB402" s="301">
        <f t="shared" si="25"/>
        <v>77509272.719739899</v>
      </c>
    </row>
    <row r="403" spans="18:28" x14ac:dyDescent="0.25">
      <c r="R403" s="254">
        <f t="shared" si="26"/>
        <v>372</v>
      </c>
      <c r="S403" s="254"/>
      <c r="T403" s="301">
        <f t="shared" si="23"/>
        <v>1078806.8946289248</v>
      </c>
      <c r="U403" s="301">
        <f t="shared" si="23"/>
        <v>3950895.5672302237</v>
      </c>
      <c r="V403" s="301">
        <f t="shared" si="23"/>
        <v>16887500.371521462</v>
      </c>
      <c r="W403" s="301">
        <f t="shared" si="23"/>
        <v>79060458.174134701</v>
      </c>
      <c r="X403" s="301">
        <f t="shared" si="24"/>
        <v>1987554527.365562</v>
      </c>
      <c r="Y403" s="301">
        <f t="shared" si="24"/>
        <v>54242791012.800087</v>
      </c>
      <c r="Z403" s="301">
        <f t="shared" si="24"/>
        <v>1525630083943.0415</v>
      </c>
      <c r="AA403" s="301">
        <f t="shared" si="24"/>
        <v>2.5007995288821162E+19</v>
      </c>
      <c r="AB403" s="301">
        <f t="shared" si="25"/>
        <v>79060458.174134701</v>
      </c>
    </row>
    <row r="404" spans="18:28" x14ac:dyDescent="0.25">
      <c r="R404" s="254">
        <f t="shared" si="26"/>
        <v>373</v>
      </c>
      <c r="S404" s="254"/>
      <c r="T404" s="301">
        <f t="shared" si="23"/>
        <v>1085200.9291020692</v>
      </c>
      <c r="U404" s="301">
        <f t="shared" si="23"/>
        <v>3991404.5229025255</v>
      </c>
      <c r="V404" s="301">
        <f t="shared" si="23"/>
        <v>17141812.87709428</v>
      </c>
      <c r="W404" s="301">
        <f t="shared" si="23"/>
        <v>80642667.337617382</v>
      </c>
      <c r="X404" s="301">
        <f t="shared" si="24"/>
        <v>2047182163.1865284</v>
      </c>
      <c r="Y404" s="301">
        <f t="shared" si="24"/>
        <v>56412503653.312103</v>
      </c>
      <c r="Z404" s="301">
        <f t="shared" si="24"/>
        <v>1601911589140.1929</v>
      </c>
      <c r="AA404" s="301">
        <f t="shared" si="24"/>
        <v>2.7508794817703272E+19</v>
      </c>
      <c r="AB404" s="301">
        <f t="shared" si="25"/>
        <v>80642667.337617382</v>
      </c>
    </row>
    <row r="405" spans="18:28" x14ac:dyDescent="0.25">
      <c r="R405" s="254">
        <f t="shared" si="26"/>
        <v>374</v>
      </c>
      <c r="S405" s="254"/>
      <c r="T405" s="301">
        <f t="shared" si="23"/>
        <v>1091626.9337475791</v>
      </c>
      <c r="U405" s="301">
        <f t="shared" si="23"/>
        <v>4032318.5681315521</v>
      </c>
      <c r="V405" s="301">
        <f t="shared" si="23"/>
        <v>17399940.07025069</v>
      </c>
      <c r="W405" s="301">
        <f t="shared" si="23"/>
        <v>82256520.684369758</v>
      </c>
      <c r="X405" s="301">
        <f t="shared" si="24"/>
        <v>2108598628.0821249</v>
      </c>
      <c r="Y405" s="301">
        <f t="shared" si="24"/>
        <v>58669004799.444588</v>
      </c>
      <c r="Z405" s="301">
        <f t="shared" si="24"/>
        <v>1682007169597.2029</v>
      </c>
      <c r="AA405" s="301">
        <f t="shared" si="24"/>
        <v>3.0259674299473609E+19</v>
      </c>
      <c r="AB405" s="301">
        <f t="shared" si="25"/>
        <v>82256520.684369758</v>
      </c>
    </row>
    <row r="406" spans="18:28" x14ac:dyDescent="0.25">
      <c r="R406" s="254">
        <f t="shared" si="26"/>
        <v>375</v>
      </c>
      <c r="S406" s="254"/>
      <c r="T406" s="301">
        <f t="shared" si="23"/>
        <v>1098085.0684163172</v>
      </c>
      <c r="U406" s="301">
        <f t="shared" si="23"/>
        <v>4073641.7538128663</v>
      </c>
      <c r="V406" s="301">
        <f t="shared" si="23"/>
        <v>17661939.171304453</v>
      </c>
      <c r="W406" s="301">
        <f t="shared" si="23"/>
        <v>83902651.098057121</v>
      </c>
      <c r="X406" s="301">
        <f t="shared" si="24"/>
        <v>2171857586.9245882</v>
      </c>
      <c r="Y406" s="301">
        <f t="shared" si="24"/>
        <v>61015765991.422356</v>
      </c>
      <c r="Z406" s="301">
        <f t="shared" si="24"/>
        <v>1766107529077.063</v>
      </c>
      <c r="AA406" s="301">
        <f t="shared" si="24"/>
        <v>3.3285641729420972E+19</v>
      </c>
      <c r="AB406" s="301">
        <f t="shared" si="25"/>
        <v>83902651.098057121</v>
      </c>
    </row>
    <row r="407" spans="18:28" x14ac:dyDescent="0.25">
      <c r="R407" s="254">
        <f t="shared" si="26"/>
        <v>376</v>
      </c>
      <c r="S407" s="254"/>
      <c r="T407" s="301">
        <f t="shared" si="23"/>
        <v>1104575.4937583988</v>
      </c>
      <c r="U407" s="301">
        <f t="shared" si="23"/>
        <v>4115378.1713509951</v>
      </c>
      <c r="V407" s="301">
        <f t="shared" si="23"/>
        <v>17927868.258874014</v>
      </c>
      <c r="W407" s="301">
        <f t="shared" si="23"/>
        <v>85581704.120018274</v>
      </c>
      <c r="X407" s="301">
        <f t="shared" si="24"/>
        <v>2237014314.5323257</v>
      </c>
      <c r="Y407" s="301">
        <f t="shared" si="24"/>
        <v>63456397631.079254</v>
      </c>
      <c r="Z407" s="301">
        <f t="shared" si="24"/>
        <v>1854412906530.9163</v>
      </c>
      <c r="AA407" s="301">
        <f t="shared" si="24"/>
        <v>3.6614205902363062E+19</v>
      </c>
      <c r="AB407" s="301">
        <f t="shared" si="25"/>
        <v>85581704.120018274</v>
      </c>
    </row>
    <row r="408" spans="18:28" x14ac:dyDescent="0.25">
      <c r="R408" s="254">
        <f t="shared" si="26"/>
        <v>377</v>
      </c>
      <c r="S408" s="254"/>
      <c r="T408" s="301">
        <f t="shared" si="23"/>
        <v>1111098.3712271904</v>
      </c>
      <c r="U408" s="301">
        <f t="shared" si="23"/>
        <v>4157531.9530645055</v>
      </c>
      <c r="V408" s="301">
        <f t="shared" si="23"/>
        <v>18197786.282757126</v>
      </c>
      <c r="W408" s="301">
        <f t="shared" si="23"/>
        <v>87294338.20241864</v>
      </c>
      <c r="X408" s="301">
        <f t="shared" si="24"/>
        <v>2304125743.9682961</v>
      </c>
      <c r="Y408" s="301">
        <f t="shared" si="24"/>
        <v>65994654536.322456</v>
      </c>
      <c r="Z408" s="301">
        <f t="shared" si="24"/>
        <v>1947133552857.4622</v>
      </c>
      <c r="AA408" s="301">
        <f t="shared" si="24"/>
        <v>4.0275626492599386E+19</v>
      </c>
      <c r="AB408" s="301">
        <f t="shared" si="25"/>
        <v>87294338.20241864</v>
      </c>
    </row>
    <row r="409" spans="18:28" x14ac:dyDescent="0.25">
      <c r="R409" s="254">
        <f t="shared" si="26"/>
        <v>378</v>
      </c>
      <c r="S409" s="254"/>
      <c r="T409" s="301">
        <f t="shared" si="23"/>
        <v>1117653.8630833263</v>
      </c>
      <c r="U409" s="301">
        <f t="shared" si="23"/>
        <v>4200107.2725951504</v>
      </c>
      <c r="V409" s="301">
        <f t="shared" si="23"/>
        <v>18471753.076998472</v>
      </c>
      <c r="W409" s="301">
        <f t="shared" si="23"/>
        <v>89041224.966467023</v>
      </c>
      <c r="X409" s="301">
        <f t="shared" si="24"/>
        <v>2373250516.2873445</v>
      </c>
      <c r="Y409" s="301">
        <f t="shared" si="24"/>
        <v>68634441717.77533</v>
      </c>
      <c r="Z409" s="301">
        <f t="shared" si="24"/>
        <v>2044490231500.3354</v>
      </c>
      <c r="AA409" s="301">
        <f t="shared" si="24"/>
        <v>4.430318914185932E+19</v>
      </c>
      <c r="AB409" s="301">
        <f t="shared" si="25"/>
        <v>89041224.966467023</v>
      </c>
    </row>
    <row r="410" spans="18:28" x14ac:dyDescent="0.25">
      <c r="R410" s="254">
        <f t="shared" si="26"/>
        <v>379</v>
      </c>
      <c r="S410" s="254"/>
      <c r="T410" s="301">
        <f t="shared" si="23"/>
        <v>1124242.1323987425</v>
      </c>
      <c r="U410" s="301">
        <f t="shared" si="23"/>
        <v>4243108.3453211011</v>
      </c>
      <c r="V410" s="301">
        <f t="shared" si="23"/>
        <v>18749829.373153452</v>
      </c>
      <c r="W410" s="301">
        <f t="shared" si="23"/>
        <v>90823049.465796337</v>
      </c>
      <c r="X410" s="301">
        <f t="shared" si="24"/>
        <v>2444449031.7759652</v>
      </c>
      <c r="Y410" s="301">
        <f t="shared" si="24"/>
        <v>71379820386.486359</v>
      </c>
      <c r="Z410" s="301">
        <f t="shared" si="24"/>
        <v>2146714744075.3525</v>
      </c>
      <c r="AA410" s="301">
        <f t="shared" si="24"/>
        <v>4.8733508056045265E+19</v>
      </c>
      <c r="AB410" s="301">
        <f t="shared" si="25"/>
        <v>90823049.465796337</v>
      </c>
    </row>
    <row r="411" spans="18:28" x14ac:dyDescent="0.25">
      <c r="R411" s="254">
        <f t="shared" si="26"/>
        <v>380</v>
      </c>
      <c r="S411" s="254"/>
      <c r="T411" s="301">
        <f t="shared" si="23"/>
        <v>1130863.3430607361</v>
      </c>
      <c r="U411" s="301">
        <f t="shared" si="23"/>
        <v>4286539.4287743131</v>
      </c>
      <c r="V411" s="301">
        <f t="shared" si="23"/>
        <v>19032076.813750748</v>
      </c>
      <c r="W411" s="301">
        <f t="shared" si="23"/>
        <v>92640510.455112293</v>
      </c>
      <c r="X411" s="301">
        <f t="shared" si="24"/>
        <v>2517783502.7292442</v>
      </c>
      <c r="Y411" s="301">
        <f t="shared" si="24"/>
        <v>74235014201.945831</v>
      </c>
      <c r="Z411" s="301">
        <f t="shared" si="24"/>
        <v>2254050482279.1196</v>
      </c>
      <c r="AA411" s="301">
        <f t="shared" si="24"/>
        <v>5.3606858861649773E+19</v>
      </c>
      <c r="AB411" s="301">
        <f t="shared" si="25"/>
        <v>92640510.455112293</v>
      </c>
    </row>
    <row r="412" spans="18:28" x14ac:dyDescent="0.25">
      <c r="R412" s="254">
        <f t="shared" si="26"/>
        <v>381</v>
      </c>
      <c r="S412" s="254"/>
      <c r="T412" s="301">
        <f t="shared" si="23"/>
        <v>1137517.6597760397</v>
      </c>
      <c r="U412" s="301">
        <f t="shared" si="23"/>
        <v>4330404.8230620567</v>
      </c>
      <c r="V412" s="301">
        <f t="shared" si="23"/>
        <v>19318557.965957012</v>
      </c>
      <c r="W412" s="301">
        <f t="shared" si="23"/>
        <v>94494320.664214537</v>
      </c>
      <c r="X412" s="301">
        <f t="shared" si="24"/>
        <v>2593318007.811121</v>
      </c>
      <c r="Y412" s="301">
        <f t="shared" si="24"/>
        <v>77204415770.023666</v>
      </c>
      <c r="Z412" s="301">
        <f t="shared" si="24"/>
        <v>2366753007393.0762</v>
      </c>
      <c r="AA412" s="301">
        <f t="shared" si="24"/>
        <v>5.8967544747814773E+19</v>
      </c>
      <c r="AB412" s="301">
        <f t="shared" si="25"/>
        <v>94494320.664214537</v>
      </c>
    </row>
    <row r="413" spans="18:28" x14ac:dyDescent="0.25">
      <c r="R413" s="254">
        <f t="shared" si="26"/>
        <v>382</v>
      </c>
      <c r="S413" s="254"/>
      <c r="T413" s="301">
        <f t="shared" si="23"/>
        <v>1144205.2480749197</v>
      </c>
      <c r="U413" s="301">
        <f t="shared" si="23"/>
        <v>4374708.8712926768</v>
      </c>
      <c r="V413" s="301">
        <f t="shared" si="23"/>
        <v>19609336.335446358</v>
      </c>
      <c r="W413" s="301">
        <f t="shared" si="23"/>
        <v>96385207.077498823</v>
      </c>
      <c r="X413" s="301">
        <f t="shared" si="24"/>
        <v>2671118548.045454</v>
      </c>
      <c r="Y413" s="301">
        <f t="shared" si="24"/>
        <v>80292593400.824585</v>
      </c>
      <c r="Z413" s="301">
        <f t="shared" si="24"/>
        <v>2485090658762.7285</v>
      </c>
      <c r="AA413" s="301">
        <f t="shared" si="24"/>
        <v>6.4864299222596264E+19</v>
      </c>
      <c r="AB413" s="301">
        <f t="shared" si="25"/>
        <v>96385207.077498823</v>
      </c>
    </row>
    <row r="414" spans="18:28" x14ac:dyDescent="0.25">
      <c r="R414" s="254">
        <f t="shared" si="26"/>
        <v>383</v>
      </c>
      <c r="S414" s="254"/>
      <c r="T414" s="301">
        <f t="shared" si="23"/>
        <v>1150926.2743152939</v>
      </c>
      <c r="U414" s="301">
        <f t="shared" si="23"/>
        <v>4419455.9600056028</v>
      </c>
      <c r="V414" s="301">
        <f t="shared" si="23"/>
        <v>19904476.380478051</v>
      </c>
      <c r="W414" s="301">
        <f t="shared" si="23"/>
        <v>98313911.219048783</v>
      </c>
      <c r="X414" s="301">
        <f t="shared" si="24"/>
        <v>2751253104.4868183</v>
      </c>
      <c r="Y414" s="301">
        <f t="shared" si="24"/>
        <v>83504298136.857574</v>
      </c>
      <c r="Z414" s="301">
        <f t="shared" si="24"/>
        <v>2609345192700.8662</v>
      </c>
      <c r="AA414" s="301">
        <f t="shared" si="24"/>
        <v>7.1350729144855888E+19</v>
      </c>
      <c r="AB414" s="301">
        <f t="shared" si="25"/>
        <v>98313911.219048783</v>
      </c>
    </row>
    <row r="415" spans="18:28" x14ac:dyDescent="0.25">
      <c r="R415" s="254">
        <f t="shared" si="26"/>
        <v>384</v>
      </c>
      <c r="S415" s="254"/>
      <c r="T415" s="301">
        <f t="shared" si="23"/>
        <v>1157680.9056868702</v>
      </c>
      <c r="U415" s="301">
        <f t="shared" si="23"/>
        <v>4464650.5196056599</v>
      </c>
      <c r="V415" s="301">
        <f t="shared" si="23"/>
        <v>20204043.526185222</v>
      </c>
      <c r="W415" s="301">
        <f t="shared" si="23"/>
        <v>100281189.44342977</v>
      </c>
      <c r="X415" s="301">
        <f t="shared" si="24"/>
        <v>2833791697.6214223</v>
      </c>
      <c r="Y415" s="301">
        <f t="shared" si="24"/>
        <v>86844471062.331894</v>
      </c>
      <c r="Z415" s="301">
        <f t="shared" si="24"/>
        <v>2739812453335.9097</v>
      </c>
      <c r="AA415" s="301">
        <f t="shared" si="24"/>
        <v>7.848580205934148E+19</v>
      </c>
      <c r="AB415" s="301">
        <f t="shared" si="25"/>
        <v>100281189.44342977</v>
      </c>
    </row>
    <row r="416" spans="18:28" x14ac:dyDescent="0.25">
      <c r="R416" s="254">
        <f t="shared" si="26"/>
        <v>385</v>
      </c>
      <c r="S416" s="254"/>
      <c r="T416" s="301">
        <f t="shared" si="23"/>
        <v>1164469.3102153044</v>
      </c>
      <c r="U416" s="301">
        <f t="shared" si="23"/>
        <v>4510297.0248017162</v>
      </c>
      <c r="V416" s="301">
        <f t="shared" si="23"/>
        <v>20508104.179078002</v>
      </c>
      <c r="W416" s="301">
        <f t="shared" ref="W416:AA479" si="27">$G$21*(((1+W$31)^($R416)-1)/(W$31))</f>
        <v>102287813.23229836</v>
      </c>
      <c r="X416" s="301">
        <f t="shared" si="24"/>
        <v>2918806448.550065</v>
      </c>
      <c r="Y416" s="301">
        <f t="shared" si="24"/>
        <v>90318250904.82518</v>
      </c>
      <c r="Z416" s="301">
        <f t="shared" si="24"/>
        <v>2876803077002.7051</v>
      </c>
      <c r="AA416" s="301">
        <f t="shared" si="24"/>
        <v>8.633438226527563E+19</v>
      </c>
      <c r="AB416" s="301">
        <f t="shared" si="25"/>
        <v>102287813.23229836</v>
      </c>
    </row>
    <row r="417" spans="18:28" x14ac:dyDescent="0.25">
      <c r="R417" s="254">
        <f t="shared" si="26"/>
        <v>386</v>
      </c>
      <c r="S417" s="254"/>
      <c r="T417" s="301">
        <f t="shared" ref="T417:Z480" si="28">$G$21*(((1+T$31)^($R417)-1)/(T$31))</f>
        <v>1171291.6567663809</v>
      </c>
      <c r="U417" s="301">
        <f t="shared" si="28"/>
        <v>4556399.9950497337</v>
      </c>
      <c r="V417" s="301">
        <f t="shared" si="28"/>
        <v>20816725.741764162</v>
      </c>
      <c r="W417" s="301">
        <f t="shared" si="27"/>
        <v>104334569.49694434</v>
      </c>
      <c r="X417" s="301">
        <f t="shared" si="27"/>
        <v>3006371642.0065665</v>
      </c>
      <c r="Y417" s="301">
        <f t="shared" si="27"/>
        <v>93930981941.018188</v>
      </c>
      <c r="Z417" s="301">
        <f t="shared" si="27"/>
        <v>3020643231852.8398</v>
      </c>
      <c r="AA417" s="301">
        <f t="shared" si="27"/>
        <v>9.4967820491803197E+19</v>
      </c>
      <c r="AB417" s="301">
        <f t="shared" si="25"/>
        <v>104334569.49694434</v>
      </c>
    </row>
    <row r="418" spans="18:28" x14ac:dyDescent="0.25">
      <c r="R418" s="254">
        <f t="shared" si="26"/>
        <v>387</v>
      </c>
      <c r="S418" s="254"/>
      <c r="T418" s="301">
        <f t="shared" si="28"/>
        <v>1178148.1150502125</v>
      </c>
      <c r="U418" s="301">
        <f t="shared" si="28"/>
        <v>4602963.9950002301</v>
      </c>
      <c r="V418" s="301">
        <f t="shared" si="28"/>
        <v>21129976.627890628</v>
      </c>
      <c r="W418" s="301">
        <f t="shared" si="27"/>
        <v>106422260.88688321</v>
      </c>
      <c r="X418" s="301">
        <f t="shared" si="27"/>
        <v>3096563791.2667646</v>
      </c>
      <c r="Y418" s="301">
        <f t="shared" si="27"/>
        <v>97688222218.65892</v>
      </c>
      <c r="Z418" s="301">
        <f t="shared" si="27"/>
        <v>3171675394445.4824</v>
      </c>
      <c r="AA418" s="301">
        <f t="shared" si="27"/>
        <v>1.0446460254098355E+20</v>
      </c>
      <c r="AB418" s="301">
        <f t="shared" si="25"/>
        <v>106422260.88688321</v>
      </c>
    </row>
    <row r="419" spans="18:28" x14ac:dyDescent="0.25">
      <c r="R419" s="254">
        <f t="shared" si="26"/>
        <v>388</v>
      </c>
      <c r="S419" s="254"/>
      <c r="T419" s="301">
        <f t="shared" si="28"/>
        <v>1185038.8556254632</v>
      </c>
      <c r="U419" s="301">
        <f t="shared" si="28"/>
        <v>4649993.6349502336</v>
      </c>
      <c r="V419" s="301">
        <f t="shared" si="28"/>
        <v>21447926.277308982</v>
      </c>
      <c r="W419" s="301">
        <f t="shared" si="27"/>
        <v>108551706.1046209</v>
      </c>
      <c r="X419" s="301">
        <f t="shared" si="27"/>
        <v>3189461705.0047665</v>
      </c>
      <c r="Y419" s="301">
        <f t="shared" si="27"/>
        <v>101595752107.40527</v>
      </c>
      <c r="Z419" s="301">
        <f t="shared" si="27"/>
        <v>3330259165167.7563</v>
      </c>
      <c r="AA419" s="301">
        <f t="shared" ref="AA419:AB482" si="29">$G$21*(((1+AA$31)^($R419)-1)/(AA$31))</f>
        <v>1.1491106279508188E+20</v>
      </c>
      <c r="AB419" s="301">
        <f t="shared" si="25"/>
        <v>108551706.1046209</v>
      </c>
    </row>
    <row r="420" spans="18:28" x14ac:dyDescent="0.25">
      <c r="R420" s="254">
        <f t="shared" si="26"/>
        <v>389</v>
      </c>
      <c r="S420" s="254"/>
      <c r="T420" s="301">
        <f t="shared" si="28"/>
        <v>1191964.0499035905</v>
      </c>
      <c r="U420" s="301">
        <f t="shared" si="28"/>
        <v>4697493.5712997345</v>
      </c>
      <c r="V420" s="301">
        <f t="shared" si="28"/>
        <v>21770645.171468612</v>
      </c>
      <c r="W420" s="301">
        <f t="shared" si="27"/>
        <v>110723740.22671331</v>
      </c>
      <c r="X420" s="301">
        <f t="shared" si="27"/>
        <v>3285146556.1549096</v>
      </c>
      <c r="Y420" s="301">
        <f t="shared" si="27"/>
        <v>105659583191.70152</v>
      </c>
      <c r="Z420" s="301">
        <f t="shared" si="27"/>
        <v>3496772124426.1445</v>
      </c>
      <c r="AA420" s="301">
        <f t="shared" si="29"/>
        <v>1.2640216907459011E+20</v>
      </c>
      <c r="AB420" s="301">
        <f t="shared" si="29"/>
        <v>110723740.22671331</v>
      </c>
    </row>
    <row r="421" spans="18:28" x14ac:dyDescent="0.25">
      <c r="R421" s="254">
        <f t="shared" si="26"/>
        <v>390</v>
      </c>
      <c r="S421" s="254"/>
      <c r="T421" s="301">
        <f t="shared" si="28"/>
        <v>1198923.8701531081</v>
      </c>
      <c r="U421" s="301">
        <f t="shared" si="28"/>
        <v>4745468.5070127333</v>
      </c>
      <c r="V421" s="301">
        <f t="shared" si="28"/>
        <v>22098204.849040639</v>
      </c>
      <c r="W421" s="301">
        <f t="shared" si="27"/>
        <v>112939215.03124757</v>
      </c>
      <c r="X421" s="301">
        <f t="shared" si="27"/>
        <v>3383701952.8395572</v>
      </c>
      <c r="Y421" s="301">
        <f t="shared" si="27"/>
        <v>109885967519.36957</v>
      </c>
      <c r="Z421" s="301">
        <f t="shared" si="27"/>
        <v>3671610731647.4512</v>
      </c>
      <c r="AA421" s="301">
        <f t="shared" si="29"/>
        <v>1.3904238598204912E+20</v>
      </c>
      <c r="AB421" s="301">
        <f t="shared" si="29"/>
        <v>112939215.03124757</v>
      </c>
    </row>
    <row r="422" spans="18:28" x14ac:dyDescent="0.25">
      <c r="R422" s="254">
        <f t="shared" si="26"/>
        <v>391</v>
      </c>
      <c r="S422" s="254"/>
      <c r="T422" s="301">
        <f t="shared" si="28"/>
        <v>1205918.4895038733</v>
      </c>
      <c r="U422" s="301">
        <f t="shared" si="28"/>
        <v>4793923.1920828596</v>
      </c>
      <c r="V422" s="301">
        <f t="shared" si="28"/>
        <v>22430677.921776246</v>
      </c>
      <c r="W422" s="301">
        <f t="shared" si="27"/>
        <v>115198999.33187251</v>
      </c>
      <c r="X422" s="301">
        <f t="shared" si="27"/>
        <v>3485214011.4247437</v>
      </c>
      <c r="Y422" s="301">
        <f t="shared" si="27"/>
        <v>114281407220.14433</v>
      </c>
      <c r="Z422" s="301">
        <f t="shared" si="27"/>
        <v>3855191269229.8247</v>
      </c>
      <c r="AA422" s="301">
        <f t="shared" si="29"/>
        <v>1.5294662458025407E+20</v>
      </c>
      <c r="AB422" s="301">
        <f t="shared" si="29"/>
        <v>115198999.33187251</v>
      </c>
    </row>
    <row r="423" spans="18:28" x14ac:dyDescent="0.25">
      <c r="R423" s="254">
        <f t="shared" si="26"/>
        <v>392</v>
      </c>
      <c r="S423" s="254"/>
      <c r="T423" s="301">
        <f t="shared" si="28"/>
        <v>1212948.0819513926</v>
      </c>
      <c r="U423" s="301">
        <f t="shared" si="28"/>
        <v>4842862.4240036895</v>
      </c>
      <c r="V423" s="301">
        <f t="shared" si="28"/>
        <v>22768138.090602882</v>
      </c>
      <c r="W423" s="301">
        <f t="shared" si="27"/>
        <v>117503979.31850995</v>
      </c>
      <c r="X423" s="301">
        <f t="shared" si="27"/>
        <v>3589771431.7674861</v>
      </c>
      <c r="Y423" s="301">
        <f t="shared" si="27"/>
        <v>118852664508.95013</v>
      </c>
      <c r="Z423" s="301">
        <f t="shared" si="27"/>
        <v>4047950833691.3154</v>
      </c>
      <c r="AA423" s="301">
        <f t="shared" si="29"/>
        <v>1.6824128703827945E+20</v>
      </c>
      <c r="AB423" s="301">
        <f t="shared" si="29"/>
        <v>117503979.31850995</v>
      </c>
    </row>
    <row r="424" spans="18:28" x14ac:dyDescent="0.25">
      <c r="R424" s="254">
        <f t="shared" si="26"/>
        <v>393</v>
      </c>
      <c r="S424" s="254"/>
      <c r="T424" s="301">
        <f t="shared" si="28"/>
        <v>1220012.8223611496</v>
      </c>
      <c r="U424" s="301">
        <f t="shared" si="28"/>
        <v>4892291.0482437266</v>
      </c>
      <c r="V424" s="301">
        <f t="shared" si="28"/>
        <v>23110660.161961924</v>
      </c>
      <c r="W424" s="301">
        <f t="shared" si="27"/>
        <v>119855058.90488017</v>
      </c>
      <c r="X424" s="301">
        <f t="shared" si="27"/>
        <v>3697465574.7205105</v>
      </c>
      <c r="Y424" s="301">
        <f t="shared" si="27"/>
        <v>123606772089.30814</v>
      </c>
      <c r="Z424" s="301">
        <f t="shared" si="27"/>
        <v>4250348376375.8813</v>
      </c>
      <c r="AA424" s="301">
        <f t="shared" si="29"/>
        <v>1.8506541574210742E+20</v>
      </c>
      <c r="AB424" s="301">
        <f t="shared" si="29"/>
        <v>119855058.90488017</v>
      </c>
    </row>
    <row r="425" spans="18:28" x14ac:dyDescent="0.25">
      <c r="R425" s="254">
        <f t="shared" si="26"/>
        <v>394</v>
      </c>
      <c r="S425" s="254"/>
      <c r="T425" s="301">
        <f t="shared" si="28"/>
        <v>1227112.8864729549</v>
      </c>
      <c r="U425" s="301">
        <f t="shared" si="28"/>
        <v>4942213.958726164</v>
      </c>
      <c r="V425" s="301">
        <f t="shared" si="28"/>
        <v>23458320.064391352</v>
      </c>
      <c r="W425" s="301">
        <f t="shared" si="27"/>
        <v>122253160.08297777</v>
      </c>
      <c r="X425" s="301">
        <f t="shared" si="27"/>
        <v>3808390541.9621258</v>
      </c>
      <c r="Y425" s="301">
        <f t="shared" si="27"/>
        <v>128551043972.88048</v>
      </c>
      <c r="Z425" s="301">
        <f t="shared" si="27"/>
        <v>4462865796194.6758</v>
      </c>
      <c r="AA425" s="301">
        <f t="shared" si="29"/>
        <v>2.0357195731631817E+20</v>
      </c>
      <c r="AB425" s="301">
        <f t="shared" si="29"/>
        <v>122253160.08297777</v>
      </c>
    </row>
    <row r="426" spans="18:28" x14ac:dyDescent="0.25">
      <c r="R426" s="254">
        <f t="shared" si="26"/>
        <v>395</v>
      </c>
      <c r="S426" s="254"/>
      <c r="T426" s="301">
        <f t="shared" si="28"/>
        <v>1234248.4509053198</v>
      </c>
      <c r="U426" s="301">
        <f t="shared" si="28"/>
        <v>4992636.0983134257</v>
      </c>
      <c r="V426" s="301">
        <f t="shared" si="28"/>
        <v>23811194.86535722</v>
      </c>
      <c r="W426" s="301">
        <f t="shared" si="27"/>
        <v>124699223.2846373</v>
      </c>
      <c r="X426" s="301">
        <f t="shared" si="27"/>
        <v>3922643258.2209897</v>
      </c>
      <c r="Y426" s="301">
        <f t="shared" si="27"/>
        <v>133693086731.79568</v>
      </c>
      <c r="Z426" s="301">
        <f t="shared" si="27"/>
        <v>4686009087004.4092</v>
      </c>
      <c r="AA426" s="301">
        <f t="shared" si="29"/>
        <v>2.2392915304795E+20</v>
      </c>
      <c r="AB426" s="301">
        <f t="shared" si="29"/>
        <v>124699223.2846373</v>
      </c>
    </row>
    <row r="427" spans="18:28" x14ac:dyDescent="0.25">
      <c r="R427" s="254">
        <f t="shared" si="26"/>
        <v>396</v>
      </c>
      <c r="S427" s="254"/>
      <c r="T427" s="301">
        <f t="shared" si="28"/>
        <v>1241419.6931598459</v>
      </c>
      <c r="U427" s="301">
        <f t="shared" si="28"/>
        <v>5043562.4592965599</v>
      </c>
      <c r="V427" s="301">
        <f t="shared" si="28"/>
        <v>24169362.788337577</v>
      </c>
      <c r="W427" s="301">
        <f t="shared" si="27"/>
        <v>127194207.75033006</v>
      </c>
      <c r="X427" s="301">
        <f t="shared" si="27"/>
        <v>4040323555.9676189</v>
      </c>
      <c r="Y427" s="301">
        <f t="shared" si="27"/>
        <v>139040811201.06754</v>
      </c>
      <c r="Z427" s="301">
        <f t="shared" si="27"/>
        <v>4920309542354.6299</v>
      </c>
      <c r="AA427" s="301">
        <f t="shared" si="29"/>
        <v>2.4632206835274501E+20</v>
      </c>
      <c r="AB427" s="301">
        <f t="shared" si="29"/>
        <v>127194207.75033006</v>
      </c>
    </row>
    <row r="428" spans="18:28" x14ac:dyDescent="0.25">
      <c r="R428" s="254">
        <f t="shared" si="26"/>
        <v>397</v>
      </c>
      <c r="S428" s="254"/>
      <c r="T428" s="301">
        <f t="shared" si="28"/>
        <v>1248626.7916256448</v>
      </c>
      <c r="U428" s="301">
        <f t="shared" si="28"/>
        <v>5094998.0838895254</v>
      </c>
      <c r="V428" s="301">
        <f t="shared" si="28"/>
        <v>24532903.230162635</v>
      </c>
      <c r="W428" s="301">
        <f t="shared" si="27"/>
        <v>129739091.90533665</v>
      </c>
      <c r="X428" s="301">
        <f t="shared" si="27"/>
        <v>4161534262.646647</v>
      </c>
      <c r="Y428" s="301">
        <f t="shared" si="27"/>
        <v>144602444649.11023</v>
      </c>
      <c r="Z428" s="301">
        <f t="shared" si="27"/>
        <v>5166325020472.3613</v>
      </c>
      <c r="AA428" s="301">
        <f t="shared" si="29"/>
        <v>2.7095427518801956E+20</v>
      </c>
      <c r="AB428" s="301">
        <f t="shared" si="29"/>
        <v>129739091.90533665</v>
      </c>
    </row>
    <row r="429" spans="18:28" x14ac:dyDescent="0.25">
      <c r="R429" s="254">
        <f t="shared" si="26"/>
        <v>398</v>
      </c>
      <c r="S429" s="254"/>
      <c r="T429" s="301">
        <f t="shared" si="28"/>
        <v>1255869.9255837728</v>
      </c>
      <c r="U429" s="301">
        <f t="shared" si="28"/>
        <v>5146948.0647284212</v>
      </c>
      <c r="V429" s="301">
        <f t="shared" si="28"/>
        <v>24901896.778615069</v>
      </c>
      <c r="W429" s="301">
        <f t="shared" si="27"/>
        <v>132334873.74344343</v>
      </c>
      <c r="X429" s="301">
        <f t="shared" si="27"/>
        <v>4286381290.5260472</v>
      </c>
      <c r="Y429" s="301">
        <f t="shared" si="27"/>
        <v>150386543435.07465</v>
      </c>
      <c r="Z429" s="301">
        <f t="shared" si="27"/>
        <v>5424641272495.9785</v>
      </c>
      <c r="AA429" s="301">
        <f t="shared" si="29"/>
        <v>2.980497027068216E+20</v>
      </c>
      <c r="AB429" s="301">
        <f t="shared" si="29"/>
        <v>132334873.74344343</v>
      </c>
    </row>
    <row r="430" spans="18:28" x14ac:dyDescent="0.25">
      <c r="R430" s="254">
        <f t="shared" si="26"/>
        <v>399</v>
      </c>
      <c r="S430" s="254"/>
      <c r="T430" s="301">
        <f t="shared" si="28"/>
        <v>1263149.2752116914</v>
      </c>
      <c r="U430" s="301">
        <f t="shared" si="28"/>
        <v>5199417.5453757038</v>
      </c>
      <c r="V430" s="301">
        <f t="shared" si="28"/>
        <v>25276425.230294291</v>
      </c>
      <c r="W430" s="301">
        <f t="shared" si="27"/>
        <v>134982571.21831226</v>
      </c>
      <c r="X430" s="301">
        <f t="shared" si="27"/>
        <v>4414973729.241828</v>
      </c>
      <c r="Y430" s="301">
        <f t="shared" si="27"/>
        <v>156402006172.47763</v>
      </c>
      <c r="Z430" s="301">
        <f t="shared" si="27"/>
        <v>5695873337120.7793</v>
      </c>
      <c r="AA430" s="301">
        <f t="shared" si="29"/>
        <v>3.2785467297750365E+20</v>
      </c>
      <c r="AB430" s="301">
        <f t="shared" si="29"/>
        <v>134982571.21831226</v>
      </c>
    </row>
    <row r="431" spans="18:28" x14ac:dyDescent="0.25">
      <c r="R431" s="254">
        <f t="shared" si="26"/>
        <v>400</v>
      </c>
      <c r="S431" s="254"/>
      <c r="T431" s="301">
        <f t="shared" si="28"/>
        <v>1270465.0215877495</v>
      </c>
      <c r="U431" s="301">
        <f t="shared" si="28"/>
        <v>5252411.7208294626</v>
      </c>
      <c r="V431" s="301">
        <f t="shared" si="28"/>
        <v>25656571.6087487</v>
      </c>
      <c r="W431" s="301">
        <f t="shared" si="27"/>
        <v>137683222.6426785</v>
      </c>
      <c r="X431" s="301">
        <f t="shared" si="27"/>
        <v>4547423941.1190834</v>
      </c>
      <c r="Y431" s="301">
        <f t="shared" si="27"/>
        <v>162658087419.37677</v>
      </c>
      <c r="Z431" s="301">
        <f t="shared" si="27"/>
        <v>5980667004976.8174</v>
      </c>
      <c r="AA431" s="301">
        <f t="shared" si="29"/>
        <v>3.606401402752541E+20</v>
      </c>
      <c r="AB431" s="301">
        <f t="shared" si="29"/>
        <v>137683222.6426785</v>
      </c>
    </row>
    <row r="432" spans="18:28" x14ac:dyDescent="0.25">
      <c r="R432" s="254">
        <f t="shared" si="26"/>
        <v>401</v>
      </c>
      <c r="S432" s="254"/>
      <c r="T432" s="301">
        <f t="shared" si="28"/>
        <v>1277817.3466956886</v>
      </c>
      <c r="U432" s="301">
        <f t="shared" si="28"/>
        <v>5305935.8380377572</v>
      </c>
      <c r="V432" s="301">
        <f t="shared" si="28"/>
        <v>26042420.182879928</v>
      </c>
      <c r="W432" s="301">
        <f t="shared" si="27"/>
        <v>140437887.09553209</v>
      </c>
      <c r="X432" s="301">
        <f t="shared" si="27"/>
        <v>4683847659.3526545</v>
      </c>
      <c r="Y432" s="301">
        <f t="shared" si="27"/>
        <v>169164411916.15186</v>
      </c>
      <c r="Z432" s="301">
        <f t="shared" si="27"/>
        <v>6279700356225.6592</v>
      </c>
      <c r="AA432" s="301">
        <f t="shared" si="29"/>
        <v>3.9670415430277949E+20</v>
      </c>
      <c r="AB432" s="301">
        <f t="shared" si="29"/>
        <v>140437887.09553209</v>
      </c>
    </row>
    <row r="433" spans="18:28" x14ac:dyDescent="0.25">
      <c r="R433" s="254">
        <f t="shared" si="26"/>
        <v>402</v>
      </c>
      <c r="S433" s="254"/>
      <c r="T433" s="301">
        <f t="shared" si="28"/>
        <v>1285206.433429166</v>
      </c>
      <c r="U433" s="301">
        <f t="shared" si="28"/>
        <v>5359995.1964181345</v>
      </c>
      <c r="V433" s="301">
        <f t="shared" si="28"/>
        <v>26434056.485623125</v>
      </c>
      <c r="W433" s="301">
        <f t="shared" si="27"/>
        <v>143247644.83744273</v>
      </c>
      <c r="X433" s="301">
        <f t="shared" si="27"/>
        <v>4824364089.1332359</v>
      </c>
      <c r="Y433" s="301">
        <f t="shared" si="27"/>
        <v>175930989392.79791</v>
      </c>
      <c r="Z433" s="301">
        <f t="shared" si="27"/>
        <v>6593685375036.9414</v>
      </c>
      <c r="AA433" s="301">
        <f t="shared" si="29"/>
        <v>4.3637456973305748E+20</v>
      </c>
      <c r="AB433" s="301">
        <f t="shared" si="29"/>
        <v>143247644.83744273</v>
      </c>
    </row>
    <row r="434" spans="18:28" x14ac:dyDescent="0.25">
      <c r="R434" s="254">
        <f t="shared" si="26"/>
        <v>403</v>
      </c>
      <c r="S434" s="254"/>
      <c r="T434" s="301">
        <f t="shared" si="28"/>
        <v>1292632.465596312</v>
      </c>
      <c r="U434" s="301">
        <f t="shared" si="28"/>
        <v>5414595.1483823145</v>
      </c>
      <c r="V434" s="301">
        <f t="shared" si="28"/>
        <v>26831567.332907472</v>
      </c>
      <c r="W434" s="301">
        <f t="shared" si="27"/>
        <v>146113597.73419154</v>
      </c>
      <c r="X434" s="301">
        <f t="shared" si="27"/>
        <v>4969096011.8072309</v>
      </c>
      <c r="Y434" s="301">
        <f t="shared" si="27"/>
        <v>182968229968.50986</v>
      </c>
      <c r="Z434" s="301">
        <f t="shared" si="27"/>
        <v>6923369644788.79</v>
      </c>
      <c r="AA434" s="301">
        <f t="shared" si="29"/>
        <v>4.8001202670636335E+20</v>
      </c>
      <c r="AB434" s="301">
        <f t="shared" si="29"/>
        <v>146113597.73419154</v>
      </c>
    </row>
    <row r="435" spans="18:28" x14ac:dyDescent="0.25">
      <c r="R435" s="254">
        <f t="shared" si="26"/>
        <v>404</v>
      </c>
      <c r="S435" s="254"/>
      <c r="T435" s="301">
        <f t="shared" si="28"/>
        <v>1300095.6279242933</v>
      </c>
      <c r="U435" s="301">
        <f t="shared" si="28"/>
        <v>5469741.0998661388</v>
      </c>
      <c r="V435" s="301">
        <f t="shared" si="28"/>
        <v>27235040.84290107</v>
      </c>
      <c r="W435" s="301">
        <f t="shared" si="27"/>
        <v>149036869.68887541</v>
      </c>
      <c r="X435" s="301">
        <f t="shared" si="27"/>
        <v>5118169892.1614485</v>
      </c>
      <c r="Y435" s="301">
        <f t="shared" si="27"/>
        <v>190286960167.25024</v>
      </c>
      <c r="Z435" s="301">
        <f t="shared" si="27"/>
        <v>7269538128028.2285</v>
      </c>
      <c r="AA435" s="301">
        <f t="shared" si="29"/>
        <v>5.2801322937699965E+20</v>
      </c>
      <c r="AB435" s="301">
        <f t="shared" si="29"/>
        <v>149036869.68887541</v>
      </c>
    </row>
    <row r="436" spans="18:28" x14ac:dyDescent="0.25">
      <c r="R436" s="254">
        <f t="shared" si="26"/>
        <v>405</v>
      </c>
      <c r="S436" s="254"/>
      <c r="T436" s="301">
        <f t="shared" si="28"/>
        <v>1307596.1060639145</v>
      </c>
      <c r="U436" s="301">
        <f t="shared" si="28"/>
        <v>5525438.5108647989</v>
      </c>
      <c r="V436" s="301">
        <f t="shared" si="28"/>
        <v>27644566.455544587</v>
      </c>
      <c r="W436" s="301">
        <f t="shared" si="27"/>
        <v>152018607.08265293</v>
      </c>
      <c r="X436" s="301">
        <f t="shared" si="27"/>
        <v>5271715988.9262915</v>
      </c>
      <c r="Y436" s="301">
        <f t="shared" si="27"/>
        <v>197898439573.94031</v>
      </c>
      <c r="Z436" s="301">
        <f t="shared" si="27"/>
        <v>7633015035429.6406</v>
      </c>
      <c r="AA436" s="301">
        <f t="shared" si="29"/>
        <v>5.8081455231469964E+20</v>
      </c>
      <c r="AB436" s="301">
        <f t="shared" si="29"/>
        <v>152018607.08265293</v>
      </c>
    </row>
    <row r="437" spans="18:28" x14ac:dyDescent="0.25">
      <c r="R437" s="254">
        <f t="shared" si="26"/>
        <v>406</v>
      </c>
      <c r="S437" s="254"/>
      <c r="T437" s="301">
        <f t="shared" si="28"/>
        <v>1315134.0865942338</v>
      </c>
      <c r="U437" s="301">
        <f t="shared" si="28"/>
        <v>5581692.8959734486</v>
      </c>
      <c r="V437" s="301">
        <f t="shared" si="28"/>
        <v>28060234.952377748</v>
      </c>
      <c r="W437" s="301">
        <f t="shared" si="27"/>
        <v>155059979.22430599</v>
      </c>
      <c r="X437" s="301">
        <f t="shared" si="27"/>
        <v>5429868468.5940809</v>
      </c>
      <c r="Y437" s="301">
        <f t="shared" si="27"/>
        <v>205814378156.89789</v>
      </c>
      <c r="Z437" s="301">
        <f t="shared" si="27"/>
        <v>8014665788201.1201</v>
      </c>
      <c r="AA437" s="301">
        <f t="shared" si="29"/>
        <v>6.3889600754616972E+20</v>
      </c>
      <c r="AB437" s="301">
        <f t="shared" si="29"/>
        <v>155059979.22430599</v>
      </c>
    </row>
    <row r="438" spans="18:28" x14ac:dyDescent="0.25">
      <c r="R438" s="254">
        <f t="shared" si="26"/>
        <v>407</v>
      </c>
      <c r="S438" s="254"/>
      <c r="T438" s="301">
        <f t="shared" si="28"/>
        <v>1322709.7570272046</v>
      </c>
      <c r="U438" s="301">
        <f t="shared" si="28"/>
        <v>5638509.8249331824</v>
      </c>
      <c r="V438" s="301">
        <f t="shared" si="28"/>
        <v>28482138.476663414</v>
      </c>
      <c r="W438" s="301">
        <f t="shared" si="27"/>
        <v>158162178.80879205</v>
      </c>
      <c r="X438" s="301">
        <f t="shared" si="27"/>
        <v>5592765522.6519041</v>
      </c>
      <c r="Y438" s="301">
        <f t="shared" si="27"/>
        <v>214046954283.1738</v>
      </c>
      <c r="Z438" s="301">
        <f t="shared" si="27"/>
        <v>8415399078611.1797</v>
      </c>
      <c r="AA438" s="301">
        <f t="shared" si="29"/>
        <v>7.0278560830078688E+20</v>
      </c>
      <c r="AB438" s="301">
        <f t="shared" si="29"/>
        <v>158162178.80879205</v>
      </c>
    </row>
    <row r="439" spans="18:28" x14ac:dyDescent="0.25">
      <c r="R439" s="254">
        <f t="shared" si="26"/>
        <v>408</v>
      </c>
      <c r="S439" s="254"/>
      <c r="T439" s="301">
        <f t="shared" si="28"/>
        <v>1330323.3058123407</v>
      </c>
      <c r="U439" s="301">
        <f t="shared" si="28"/>
        <v>5695894.9231825154</v>
      </c>
      <c r="V439" s="301">
        <f t="shared" si="28"/>
        <v>28910370.553813361</v>
      </c>
      <c r="W439" s="301">
        <f t="shared" si="27"/>
        <v>161326422.38496795</v>
      </c>
      <c r="X439" s="301">
        <f t="shared" si="27"/>
        <v>5760549488.33146</v>
      </c>
      <c r="Y439" s="301">
        <f t="shared" si="27"/>
        <v>222608833454.50079</v>
      </c>
      <c r="Z439" s="301">
        <f t="shared" si="27"/>
        <v>8836169033541.7363</v>
      </c>
      <c r="AA439" s="301">
        <f t="shared" si="29"/>
        <v>7.7306416913086546E+20</v>
      </c>
      <c r="AB439" s="301">
        <f t="shared" si="29"/>
        <v>161326422.38496795</v>
      </c>
    </row>
    <row r="440" spans="18:28" x14ac:dyDescent="0.25">
      <c r="R440" s="254">
        <f t="shared" ref="R440:R503" si="30">1+R439</f>
        <v>409</v>
      </c>
      <c r="S440" s="254"/>
      <c r="T440" s="301">
        <f t="shared" si="28"/>
        <v>1337974.9223414019</v>
      </c>
      <c r="U440" s="301">
        <f t="shared" si="28"/>
        <v>5753853.8724143421</v>
      </c>
      <c r="V440" s="301">
        <f t="shared" si="28"/>
        <v>29345026.112120561</v>
      </c>
      <c r="W440" s="301">
        <f t="shared" si="27"/>
        <v>164553950.83266726</v>
      </c>
      <c r="X440" s="301">
        <f t="shared" si="27"/>
        <v>5933366972.9814034</v>
      </c>
      <c r="Y440" s="301">
        <f t="shared" si="27"/>
        <v>231513187792.68085</v>
      </c>
      <c r="Z440" s="301">
        <f t="shared" si="27"/>
        <v>9277977486218.8242</v>
      </c>
      <c r="AA440" s="301">
        <f t="shared" si="29"/>
        <v>8.5037058604395201E+20</v>
      </c>
      <c r="AB440" s="301">
        <f t="shared" si="29"/>
        <v>164553950.83266726</v>
      </c>
    </row>
    <row r="441" spans="18:28" x14ac:dyDescent="0.25">
      <c r="R441" s="254">
        <f t="shared" si="30"/>
        <v>410</v>
      </c>
      <c r="S441" s="254"/>
      <c r="T441" s="301">
        <f t="shared" si="28"/>
        <v>1345664.7969531091</v>
      </c>
      <c r="U441" s="301">
        <f t="shared" si="28"/>
        <v>5812392.4111384843</v>
      </c>
      <c r="V441" s="301">
        <f t="shared" si="28"/>
        <v>29786201.503802363</v>
      </c>
      <c r="W441" s="301">
        <f t="shared" si="27"/>
        <v>167846029.84932062</v>
      </c>
      <c r="X441" s="301">
        <f t="shared" si="27"/>
        <v>6111368982.170846</v>
      </c>
      <c r="Y441" s="301">
        <f t="shared" si="27"/>
        <v>240773716304.38806</v>
      </c>
      <c r="Z441" s="301">
        <f t="shared" si="27"/>
        <v>9741876361529.7637</v>
      </c>
      <c r="AA441" s="301">
        <f t="shared" si="29"/>
        <v>9.3540764464834714E+20</v>
      </c>
      <c r="AB441" s="301">
        <f t="shared" si="29"/>
        <v>167846029.84932062</v>
      </c>
    </row>
    <row r="442" spans="18:28" x14ac:dyDescent="0.25">
      <c r="R442" s="254">
        <f t="shared" si="30"/>
        <v>411</v>
      </c>
      <c r="S442" s="254"/>
      <c r="T442" s="301">
        <f t="shared" si="28"/>
        <v>1353393.1209378743</v>
      </c>
      <c r="U442" s="301">
        <f t="shared" si="28"/>
        <v>5871516.3352498673</v>
      </c>
      <c r="V442" s="301">
        <f t="shared" si="28"/>
        <v>30233994.526359394</v>
      </c>
      <c r="W442" s="301">
        <f t="shared" si="27"/>
        <v>171203950.44630703</v>
      </c>
      <c r="X442" s="301">
        <f t="shared" si="27"/>
        <v>6294711051.6359711</v>
      </c>
      <c r="Y442" s="301">
        <f t="shared" si="27"/>
        <v>250404665956.5636</v>
      </c>
      <c r="Z442" s="301">
        <f t="shared" si="27"/>
        <v>10228970180606.254</v>
      </c>
      <c r="AA442" s="301">
        <f t="shared" si="29"/>
        <v>1.0289484091131822E+21</v>
      </c>
      <c r="AB442" s="301">
        <f t="shared" si="29"/>
        <v>171203950.44630703</v>
      </c>
    </row>
    <row r="443" spans="18:28" x14ac:dyDescent="0.25">
      <c r="R443" s="254">
        <f t="shared" si="30"/>
        <v>412</v>
      </c>
      <c r="S443" s="254"/>
      <c r="T443" s="301">
        <f t="shared" si="28"/>
        <v>1361160.0865425635</v>
      </c>
      <c r="U443" s="301">
        <f t="shared" si="28"/>
        <v>5931231.4986023661</v>
      </c>
      <c r="V443" s="301">
        <f t="shared" si="28"/>
        <v>30688504.444254778</v>
      </c>
      <c r="W443" s="301">
        <f t="shared" si="27"/>
        <v>174629029.45523319</v>
      </c>
      <c r="X443" s="301">
        <f t="shared" si="27"/>
        <v>6483553383.18505</v>
      </c>
      <c r="Y443" s="301">
        <f t="shared" si="27"/>
        <v>260420853594.8262</v>
      </c>
      <c r="Z443" s="301">
        <f t="shared" si="27"/>
        <v>10740418690636.568</v>
      </c>
      <c r="AA443" s="301">
        <f t="shared" si="29"/>
        <v>1.1318432500245004E+21</v>
      </c>
      <c r="AB443" s="301">
        <f t="shared" si="29"/>
        <v>174629029.45523319</v>
      </c>
    </row>
    <row r="444" spans="18:28" x14ac:dyDescent="0.25">
      <c r="R444" s="254">
        <f t="shared" si="30"/>
        <v>413</v>
      </c>
      <c r="S444" s="254"/>
      <c r="T444" s="301">
        <f t="shared" si="28"/>
        <v>1368965.8869752758</v>
      </c>
      <c r="U444" s="301">
        <f t="shared" si="28"/>
        <v>5991543.8135883901</v>
      </c>
      <c r="V444" s="301">
        <f t="shared" si="28"/>
        <v>31149832.010918599</v>
      </c>
      <c r="W444" s="301">
        <f t="shared" si="27"/>
        <v>178122610.04433784</v>
      </c>
      <c r="X444" s="301">
        <f t="shared" si="27"/>
        <v>6678060984.6806011</v>
      </c>
      <c r="Y444" s="301">
        <f t="shared" si="27"/>
        <v>270837688738.61926</v>
      </c>
      <c r="Z444" s="301">
        <f t="shared" si="27"/>
        <v>11277439626168.396</v>
      </c>
      <c r="AA444" s="301">
        <f t="shared" si="29"/>
        <v>1.2450275750269503E+21</v>
      </c>
      <c r="AB444" s="301">
        <f t="shared" si="29"/>
        <v>178122610.04433784</v>
      </c>
    </row>
    <row r="445" spans="18:28" x14ac:dyDescent="0.25">
      <c r="R445" s="254">
        <f t="shared" si="30"/>
        <v>414</v>
      </c>
      <c r="S445" s="254"/>
      <c r="T445" s="301">
        <f t="shared" si="28"/>
        <v>1376810.7164101521</v>
      </c>
      <c r="U445" s="301">
        <f t="shared" si="28"/>
        <v>6052459.2517242758</v>
      </c>
      <c r="V445" s="301">
        <f t="shared" si="28"/>
        <v>31618079.49108237</v>
      </c>
      <c r="W445" s="301">
        <f t="shared" si="27"/>
        <v>181686062.2452246</v>
      </c>
      <c r="X445" s="301">
        <f t="shared" si="27"/>
        <v>6878403814.2210197</v>
      </c>
      <c r="Y445" s="301">
        <f t="shared" si="27"/>
        <v>281671197288.16394</v>
      </c>
      <c r="Z445" s="301">
        <f t="shared" si="27"/>
        <v>11841311608476.813</v>
      </c>
      <c r="AA445" s="301">
        <f t="shared" si="29"/>
        <v>1.3695303325296458E+21</v>
      </c>
      <c r="AB445" s="301">
        <f t="shared" si="29"/>
        <v>181686062.2452246</v>
      </c>
    </row>
    <row r="446" spans="18:28" x14ac:dyDescent="0.25">
      <c r="R446" s="254">
        <f t="shared" si="30"/>
        <v>415</v>
      </c>
      <c r="S446" s="254"/>
      <c r="T446" s="301">
        <f t="shared" si="28"/>
        <v>1384694.7699922025</v>
      </c>
      <c r="U446" s="301">
        <f t="shared" si="28"/>
        <v>6113983.8442415157</v>
      </c>
      <c r="V446" s="301">
        <f t="shared" si="28"/>
        <v>32093350.683448605</v>
      </c>
      <c r="W446" s="301">
        <f t="shared" si="27"/>
        <v>185320783.49012905</v>
      </c>
      <c r="X446" s="301">
        <f t="shared" si="27"/>
        <v>7084756928.6476517</v>
      </c>
      <c r="Y446" s="301">
        <f t="shared" si="27"/>
        <v>292938046179.69055</v>
      </c>
      <c r="Z446" s="301">
        <f t="shared" si="27"/>
        <v>12433377189900.658</v>
      </c>
      <c r="AA446" s="301">
        <f t="shared" si="29"/>
        <v>1.5064833657826102E+21</v>
      </c>
      <c r="AB446" s="301">
        <f t="shared" si="29"/>
        <v>185320783.49012905</v>
      </c>
    </row>
    <row r="447" spans="18:28" x14ac:dyDescent="0.25">
      <c r="R447" s="254">
        <f t="shared" si="30"/>
        <v>416</v>
      </c>
      <c r="S447" s="254"/>
      <c r="T447" s="301">
        <f t="shared" si="28"/>
        <v>1392618.2438421634</v>
      </c>
      <c r="U447" s="301">
        <f t="shared" si="28"/>
        <v>6176123.6826839335</v>
      </c>
      <c r="V447" s="301">
        <f t="shared" si="28"/>
        <v>32575750.943700325</v>
      </c>
      <c r="W447" s="301">
        <f t="shared" si="27"/>
        <v>189028199.15993169</v>
      </c>
      <c r="X447" s="301">
        <f t="shared" si="27"/>
        <v>7297300636.5070791</v>
      </c>
      <c r="Y447" s="301">
        <f t="shared" si="27"/>
        <v>304655569026.87823</v>
      </c>
      <c r="Z447" s="301">
        <f t="shared" si="27"/>
        <v>13055046050395.689</v>
      </c>
      <c r="AA447" s="301">
        <f t="shared" si="29"/>
        <v>1.6571317023608718E+21</v>
      </c>
      <c r="AB447" s="301">
        <f t="shared" si="29"/>
        <v>189028199.15993169</v>
      </c>
    </row>
    <row r="448" spans="18:28" x14ac:dyDescent="0.25">
      <c r="R448" s="254">
        <f t="shared" si="30"/>
        <v>417</v>
      </c>
      <c r="S448" s="254"/>
      <c r="T448" s="301">
        <f t="shared" si="28"/>
        <v>1400581.3350613739</v>
      </c>
      <c r="U448" s="301">
        <f t="shared" si="28"/>
        <v>6238884.9195107725</v>
      </c>
      <c r="V448" s="301">
        <f t="shared" si="28"/>
        <v>33065387.207855828</v>
      </c>
      <c r="W448" s="301">
        <f t="shared" si="27"/>
        <v>192809763.1431303</v>
      </c>
      <c r="X448" s="301">
        <f t="shared" si="27"/>
        <v>7516220655.6022921</v>
      </c>
      <c r="Y448" s="301">
        <f t="shared" si="27"/>
        <v>316841792787.95331</v>
      </c>
      <c r="Z448" s="301">
        <f t="shared" si="27"/>
        <v>13707798353915.475</v>
      </c>
      <c r="AA448" s="301">
        <f t="shared" si="29"/>
        <v>1.822844872596959E+21</v>
      </c>
      <c r="AB448" s="301">
        <f t="shared" si="29"/>
        <v>192809763.1431303</v>
      </c>
    </row>
    <row r="449" spans="18:28" x14ac:dyDescent="0.25">
      <c r="R449" s="254">
        <f t="shared" si="30"/>
        <v>418</v>
      </c>
      <c r="S449" s="254"/>
      <c r="T449" s="301">
        <f t="shared" si="28"/>
        <v>1408584.2417366805</v>
      </c>
      <c r="U449" s="301">
        <f t="shared" si="28"/>
        <v>6302273.7687058803</v>
      </c>
      <c r="V449" s="301">
        <f t="shared" si="28"/>
        <v>33562368.015973657</v>
      </c>
      <c r="W449" s="301">
        <f t="shared" si="27"/>
        <v>196666958.40599293</v>
      </c>
      <c r="X449" s="301">
        <f t="shared" si="27"/>
        <v>7741708275.27036</v>
      </c>
      <c r="Y449" s="301">
        <f t="shared" si="27"/>
        <v>329515465499.4715</v>
      </c>
      <c r="Z449" s="301">
        <f t="shared" si="27"/>
        <v>14393188272611.246</v>
      </c>
      <c r="AA449" s="301">
        <f t="shared" si="29"/>
        <v>2.0051293598566549E+21</v>
      </c>
      <c r="AB449" s="301">
        <f t="shared" si="29"/>
        <v>196666958.40599293</v>
      </c>
    </row>
    <row r="450" spans="18:28" x14ac:dyDescent="0.25">
      <c r="R450" s="254">
        <f t="shared" si="30"/>
        <v>419</v>
      </c>
      <c r="S450" s="254"/>
      <c r="T450" s="301">
        <f t="shared" si="28"/>
        <v>1416627.1629453639</v>
      </c>
      <c r="U450" s="301">
        <f t="shared" si="28"/>
        <v>6366296.5063929381</v>
      </c>
      <c r="V450" s="301">
        <f t="shared" si="28"/>
        <v>34066803.536213264</v>
      </c>
      <c r="W450" s="301">
        <f t="shared" si="27"/>
        <v>200601297.57411277</v>
      </c>
      <c r="X450" s="301">
        <f t="shared" si="27"/>
        <v>7973960523.5284719</v>
      </c>
      <c r="Y450" s="301">
        <f t="shared" si="27"/>
        <v>342696085119.45038</v>
      </c>
      <c r="Z450" s="301">
        <f t="shared" si="27"/>
        <v>15112847687241.813</v>
      </c>
      <c r="AA450" s="301">
        <f t="shared" si="29"/>
        <v>2.2056422958423209E+21</v>
      </c>
      <c r="AB450" s="301">
        <f t="shared" si="29"/>
        <v>200601297.57411277</v>
      </c>
    </row>
    <row r="451" spans="18:28" x14ac:dyDescent="0.25">
      <c r="R451" s="254">
        <f t="shared" si="30"/>
        <v>420</v>
      </c>
      <c r="S451" s="254"/>
      <c r="T451" s="301">
        <f t="shared" si="28"/>
        <v>1424710.29876009</v>
      </c>
      <c r="U451" s="301">
        <f t="shared" si="28"/>
        <v>6430959.4714568686</v>
      </c>
      <c r="V451" s="301">
        <f t="shared" si="28"/>
        <v>34578805.589256451</v>
      </c>
      <c r="W451" s="301">
        <f t="shared" si="27"/>
        <v>204614323.52559498</v>
      </c>
      <c r="X451" s="301">
        <f t="shared" si="27"/>
        <v>8213180339.2343254</v>
      </c>
      <c r="Y451" s="301">
        <f t="shared" si="27"/>
        <v>356403929524.22839</v>
      </c>
      <c r="Z451" s="301">
        <f t="shared" si="27"/>
        <v>15868490072603.898</v>
      </c>
      <c r="AA451" s="301">
        <f t="shared" si="29"/>
        <v>2.4262065254265525E+21</v>
      </c>
      <c r="AB451" s="301">
        <f t="shared" si="29"/>
        <v>204614323.52559498</v>
      </c>
    </row>
    <row r="452" spans="18:28" x14ac:dyDescent="0.25">
      <c r="R452" s="254">
        <f t="shared" si="30"/>
        <v>421</v>
      </c>
      <c r="S452" s="254"/>
      <c r="T452" s="301">
        <f t="shared" si="28"/>
        <v>1432833.8502538903</v>
      </c>
      <c r="U452" s="301">
        <f t="shared" si="28"/>
        <v>6496269.0661714375</v>
      </c>
      <c r="V452" s="301">
        <f t="shared" si="28"/>
        <v>35098487.673095301</v>
      </c>
      <c r="W452" s="301">
        <f t="shared" si="27"/>
        <v>208707609.99610692</v>
      </c>
      <c r="X452" s="301">
        <f t="shared" si="27"/>
        <v>8459576749.4113522</v>
      </c>
      <c r="Y452" s="301">
        <f t="shared" si="27"/>
        <v>370660087705.19757</v>
      </c>
      <c r="Z452" s="301">
        <f t="shared" si="27"/>
        <v>16661914577234.098</v>
      </c>
      <c r="AA452" s="301">
        <f t="shared" si="29"/>
        <v>2.6688271779692077E+21</v>
      </c>
      <c r="AB452" s="301">
        <f t="shared" si="29"/>
        <v>208707609.99610692</v>
      </c>
    </row>
    <row r="453" spans="18:28" x14ac:dyDescent="0.25">
      <c r="R453" s="254">
        <f t="shared" si="30"/>
        <v>422</v>
      </c>
      <c r="S453" s="254"/>
      <c r="T453" s="301">
        <f t="shared" si="28"/>
        <v>1440998.0195051595</v>
      </c>
      <c r="U453" s="301">
        <f t="shared" si="28"/>
        <v>6562231.7568331528</v>
      </c>
      <c r="V453" s="301">
        <f t="shared" si="28"/>
        <v>35625964.988191731</v>
      </c>
      <c r="W453" s="301">
        <f t="shared" si="27"/>
        <v>212882762.19602913</v>
      </c>
      <c r="X453" s="301">
        <f t="shared" si="27"/>
        <v>8713365051.8936939</v>
      </c>
      <c r="Y453" s="301">
        <f t="shared" si="27"/>
        <v>385486492213.40546</v>
      </c>
      <c r="Z453" s="301">
        <f t="shared" si="27"/>
        <v>17495010307095.799</v>
      </c>
      <c r="AA453" s="301">
        <f t="shared" si="29"/>
        <v>2.9357098957661295E+21</v>
      </c>
      <c r="AB453" s="301">
        <f t="shared" si="29"/>
        <v>212882762.19602913</v>
      </c>
    </row>
    <row r="454" spans="18:28" x14ac:dyDescent="0.25">
      <c r="R454" s="254">
        <f t="shared" si="30"/>
        <v>423</v>
      </c>
      <c r="S454" s="254"/>
      <c r="T454" s="301">
        <f t="shared" si="28"/>
        <v>1449203.0096026852</v>
      </c>
      <c r="U454" s="301">
        <f t="shared" si="28"/>
        <v>6628854.0744014829</v>
      </c>
      <c r="V454" s="301">
        <f t="shared" si="28"/>
        <v>36161354.463014595</v>
      </c>
      <c r="W454" s="301">
        <f t="shared" si="27"/>
        <v>217141417.43994957</v>
      </c>
      <c r="X454" s="301">
        <f t="shared" si="27"/>
        <v>8974767003.4505062</v>
      </c>
      <c r="Y454" s="301">
        <f t="shared" si="27"/>
        <v>400905952901.94159</v>
      </c>
      <c r="Z454" s="301">
        <f t="shared" si="27"/>
        <v>18369760823450.594</v>
      </c>
      <c r="AA454" s="301">
        <f t="shared" si="29"/>
        <v>3.2292808853427422E+21</v>
      </c>
      <c r="AB454" s="301">
        <f t="shared" si="29"/>
        <v>217141417.43994957</v>
      </c>
    </row>
    <row r="455" spans="18:28" x14ac:dyDescent="0.25">
      <c r="R455" s="254">
        <f t="shared" si="30"/>
        <v>424</v>
      </c>
      <c r="S455" s="254"/>
      <c r="T455" s="301">
        <f t="shared" si="28"/>
        <v>1457449.0246506988</v>
      </c>
      <c r="U455" s="301">
        <f t="shared" si="28"/>
        <v>6696142.6151454989</v>
      </c>
      <c r="V455" s="301">
        <f t="shared" si="28"/>
        <v>36704774.779959805</v>
      </c>
      <c r="W455" s="301">
        <f t="shared" si="27"/>
        <v>221485245.78874862</v>
      </c>
      <c r="X455" s="301">
        <f t="shared" si="27"/>
        <v>9244011013.5540199</v>
      </c>
      <c r="Y455" s="301">
        <f t="shared" si="27"/>
        <v>416942192018.01941</v>
      </c>
      <c r="Z455" s="301">
        <f t="shared" si="27"/>
        <v>19288248865623.121</v>
      </c>
      <c r="AA455" s="301">
        <f t="shared" si="29"/>
        <v>3.552208973877016E+21</v>
      </c>
      <c r="AB455" s="301">
        <f t="shared" si="29"/>
        <v>221485245.78874862</v>
      </c>
    </row>
    <row r="456" spans="18:28" x14ac:dyDescent="0.25">
      <c r="R456" s="254">
        <f t="shared" si="30"/>
        <v>425</v>
      </c>
      <c r="S456" s="254"/>
      <c r="T456" s="301">
        <f t="shared" si="28"/>
        <v>1465736.2697739517</v>
      </c>
      <c r="U456" s="301">
        <f t="shared" si="28"/>
        <v>6764104.0412969543</v>
      </c>
      <c r="V456" s="301">
        <f t="shared" si="28"/>
        <v>37256346.401659206</v>
      </c>
      <c r="W456" s="301">
        <f t="shared" si="27"/>
        <v>225915950.70452362</v>
      </c>
      <c r="X456" s="301">
        <f t="shared" si="27"/>
        <v>9521332343.9606419</v>
      </c>
      <c r="Y456" s="301">
        <f t="shared" si="27"/>
        <v>433619880698.74017</v>
      </c>
      <c r="Z456" s="301">
        <f t="shared" si="27"/>
        <v>20252661309904.277</v>
      </c>
      <c r="AA456" s="301">
        <f t="shared" si="29"/>
        <v>3.9074298712647181E+21</v>
      </c>
      <c r="AB456" s="301">
        <f t="shared" si="29"/>
        <v>225915950.70452362</v>
      </c>
    </row>
    <row r="457" spans="18:28" x14ac:dyDescent="0.25">
      <c r="R457" s="254">
        <f t="shared" si="30"/>
        <v>426</v>
      </c>
      <c r="S457" s="254"/>
      <c r="T457" s="301">
        <f t="shared" si="28"/>
        <v>1474064.9511228211</v>
      </c>
      <c r="U457" s="301">
        <f t="shared" si="28"/>
        <v>6832745.0817099242</v>
      </c>
      <c r="V457" s="301">
        <f t="shared" si="28"/>
        <v>37816191.597684093</v>
      </c>
      <c r="W457" s="301">
        <f t="shared" si="27"/>
        <v>230435269.71861407</v>
      </c>
      <c r="X457" s="301">
        <f t="shared" si="27"/>
        <v>9806973314.2794609</v>
      </c>
      <c r="Y457" s="301">
        <f t="shared" si="27"/>
        <v>450964676926.68976</v>
      </c>
      <c r="Z457" s="301">
        <f t="shared" si="27"/>
        <v>21265294376399.492</v>
      </c>
      <c r="AA457" s="301">
        <f t="shared" si="29"/>
        <v>4.2981728583911898E+21</v>
      </c>
      <c r="AB457" s="301">
        <f t="shared" si="29"/>
        <v>230435269.71861407</v>
      </c>
    </row>
    <row r="458" spans="18:28" x14ac:dyDescent="0.25">
      <c r="R458" s="254">
        <f t="shared" si="30"/>
        <v>427</v>
      </c>
      <c r="S458" s="254"/>
      <c r="T458" s="301">
        <f t="shared" si="28"/>
        <v>1482435.2758784352</v>
      </c>
      <c r="U458" s="301">
        <f t="shared" si="28"/>
        <v>6902072.5325270221</v>
      </c>
      <c r="V458" s="301">
        <f t="shared" si="28"/>
        <v>38384434.471649341</v>
      </c>
      <c r="W458" s="301">
        <f t="shared" si="27"/>
        <v>235044975.11298639</v>
      </c>
      <c r="X458" s="301">
        <f t="shared" si="27"/>
        <v>10101183513.707844</v>
      </c>
      <c r="Y458" s="301">
        <f t="shared" si="27"/>
        <v>469003265003.75745</v>
      </c>
      <c r="Z458" s="301">
        <f t="shared" si="27"/>
        <v>22328559096219.469</v>
      </c>
      <c r="AA458" s="301">
        <f t="shared" si="29"/>
        <v>4.7279901442303098E+21</v>
      </c>
      <c r="AB458" s="301">
        <f t="shared" si="29"/>
        <v>235044975.11298639</v>
      </c>
    </row>
    <row r="459" spans="18:28" x14ac:dyDescent="0.25">
      <c r="R459" s="254">
        <f t="shared" si="30"/>
        <v>428</v>
      </c>
      <c r="S459" s="254"/>
      <c r="T459" s="301">
        <f t="shared" si="28"/>
        <v>1490847.4522578269</v>
      </c>
      <c r="U459" s="301">
        <f t="shared" si="28"/>
        <v>6972093.2578522917</v>
      </c>
      <c r="V459" s="301">
        <f t="shared" si="28"/>
        <v>38961200.988724068</v>
      </c>
      <c r="W459" s="301">
        <f t="shared" si="27"/>
        <v>239746874.61524609</v>
      </c>
      <c r="X459" s="301">
        <f t="shared" si="27"/>
        <v>10404220019.119078</v>
      </c>
      <c r="Y459" s="301">
        <f t="shared" si="27"/>
        <v>487763396603.90771</v>
      </c>
      <c r="Z459" s="301">
        <f t="shared" si="27"/>
        <v>23444987052030.438</v>
      </c>
      <c r="AA459" s="301">
        <f t="shared" si="29"/>
        <v>5.2007891586533409E+21</v>
      </c>
      <c r="AB459" s="301">
        <f t="shared" si="29"/>
        <v>239746874.61524609</v>
      </c>
    </row>
    <row r="460" spans="18:28" x14ac:dyDescent="0.25">
      <c r="R460" s="254">
        <f t="shared" si="30"/>
        <v>429</v>
      </c>
      <c r="S460" s="254"/>
      <c r="T460" s="301">
        <f t="shared" si="28"/>
        <v>1499301.6895191157</v>
      </c>
      <c r="U460" s="301">
        <f t="shared" si="28"/>
        <v>7042814.1904308153</v>
      </c>
      <c r="V460" s="301">
        <f t="shared" si="28"/>
        <v>39546619.003554933</v>
      </c>
      <c r="W460" s="301">
        <f t="shared" si="27"/>
        <v>244542812.10755098</v>
      </c>
      <c r="X460" s="301">
        <f t="shared" si="27"/>
        <v>10716347619.69265</v>
      </c>
      <c r="Y460" s="301">
        <f t="shared" si="27"/>
        <v>507273933468.06409</v>
      </c>
      <c r="Z460" s="301">
        <f t="shared" si="27"/>
        <v>24617236405631.965</v>
      </c>
      <c r="AA460" s="301">
        <f t="shared" si="29"/>
        <v>5.720868074518676E+21</v>
      </c>
      <c r="AB460" s="301">
        <f t="shared" si="29"/>
        <v>244542812.10755098</v>
      </c>
    </row>
    <row r="461" spans="18:28" x14ac:dyDescent="0.25">
      <c r="R461" s="254">
        <f t="shared" si="30"/>
        <v>430</v>
      </c>
      <c r="S461" s="254"/>
      <c r="T461" s="301">
        <f t="shared" si="28"/>
        <v>1507798.1979667111</v>
      </c>
      <c r="U461" s="301">
        <f t="shared" si="28"/>
        <v>7114242.3323351247</v>
      </c>
      <c r="V461" s="301">
        <f t="shared" si="28"/>
        <v>40140818.288608246</v>
      </c>
      <c r="W461" s="301">
        <f t="shared" si="27"/>
        <v>249434668.34970203</v>
      </c>
      <c r="X461" s="301">
        <f t="shared" si="27"/>
        <v>11037839048.28343</v>
      </c>
      <c r="Y461" s="301">
        <f t="shared" si="27"/>
        <v>527564891806.78668</v>
      </c>
      <c r="Z461" s="301">
        <f t="shared" si="27"/>
        <v>25848098226913.559</v>
      </c>
      <c r="AA461" s="301">
        <f t="shared" si="29"/>
        <v>6.2929548819705448E+21</v>
      </c>
      <c r="AB461" s="301">
        <f t="shared" si="29"/>
        <v>249434668.34970203</v>
      </c>
    </row>
    <row r="462" spans="18:28" x14ac:dyDescent="0.25">
      <c r="R462" s="254">
        <f t="shared" si="30"/>
        <v>431</v>
      </c>
      <c r="S462" s="254"/>
      <c r="T462" s="301">
        <f t="shared" si="28"/>
        <v>1516337.1889565443</v>
      </c>
      <c r="U462" s="301">
        <f t="shared" si="28"/>
        <v>7186384.7556584729</v>
      </c>
      <c r="V462" s="301">
        <f t="shared" si="28"/>
        <v>40743930.562937364</v>
      </c>
      <c r="W462" s="301">
        <f t="shared" si="27"/>
        <v>254424361.71669599</v>
      </c>
      <c r="X462" s="301">
        <f t="shared" si="27"/>
        <v>11368975219.731936</v>
      </c>
      <c r="Y462" s="301">
        <f t="shared" si="27"/>
        <v>548667488479.05817</v>
      </c>
      <c r="Z462" s="301">
        <f t="shared" si="27"/>
        <v>27140503139259.242</v>
      </c>
      <c r="AA462" s="301">
        <f t="shared" si="29"/>
        <v>6.922250370167599E+21</v>
      </c>
      <c r="AB462" s="301">
        <f t="shared" si="29"/>
        <v>254424361.71669599</v>
      </c>
    </row>
    <row r="463" spans="18:28" x14ac:dyDescent="0.25">
      <c r="R463" s="254">
        <f t="shared" si="30"/>
        <v>432</v>
      </c>
      <c r="S463" s="254"/>
      <c r="T463" s="301">
        <f t="shared" si="28"/>
        <v>1524918.8749013266</v>
      </c>
      <c r="U463" s="301">
        <f t="shared" si="28"/>
        <v>7259248.6032150602</v>
      </c>
      <c r="V463" s="301">
        <f t="shared" si="28"/>
        <v>41356089.521381423</v>
      </c>
      <c r="W463" s="301">
        <f t="shared" si="27"/>
        <v>259513848.95102999</v>
      </c>
      <c r="X463" s="301">
        <f t="shared" si="27"/>
        <v>11710045476.323889</v>
      </c>
      <c r="Y463" s="301">
        <f t="shared" si="27"/>
        <v>570614189018.22058</v>
      </c>
      <c r="Z463" s="301">
        <f t="shared" si="27"/>
        <v>28497528297222.203</v>
      </c>
      <c r="AA463" s="301">
        <f t="shared" si="29"/>
        <v>7.6144754071843583E+21</v>
      </c>
      <c r="AB463" s="301">
        <f t="shared" si="29"/>
        <v>259513848.95102999</v>
      </c>
    </row>
    <row r="464" spans="18:28" x14ac:dyDescent="0.25">
      <c r="R464" s="254">
        <f t="shared" si="30"/>
        <v>433</v>
      </c>
      <c r="S464" s="254"/>
      <c r="T464" s="301">
        <f t="shared" si="28"/>
        <v>1533543.4692758333</v>
      </c>
      <c r="U464" s="301">
        <f t="shared" si="28"/>
        <v>7332841.08924721</v>
      </c>
      <c r="V464" s="301">
        <f t="shared" si="28"/>
        <v>41977430.864202127</v>
      </c>
      <c r="W464" s="301">
        <f t="shared" si="27"/>
        <v>264705125.93005061</v>
      </c>
      <c r="X464" s="301">
        <f t="shared" si="27"/>
        <v>12061347840.613609</v>
      </c>
      <c r="Y464" s="301">
        <f t="shared" si="27"/>
        <v>593438757578.94934</v>
      </c>
      <c r="Z464" s="301">
        <f t="shared" si="27"/>
        <v>29922404713083.316</v>
      </c>
      <c r="AA464" s="301">
        <f t="shared" si="29"/>
        <v>8.3759229479027967E+21</v>
      </c>
      <c r="AB464" s="301">
        <f t="shared" si="29"/>
        <v>264705125.93005061</v>
      </c>
    </row>
    <row r="465" spans="18:28" x14ac:dyDescent="0.25">
      <c r="R465" s="254">
        <f t="shared" si="30"/>
        <v>434</v>
      </c>
      <c r="S465" s="254"/>
      <c r="T465" s="301">
        <f t="shared" si="28"/>
        <v>1542211.1866222117</v>
      </c>
      <c r="U465" s="301">
        <f t="shared" si="28"/>
        <v>7407169.5001396844</v>
      </c>
      <c r="V465" s="301">
        <f t="shared" si="28"/>
        <v>42608092.327165172</v>
      </c>
      <c r="W465" s="301">
        <f t="shared" si="27"/>
        <v>270000228.44865155</v>
      </c>
      <c r="X465" s="301">
        <f t="shared" si="27"/>
        <v>12423189275.832014</v>
      </c>
      <c r="Y465" s="301">
        <f t="shared" si="27"/>
        <v>617176308882.10742</v>
      </c>
      <c r="Z465" s="301">
        <f t="shared" si="27"/>
        <v>31418524949737.484</v>
      </c>
      <c r="AA465" s="301">
        <f t="shared" si="29"/>
        <v>9.2135152426930762E+21</v>
      </c>
      <c r="AB465" s="301">
        <f t="shared" si="29"/>
        <v>270000228.44865155</v>
      </c>
    </row>
    <row r="466" spans="18:28" x14ac:dyDescent="0.25">
      <c r="R466" s="254">
        <f t="shared" si="30"/>
        <v>435</v>
      </c>
      <c r="S466" s="254"/>
      <c r="T466" s="301">
        <f t="shared" si="28"/>
        <v>1550922.2425553226</v>
      </c>
      <c r="U466" s="301">
        <f t="shared" si="28"/>
        <v>7482241.1951410798</v>
      </c>
      <c r="V466" s="301">
        <f t="shared" si="28"/>
        <v>43248213.712072641</v>
      </c>
      <c r="W466" s="301">
        <f t="shared" si="27"/>
        <v>275401233.01762462</v>
      </c>
      <c r="X466" s="301">
        <f t="shared" si="27"/>
        <v>12795885954.106976</v>
      </c>
      <c r="Y466" s="301">
        <f t="shared" si="27"/>
        <v>641863362237.39185</v>
      </c>
      <c r="Z466" s="301">
        <f t="shared" si="27"/>
        <v>32989451198224.359</v>
      </c>
      <c r="AA466" s="301">
        <f t="shared" si="29"/>
        <v>1.0134866766962385E+22</v>
      </c>
      <c r="AB466" s="301">
        <f t="shared" si="29"/>
        <v>275401233.01762462</v>
      </c>
    </row>
    <row r="467" spans="18:28" x14ac:dyDescent="0.25">
      <c r="R467" s="254">
        <f t="shared" si="30"/>
        <v>436</v>
      </c>
      <c r="S467" s="254"/>
      <c r="T467" s="301">
        <f t="shared" si="28"/>
        <v>1559676.8537680989</v>
      </c>
      <c r="U467" s="301">
        <f t="shared" si="28"/>
        <v>7558063.6070924914</v>
      </c>
      <c r="V467" s="301">
        <f t="shared" si="28"/>
        <v>43897936.917753711</v>
      </c>
      <c r="W467" s="301">
        <f t="shared" si="27"/>
        <v>280910257.67797714</v>
      </c>
      <c r="X467" s="301">
        <f t="shared" si="27"/>
        <v>13179763532.730185</v>
      </c>
      <c r="Y467" s="301">
        <f t="shared" si="27"/>
        <v>667537897726.88733</v>
      </c>
      <c r="Z467" s="301">
        <f t="shared" si="27"/>
        <v>34638923759135.574</v>
      </c>
      <c r="AA467" s="301">
        <f t="shared" si="29"/>
        <v>1.1148353443658623E+22</v>
      </c>
      <c r="AB467" s="301">
        <f t="shared" si="29"/>
        <v>280910257.67797714</v>
      </c>
    </row>
    <row r="468" spans="18:28" x14ac:dyDescent="0.25">
      <c r="R468" s="254">
        <f t="shared" si="30"/>
        <v>437</v>
      </c>
      <c r="S468" s="254"/>
      <c r="T468" s="301">
        <f t="shared" si="28"/>
        <v>1568475.2380369396</v>
      </c>
      <c r="U468" s="301">
        <f t="shared" si="28"/>
        <v>7634644.2431634143</v>
      </c>
      <c r="V468" s="301">
        <f t="shared" si="28"/>
        <v>44557405.971520014</v>
      </c>
      <c r="W468" s="301">
        <f t="shared" si="27"/>
        <v>286529462.83153665</v>
      </c>
      <c r="X468" s="301">
        <f t="shared" si="27"/>
        <v>13575157438.712088</v>
      </c>
      <c r="Y468" s="301">
        <f t="shared" si="27"/>
        <v>694239414635.96301</v>
      </c>
      <c r="Z468" s="301">
        <f t="shared" si="27"/>
        <v>36370869948092.344</v>
      </c>
      <c r="AA468" s="301">
        <f t="shared" si="29"/>
        <v>1.2263188788024487E+22</v>
      </c>
      <c r="AB468" s="301">
        <f t="shared" si="29"/>
        <v>286529462.83153665</v>
      </c>
    </row>
    <row r="469" spans="18:28" x14ac:dyDescent="0.25">
      <c r="R469" s="254">
        <f t="shared" si="30"/>
        <v>438</v>
      </c>
      <c r="S469" s="254"/>
      <c r="T469" s="301">
        <f t="shared" si="28"/>
        <v>1577317.6142271238</v>
      </c>
      <c r="U469" s="301">
        <f t="shared" si="28"/>
        <v>7711990.6855950505</v>
      </c>
      <c r="V469" s="301">
        <f t="shared" si="28"/>
        <v>45226767.061092794</v>
      </c>
      <c r="W469" s="301">
        <f t="shared" si="27"/>
        <v>292261052.08816743</v>
      </c>
      <c r="X469" s="301">
        <f t="shared" si="27"/>
        <v>13982413161.873451</v>
      </c>
      <c r="Y469" s="301">
        <f t="shared" si="27"/>
        <v>722008992221.40161</v>
      </c>
      <c r="Z469" s="301">
        <f t="shared" si="27"/>
        <v>38189413446496.961</v>
      </c>
      <c r="AA469" s="301">
        <f t="shared" si="29"/>
        <v>1.3489507666826935E+22</v>
      </c>
      <c r="AB469" s="301">
        <f t="shared" si="29"/>
        <v>292261052.08816743</v>
      </c>
    </row>
    <row r="470" spans="18:28" x14ac:dyDescent="0.25">
      <c r="R470" s="254">
        <f t="shared" si="30"/>
        <v>439</v>
      </c>
      <c r="S470" s="254"/>
      <c r="T470" s="301">
        <f t="shared" si="28"/>
        <v>1586204.2022982591</v>
      </c>
      <c r="U470" s="301">
        <f t="shared" si="28"/>
        <v>7790110.5924509997</v>
      </c>
      <c r="V470" s="301">
        <f t="shared" si="28"/>
        <v>45906168.567009196</v>
      </c>
      <c r="W470" s="301">
        <f t="shared" si="27"/>
        <v>298107273.12993062</v>
      </c>
      <c r="X470" s="301">
        <f t="shared" si="27"/>
        <v>14401886556.729656</v>
      </c>
      <c r="Y470" s="301">
        <f t="shared" si="27"/>
        <v>750889352910.25757</v>
      </c>
      <c r="Z470" s="301">
        <f t="shared" si="27"/>
        <v>40098884119821.82</v>
      </c>
      <c r="AA470" s="301">
        <f t="shared" si="29"/>
        <v>1.4838458433509633E+22</v>
      </c>
      <c r="AB470" s="301">
        <f t="shared" si="29"/>
        <v>298107273.12993062</v>
      </c>
    </row>
    <row r="471" spans="18:28" x14ac:dyDescent="0.25">
      <c r="R471" s="254">
        <f t="shared" si="30"/>
        <v>440</v>
      </c>
      <c r="S471" s="254"/>
      <c r="T471" s="301">
        <f t="shared" si="28"/>
        <v>1595135.2233097504</v>
      </c>
      <c r="U471" s="301">
        <f t="shared" si="28"/>
        <v>7869011.6983755119</v>
      </c>
      <c r="V471" s="301">
        <f t="shared" si="28"/>
        <v>46595761.095514327</v>
      </c>
      <c r="W471" s="301">
        <f t="shared" si="27"/>
        <v>304070418.5925293</v>
      </c>
      <c r="X471" s="301">
        <f t="shared" si="27"/>
        <v>14833944153.431543</v>
      </c>
      <c r="Y471" s="301">
        <f t="shared" si="27"/>
        <v>780924928026.66785</v>
      </c>
      <c r="Z471" s="301">
        <f t="shared" si="27"/>
        <v>42103828326812.906</v>
      </c>
      <c r="AA471" s="301">
        <f t="shared" si="29"/>
        <v>1.6322304276860592E+22</v>
      </c>
      <c r="AB471" s="301">
        <f t="shared" si="29"/>
        <v>304070418.5925293</v>
      </c>
    </row>
    <row r="472" spans="18:28" x14ac:dyDescent="0.25">
      <c r="R472" s="254">
        <f t="shared" si="30"/>
        <v>441</v>
      </c>
      <c r="S472" s="254"/>
      <c r="T472" s="301">
        <f t="shared" si="28"/>
        <v>1604110.8994262989</v>
      </c>
      <c r="U472" s="301">
        <f t="shared" si="28"/>
        <v>7948701.8153592683</v>
      </c>
      <c r="V472" s="301">
        <f t="shared" si="28"/>
        <v>47295697.511947028</v>
      </c>
      <c r="W472" s="301">
        <f t="shared" si="27"/>
        <v>310152826.96437985</v>
      </c>
      <c r="X472" s="301">
        <f t="shared" si="27"/>
        <v>15278963478.034491</v>
      </c>
      <c r="Y472" s="301">
        <f t="shared" si="27"/>
        <v>812161926147.73486</v>
      </c>
      <c r="Z472" s="301">
        <f t="shared" si="27"/>
        <v>44209019744153.555</v>
      </c>
      <c r="AA472" s="301">
        <f t="shared" si="29"/>
        <v>1.7954534704546656E+22</v>
      </c>
      <c r="AB472" s="301">
        <f t="shared" si="29"/>
        <v>310152826.96437985</v>
      </c>
    </row>
    <row r="473" spans="18:28" x14ac:dyDescent="0.25">
      <c r="R473" s="254">
        <f t="shared" si="30"/>
        <v>442</v>
      </c>
      <c r="S473" s="254"/>
      <c r="T473" s="301">
        <f t="shared" si="28"/>
        <v>1613131.4539234298</v>
      </c>
      <c r="U473" s="301">
        <f t="shared" si="28"/>
        <v>8029188.8335128604</v>
      </c>
      <c r="V473" s="301">
        <f t="shared" si="28"/>
        <v>48006132.974626236</v>
      </c>
      <c r="W473" s="301">
        <f t="shared" si="27"/>
        <v>316356883.50366753</v>
      </c>
      <c r="X473" s="301">
        <f t="shared" si="27"/>
        <v>15737333382.375525</v>
      </c>
      <c r="Y473" s="301">
        <f t="shared" si="27"/>
        <v>844648404193.64404</v>
      </c>
      <c r="Z473" s="301">
        <f t="shared" si="27"/>
        <v>46419470732361.234</v>
      </c>
      <c r="AA473" s="301">
        <f t="shared" si="29"/>
        <v>1.9749988175001323E+22</v>
      </c>
      <c r="AB473" s="301">
        <f t="shared" si="29"/>
        <v>316356883.50366753</v>
      </c>
    </row>
    <row r="474" spans="18:28" x14ac:dyDescent="0.25">
      <c r="R474" s="254">
        <f t="shared" si="30"/>
        <v>443</v>
      </c>
      <c r="S474" s="254"/>
      <c r="T474" s="301">
        <f t="shared" si="28"/>
        <v>1622197.1111930469</v>
      </c>
      <c r="U474" s="301">
        <f t="shared" si="28"/>
        <v>8110480.7218479868</v>
      </c>
      <c r="V474" s="301">
        <f t="shared" si="28"/>
        <v>48727224.969245628</v>
      </c>
      <c r="W474" s="301">
        <f t="shared" si="27"/>
        <v>322685021.1737408</v>
      </c>
      <c r="X474" s="301">
        <f t="shared" si="27"/>
        <v>16209454383.846794</v>
      </c>
      <c r="Y474" s="301">
        <f t="shared" si="27"/>
        <v>878434341361.38989</v>
      </c>
      <c r="Z474" s="301">
        <f t="shared" si="27"/>
        <v>48740444269979.305</v>
      </c>
      <c r="AA474" s="301">
        <f t="shared" si="29"/>
        <v>2.1724986992501461E+22</v>
      </c>
      <c r="AB474" s="301">
        <f t="shared" si="29"/>
        <v>322685021.1737408</v>
      </c>
    </row>
    <row r="475" spans="18:28" x14ac:dyDescent="0.25">
      <c r="R475" s="254">
        <f t="shared" si="30"/>
        <v>444</v>
      </c>
      <c r="S475" s="254"/>
      <c r="T475" s="301">
        <f t="shared" si="28"/>
        <v>1631308.0967490119</v>
      </c>
      <c r="U475" s="301">
        <f t="shared" si="28"/>
        <v>8192585.5290664677</v>
      </c>
      <c r="V475" s="301">
        <f t="shared" si="28"/>
        <v>49459133.343784295</v>
      </c>
      <c r="W475" s="301">
        <f t="shared" si="27"/>
        <v>329139721.59721571</v>
      </c>
      <c r="X475" s="301">
        <f t="shared" si="27"/>
        <v>16695739015.362198</v>
      </c>
      <c r="Y475" s="301">
        <f t="shared" si="27"/>
        <v>913571716015.8457</v>
      </c>
      <c r="Z475" s="301">
        <f t="shared" si="27"/>
        <v>51177466484478.266</v>
      </c>
      <c r="AA475" s="301">
        <f t="shared" si="29"/>
        <v>2.38974856917516E+22</v>
      </c>
      <c r="AB475" s="301">
        <f t="shared" si="29"/>
        <v>329139721.59721571</v>
      </c>
    </row>
    <row r="476" spans="18:28" x14ac:dyDescent="0.25">
      <c r="R476" s="254">
        <f t="shared" si="30"/>
        <v>445</v>
      </c>
      <c r="S476" s="254"/>
      <c r="T476" s="301">
        <f t="shared" si="28"/>
        <v>1640464.6372327565</v>
      </c>
      <c r="U476" s="301">
        <f t="shared" si="28"/>
        <v>8275511.3843571311</v>
      </c>
      <c r="V476" s="301">
        <f t="shared" si="28"/>
        <v>50202020.343941063</v>
      </c>
      <c r="W476" s="301">
        <f t="shared" si="27"/>
        <v>335723516.02915996</v>
      </c>
      <c r="X476" s="301">
        <f t="shared" si="27"/>
        <v>17196612185.823055</v>
      </c>
      <c r="Y476" s="301">
        <f t="shared" si="27"/>
        <v>950114585656.47961</v>
      </c>
      <c r="Z476" s="301">
        <f t="shared" si="27"/>
        <v>53736339809702.172</v>
      </c>
      <c r="AA476" s="301">
        <f t="shared" si="29"/>
        <v>2.6287234260926762E+22</v>
      </c>
      <c r="AB476" s="301">
        <f t="shared" si="29"/>
        <v>335723516.02915996</v>
      </c>
    </row>
    <row r="477" spans="18:28" x14ac:dyDescent="0.25">
      <c r="R477" s="254">
        <f t="shared" si="30"/>
        <v>446</v>
      </c>
      <c r="S477" s="254"/>
      <c r="T477" s="301">
        <f t="shared" si="28"/>
        <v>1649666.96041892</v>
      </c>
      <c r="U477" s="301">
        <f t="shared" si="28"/>
        <v>8359266.4982007025</v>
      </c>
      <c r="V477" s="301">
        <f t="shared" si="28"/>
        <v>50956050.649100162</v>
      </c>
      <c r="W477" s="301">
        <f t="shared" si="27"/>
        <v>342438986.34974319</v>
      </c>
      <c r="X477" s="301">
        <f t="shared" si="27"/>
        <v>17712511551.397747</v>
      </c>
      <c r="Y477" s="301">
        <f t="shared" si="27"/>
        <v>988119170082.73865</v>
      </c>
      <c r="Z477" s="301">
        <f t="shared" si="27"/>
        <v>56423156801187.273</v>
      </c>
      <c r="AA477" s="301">
        <f t="shared" si="29"/>
        <v>2.8915957687019446E+22</v>
      </c>
      <c r="AB477" s="301">
        <f t="shared" si="29"/>
        <v>342438986.34974319</v>
      </c>
    </row>
    <row r="478" spans="18:28" x14ac:dyDescent="0.25">
      <c r="R478" s="254">
        <f t="shared" si="30"/>
        <v>447</v>
      </c>
      <c r="S478" s="254"/>
      <c r="T478" s="301">
        <f t="shared" si="28"/>
        <v>1658915.2952210142</v>
      </c>
      <c r="U478" s="301">
        <f t="shared" si="28"/>
        <v>8443859.1631827094</v>
      </c>
      <c r="V478" s="301">
        <f t="shared" si="28"/>
        <v>51721391.408836648</v>
      </c>
      <c r="W478" s="301">
        <f t="shared" si="27"/>
        <v>349288766.076738</v>
      </c>
      <c r="X478" s="301">
        <f t="shared" si="27"/>
        <v>18243887897.939686</v>
      </c>
      <c r="Y478" s="301">
        <f t="shared" si="27"/>
        <v>1027643937886.0481</v>
      </c>
      <c r="Z478" s="301">
        <f t="shared" si="27"/>
        <v>59244314642246.648</v>
      </c>
      <c r="AA478" s="301">
        <f t="shared" si="29"/>
        <v>3.1807553455721391E+22</v>
      </c>
      <c r="AB478" s="301">
        <f t="shared" si="29"/>
        <v>349288766.076738</v>
      </c>
    </row>
    <row r="479" spans="18:28" x14ac:dyDescent="0.25">
      <c r="R479" s="254">
        <f t="shared" si="30"/>
        <v>448</v>
      </c>
      <c r="S479" s="254"/>
      <c r="T479" s="301">
        <f t="shared" si="28"/>
        <v>1668209.8716971187</v>
      </c>
      <c r="U479" s="301">
        <f t="shared" si="28"/>
        <v>8529297.7548145372</v>
      </c>
      <c r="V479" s="301">
        <f t="shared" si="28"/>
        <v>52498212.279969208</v>
      </c>
      <c r="W479" s="301">
        <f t="shared" si="27"/>
        <v>356275541.39827281</v>
      </c>
      <c r="X479" s="301">
        <f t="shared" si="27"/>
        <v>18791205534.877872</v>
      </c>
      <c r="Y479" s="301">
        <f t="shared" si="27"/>
        <v>1068749696401.4901</v>
      </c>
      <c r="Z479" s="301">
        <f t="shared" si="27"/>
        <v>62206530375358.977</v>
      </c>
      <c r="AA479" s="301">
        <f t="shared" si="29"/>
        <v>3.498830880129353E+22</v>
      </c>
      <c r="AB479" s="301">
        <f t="shared" si="29"/>
        <v>356275541.39827281</v>
      </c>
    </row>
    <row r="480" spans="18:28" x14ac:dyDescent="0.25">
      <c r="R480" s="254">
        <f t="shared" si="30"/>
        <v>449</v>
      </c>
      <c r="S480" s="254"/>
      <c r="T480" s="301">
        <f t="shared" si="28"/>
        <v>1677550.9210556045</v>
      </c>
      <c r="U480" s="301">
        <f t="shared" si="28"/>
        <v>8615590.7323626839</v>
      </c>
      <c r="V480" s="301">
        <f t="shared" si="28"/>
        <v>53286685.464168742</v>
      </c>
      <c r="W480" s="301">
        <f t="shared" si="28"/>
        <v>363402052.22623831</v>
      </c>
      <c r="X480" s="301">
        <f t="shared" si="28"/>
        <v>19354942700.92421</v>
      </c>
      <c r="Y480" s="301">
        <f t="shared" si="28"/>
        <v>1111499685257.55</v>
      </c>
      <c r="Z480" s="301">
        <f t="shared" si="28"/>
        <v>65316856895126.938</v>
      </c>
      <c r="AA480" s="301">
        <f t="shared" si="29"/>
        <v>3.8487139681422889E+22</v>
      </c>
      <c r="AB480" s="301">
        <f t="shared" si="29"/>
        <v>363402052.22623831</v>
      </c>
    </row>
    <row r="481" spans="18:28" x14ac:dyDescent="0.25">
      <c r="R481" s="254">
        <f t="shared" si="30"/>
        <v>450</v>
      </c>
      <c r="S481" s="254"/>
      <c r="T481" s="301">
        <f t="shared" ref="T481:X531" si="31">$G$21*(((1+T$31)^($R481)-1)/(T$31))</f>
        <v>1686938.6756608821</v>
      </c>
      <c r="U481" s="301">
        <f t="shared" si="31"/>
        <v>8702746.6396863107</v>
      </c>
      <c r="V481" s="301">
        <f t="shared" si="31"/>
        <v>54086985.746131256</v>
      </c>
      <c r="W481" s="301">
        <f t="shared" si="31"/>
        <v>370671093.27076304</v>
      </c>
      <c r="X481" s="301">
        <f t="shared" si="31"/>
        <v>19935591981.951939</v>
      </c>
      <c r="Y481" s="301">
        <f t="shared" ref="Y481:AB531" si="32">$G$21*(((1+Y$31)^($R481)-1)/(Y$31))</f>
        <v>1155959673667.8518</v>
      </c>
      <c r="Z481" s="301">
        <f t="shared" si="32"/>
        <v>68582699740883.281</v>
      </c>
      <c r="AA481" s="301">
        <f t="shared" si="29"/>
        <v>4.2335853649565183E+22</v>
      </c>
      <c r="AB481" s="301">
        <f t="shared" si="29"/>
        <v>370671093.27076304</v>
      </c>
    </row>
    <row r="482" spans="18:28" x14ac:dyDescent="0.25">
      <c r="R482" s="254">
        <f t="shared" si="30"/>
        <v>451</v>
      </c>
      <c r="S482" s="254"/>
      <c r="T482" s="301">
        <f t="shared" si="31"/>
        <v>1696373.3690391867</v>
      </c>
      <c r="U482" s="301">
        <f t="shared" si="31"/>
        <v>8790774.1060831714</v>
      </c>
      <c r="V482" s="301">
        <f t="shared" si="31"/>
        <v>54899290.532323226</v>
      </c>
      <c r="W482" s="301">
        <f t="shared" si="31"/>
        <v>378085515.13617831</v>
      </c>
      <c r="X482" s="301">
        <f t="shared" si="31"/>
        <v>20533660741.410492</v>
      </c>
      <c r="Y482" s="301">
        <f t="shared" si="32"/>
        <v>1202198061614.5659</v>
      </c>
      <c r="Z482" s="301">
        <f t="shared" si="32"/>
        <v>72011834728927.453</v>
      </c>
      <c r="AA482" s="301">
        <f t="shared" si="29"/>
        <v>4.6569439014521705E+22</v>
      </c>
      <c r="AB482" s="301">
        <f t="shared" si="29"/>
        <v>378085515.13617831</v>
      </c>
    </row>
    <row r="483" spans="18:28" x14ac:dyDescent="0.25">
      <c r="R483" s="254">
        <f t="shared" si="30"/>
        <v>452</v>
      </c>
      <c r="S483" s="254"/>
      <c r="T483" s="301">
        <f t="shared" si="31"/>
        <v>1705855.2358843822</v>
      </c>
      <c r="U483" s="301">
        <f t="shared" si="31"/>
        <v>8879681.847144004</v>
      </c>
      <c r="V483" s="301">
        <f t="shared" si="31"/>
        <v>55723779.890308052</v>
      </c>
      <c r="W483" s="301">
        <f t="shared" si="31"/>
        <v>385648225.43890178</v>
      </c>
      <c r="X483" s="301">
        <f t="shared" si="31"/>
        <v>21149671563.652805</v>
      </c>
      <c r="Y483" s="301">
        <f t="shared" si="32"/>
        <v>1250285985079.1484</v>
      </c>
      <c r="Z483" s="301">
        <f t="shared" si="32"/>
        <v>75612426466373.828</v>
      </c>
      <c r="AA483" s="301">
        <f t="shared" si="32"/>
        <v>5.122638291597387E+22</v>
      </c>
      <c r="AB483" s="301">
        <f t="shared" si="32"/>
        <v>385648225.43890178</v>
      </c>
    </row>
    <row r="484" spans="18:28" x14ac:dyDescent="0.25">
      <c r="R484" s="254">
        <f t="shared" si="30"/>
        <v>453</v>
      </c>
      <c r="S484" s="254"/>
      <c r="T484" s="301">
        <f t="shared" si="31"/>
        <v>1715384.5120638034</v>
      </c>
      <c r="U484" s="301">
        <f t="shared" si="31"/>
        <v>8969478.665615445</v>
      </c>
      <c r="V484" s="301">
        <f t="shared" si="31"/>
        <v>56560636.588662684</v>
      </c>
      <c r="W484" s="301">
        <f t="shared" si="31"/>
        <v>393362189.94767994</v>
      </c>
      <c r="X484" s="301">
        <f t="shared" si="31"/>
        <v>21784162710.562389</v>
      </c>
      <c r="Y484" s="301">
        <f t="shared" si="32"/>
        <v>1300297425482.3147</v>
      </c>
      <c r="Z484" s="301">
        <f t="shared" si="32"/>
        <v>79393047790692.516</v>
      </c>
      <c r="AA484" s="301">
        <f t="shared" si="32"/>
        <v>5.6349021207571271E+22</v>
      </c>
      <c r="AB484" s="301">
        <f t="shared" si="32"/>
        <v>393362189.94767994</v>
      </c>
    </row>
    <row r="485" spans="18:28" x14ac:dyDescent="0.25">
      <c r="R485" s="254">
        <f t="shared" si="30"/>
        <v>454</v>
      </c>
      <c r="S485" s="254"/>
      <c r="T485" s="301">
        <f t="shared" si="31"/>
        <v>1724961.4346241225</v>
      </c>
      <c r="U485" s="301">
        <f t="shared" si="31"/>
        <v>9060173.4522716012</v>
      </c>
      <c r="V485" s="301">
        <f t="shared" si="31"/>
        <v>57410046.137492612</v>
      </c>
      <c r="W485" s="301">
        <f t="shared" si="31"/>
        <v>401230433.74663353</v>
      </c>
      <c r="X485" s="301">
        <f t="shared" si="31"/>
        <v>22437688591.879265</v>
      </c>
      <c r="Y485" s="301">
        <f t="shared" si="32"/>
        <v>1352309323501.6074</v>
      </c>
      <c r="Z485" s="301">
        <f t="shared" si="32"/>
        <v>83362700181227.141</v>
      </c>
      <c r="AA485" s="301">
        <f t="shared" si="32"/>
        <v>6.1983923328328393E+22</v>
      </c>
      <c r="AB485" s="301">
        <f t="shared" si="32"/>
        <v>401230433.74663353</v>
      </c>
    </row>
    <row r="486" spans="18:28" x14ac:dyDescent="0.25">
      <c r="R486" s="254">
        <f t="shared" si="30"/>
        <v>455</v>
      </c>
      <c r="S486" s="254"/>
      <c r="T486" s="301">
        <f t="shared" si="31"/>
        <v>1734586.2417972425</v>
      </c>
      <c r="U486" s="301">
        <f t="shared" si="31"/>
        <v>9151775.1867943127</v>
      </c>
      <c r="V486" s="301">
        <f t="shared" si="31"/>
        <v>58272196.82955499</v>
      </c>
      <c r="W486" s="301">
        <f t="shared" si="31"/>
        <v>409256042.42156613</v>
      </c>
      <c r="X486" s="301">
        <f t="shared" si="31"/>
        <v>23110820249.635639</v>
      </c>
      <c r="Y486" s="301">
        <f t="shared" si="32"/>
        <v>1406401697441.6714</v>
      </c>
      <c r="Z486" s="301">
        <f t="shared" si="32"/>
        <v>87530835191288.5</v>
      </c>
      <c r="AA486" s="301">
        <f t="shared" si="32"/>
        <v>6.8182315661161254E+22</v>
      </c>
      <c r="AB486" s="301">
        <f t="shared" si="32"/>
        <v>409256042.42156613</v>
      </c>
    </row>
    <row r="487" spans="18:28" x14ac:dyDescent="0.25">
      <c r="R487" s="254">
        <f t="shared" si="30"/>
        <v>456</v>
      </c>
      <c r="S487" s="254"/>
      <c r="T487" s="301">
        <f t="shared" si="31"/>
        <v>1744259.1730062286</v>
      </c>
      <c r="U487" s="301">
        <f t="shared" si="31"/>
        <v>9244292.9386622608</v>
      </c>
      <c r="V487" s="301">
        <f t="shared" si="31"/>
        <v>59147279.781998299</v>
      </c>
      <c r="W487" s="301">
        <f t="shared" si="31"/>
        <v>417442163.26999748</v>
      </c>
      <c r="X487" s="301">
        <f t="shared" si="31"/>
        <v>23804145857.124706</v>
      </c>
      <c r="Y487" s="301">
        <f t="shared" si="32"/>
        <v>1462657766339.3386</v>
      </c>
      <c r="Z487" s="301">
        <f t="shared" si="32"/>
        <v>91907376951852.922</v>
      </c>
      <c r="AA487" s="301">
        <f t="shared" si="32"/>
        <v>7.500054722727738E+22</v>
      </c>
      <c r="AB487" s="301">
        <f t="shared" si="32"/>
        <v>417442163.26999748</v>
      </c>
    </row>
    <row r="488" spans="18:28" x14ac:dyDescent="0.25">
      <c r="R488" s="254">
        <f t="shared" si="30"/>
        <v>457</v>
      </c>
      <c r="S488" s="254"/>
      <c r="T488" s="301">
        <f t="shared" si="31"/>
        <v>1753980.4688712601</v>
      </c>
      <c r="U488" s="301">
        <f t="shared" si="31"/>
        <v>9337735.8680488821</v>
      </c>
      <c r="V488" s="301">
        <f t="shared" si="31"/>
        <v>60035488.978728272</v>
      </c>
      <c r="W488" s="301">
        <f t="shared" si="31"/>
        <v>425792006.53539735</v>
      </c>
      <c r="X488" s="301">
        <f t="shared" si="31"/>
        <v>24518271232.838448</v>
      </c>
      <c r="Y488" s="301">
        <f t="shared" si="32"/>
        <v>1521164077992.9124</v>
      </c>
      <c r="Z488" s="301">
        <f t="shared" si="32"/>
        <v>96502745800445.578</v>
      </c>
      <c r="AA488" s="301">
        <f t="shared" si="32"/>
        <v>8.2500601950005115E+22</v>
      </c>
      <c r="AB488" s="301">
        <f t="shared" si="32"/>
        <v>425792006.53539735</v>
      </c>
    </row>
    <row r="489" spans="18:28" x14ac:dyDescent="0.25">
      <c r="R489" s="254">
        <f t="shared" si="30"/>
        <v>458</v>
      </c>
      <c r="S489" s="254"/>
      <c r="T489" s="301">
        <f t="shared" si="31"/>
        <v>1763750.3712156157</v>
      </c>
      <c r="U489" s="301">
        <f t="shared" si="31"/>
        <v>9432113.2267293707</v>
      </c>
      <c r="V489" s="301">
        <f t="shared" si="31"/>
        <v>60937021.313409179</v>
      </c>
      <c r="W489" s="301">
        <f t="shared" si="31"/>
        <v>434308846.66610545</v>
      </c>
      <c r="X489" s="301">
        <f t="shared" si="31"/>
        <v>25253820369.823605</v>
      </c>
      <c r="Y489" s="301">
        <f t="shared" si="32"/>
        <v>1582010642112.6289</v>
      </c>
      <c r="Z489" s="301">
        <f t="shared" si="32"/>
        <v>101327883091467.83</v>
      </c>
      <c r="AA489" s="301">
        <f t="shared" si="32"/>
        <v>9.0750662145005637E+22</v>
      </c>
      <c r="AB489" s="301">
        <f t="shared" si="32"/>
        <v>434308846.66610545</v>
      </c>
    </row>
    <row r="490" spans="18:28" x14ac:dyDescent="0.25">
      <c r="R490" s="254">
        <f t="shared" si="30"/>
        <v>459</v>
      </c>
      <c r="S490" s="254"/>
      <c r="T490" s="301">
        <f t="shared" si="31"/>
        <v>1773569.1230716933</v>
      </c>
      <c r="U490" s="301">
        <f t="shared" si="31"/>
        <v>9527434.3589966632</v>
      </c>
      <c r="V490" s="301">
        <f t="shared" si="31"/>
        <v>61852076.633110307</v>
      </c>
      <c r="W490" s="301">
        <f t="shared" si="31"/>
        <v>442996023.59942734</v>
      </c>
      <c r="X490" s="301">
        <f t="shared" si="31"/>
        <v>26011435980.918312</v>
      </c>
      <c r="Y490" s="301">
        <f t="shared" si="32"/>
        <v>1645291068797.134</v>
      </c>
      <c r="Z490" s="301">
        <f t="shared" si="32"/>
        <v>106394277247041.25</v>
      </c>
      <c r="AA490" s="301">
        <f t="shared" si="32"/>
        <v>9.98257283595062E+22</v>
      </c>
      <c r="AB490" s="301">
        <f t="shared" si="32"/>
        <v>442996023.59942734</v>
      </c>
    </row>
    <row r="491" spans="18:28" x14ac:dyDescent="0.25">
      <c r="R491" s="254">
        <f t="shared" si="30"/>
        <v>460</v>
      </c>
      <c r="S491" s="254"/>
      <c r="T491" s="301">
        <f t="shared" si="31"/>
        <v>1783436.9686870514</v>
      </c>
      <c r="U491" s="301">
        <f t="shared" si="31"/>
        <v>9623708.7025866304</v>
      </c>
      <c r="V491" s="301">
        <f t="shared" si="31"/>
        <v>62780857.782606959</v>
      </c>
      <c r="W491" s="301">
        <f t="shared" si="31"/>
        <v>451856944.07141608</v>
      </c>
      <c r="X491" s="301">
        <f t="shared" si="31"/>
        <v>26791780060.34586</v>
      </c>
      <c r="Y491" s="301">
        <f t="shared" si="32"/>
        <v>1711102712549.019</v>
      </c>
      <c r="Z491" s="301">
        <f t="shared" si="32"/>
        <v>111713991110393.3</v>
      </c>
      <c r="AA491" s="301">
        <f t="shared" si="32"/>
        <v>1.0980830119545681E+23</v>
      </c>
      <c r="AB491" s="301">
        <f t="shared" si="32"/>
        <v>451856944.07141608</v>
      </c>
    </row>
    <row r="492" spans="18:28" x14ac:dyDescent="0.25">
      <c r="R492" s="254">
        <f t="shared" si="30"/>
        <v>461</v>
      </c>
      <c r="S492" s="254"/>
      <c r="T492" s="301">
        <f t="shared" si="31"/>
        <v>1793354.1535304864</v>
      </c>
      <c r="U492" s="301">
        <f t="shared" si="31"/>
        <v>9720945.7896124944</v>
      </c>
      <c r="V492" s="301">
        <f t="shared" si="31"/>
        <v>63723570.649346061</v>
      </c>
      <c r="W492" s="301">
        <f t="shared" si="31"/>
        <v>460895082.95284438</v>
      </c>
      <c r="X492" s="301">
        <f t="shared" si="31"/>
        <v>27595534462.156227</v>
      </c>
      <c r="Y492" s="301">
        <f t="shared" si="32"/>
        <v>1779546822050.9802</v>
      </c>
      <c r="Z492" s="301">
        <f t="shared" si="32"/>
        <v>117299690666913</v>
      </c>
      <c r="AA492" s="301">
        <f t="shared" si="32"/>
        <v>1.207891313150025E+23</v>
      </c>
      <c r="AB492" s="301">
        <f t="shared" si="32"/>
        <v>460895082.95284438</v>
      </c>
    </row>
    <row r="493" spans="18:28" x14ac:dyDescent="0.25">
      <c r="R493" s="254">
        <f t="shared" si="30"/>
        <v>462</v>
      </c>
      <c r="S493" s="254"/>
      <c r="T493" s="301">
        <f t="shared" si="31"/>
        <v>1803320.9242981381</v>
      </c>
      <c r="U493" s="301">
        <f t="shared" si="31"/>
        <v>9819155.2475086227</v>
      </c>
      <c r="V493" s="301">
        <f t="shared" si="31"/>
        <v>64680424.209086239</v>
      </c>
      <c r="W493" s="301">
        <f t="shared" si="31"/>
        <v>470113984.61190128</v>
      </c>
      <c r="X493" s="301">
        <f t="shared" si="31"/>
        <v>28423401496.020927</v>
      </c>
      <c r="Y493" s="301">
        <f t="shared" si="32"/>
        <v>1850728695933.0195</v>
      </c>
      <c r="Z493" s="301">
        <f t="shared" si="32"/>
        <v>123164675201258.59</v>
      </c>
      <c r="AA493" s="301">
        <f t="shared" si="32"/>
        <v>1.3286804444650278E+23</v>
      </c>
      <c r="AB493" s="301">
        <f t="shared" si="32"/>
        <v>470113984.61190128</v>
      </c>
    </row>
    <row r="494" spans="18:28" x14ac:dyDescent="0.25">
      <c r="R494" s="254">
        <f t="shared" si="30"/>
        <v>463</v>
      </c>
      <c r="S494" s="254"/>
      <c r="T494" s="301">
        <f t="shared" si="31"/>
        <v>1813337.5289196288</v>
      </c>
      <c r="U494" s="301">
        <f t="shared" si="31"/>
        <v>9918346.7999837063</v>
      </c>
      <c r="V494" s="301">
        <f t="shared" si="31"/>
        <v>65651630.572222523</v>
      </c>
      <c r="W494" s="301">
        <f t="shared" si="31"/>
        <v>479517264.3041392</v>
      </c>
      <c r="X494" s="301">
        <f t="shared" si="31"/>
        <v>29276104540.90155</v>
      </c>
      <c r="Y494" s="301">
        <f t="shared" si="32"/>
        <v>1924757844770.3401</v>
      </c>
      <c r="Z494" s="301">
        <f t="shared" si="32"/>
        <v>129322908962321.56</v>
      </c>
      <c r="AA494" s="301">
        <f t="shared" si="32"/>
        <v>1.4615484889115305E+23</v>
      </c>
      <c r="AB494" s="301">
        <f t="shared" si="32"/>
        <v>479517264.3041392</v>
      </c>
    </row>
    <row r="495" spans="18:28" x14ac:dyDescent="0.25">
      <c r="R495" s="254">
        <f t="shared" si="30"/>
        <v>464</v>
      </c>
      <c r="S495" s="254"/>
      <c r="T495" s="301">
        <f t="shared" si="31"/>
        <v>1823404.2165642264</v>
      </c>
      <c r="U495" s="301">
        <f t="shared" si="31"/>
        <v>10018530.267983548</v>
      </c>
      <c r="V495" s="301">
        <f t="shared" si="31"/>
        <v>66637405.030805849</v>
      </c>
      <c r="W495" s="301">
        <f t="shared" si="31"/>
        <v>489108609.590222</v>
      </c>
      <c r="X495" s="301">
        <f t="shared" si="31"/>
        <v>30154388677.12859</v>
      </c>
      <c r="Y495" s="301">
        <f t="shared" si="32"/>
        <v>2001748159561.1541</v>
      </c>
      <c r="Z495" s="301">
        <f t="shared" si="32"/>
        <v>135789054411437.66</v>
      </c>
      <c r="AA495" s="301">
        <f t="shared" si="32"/>
        <v>1.6077033378026837E+23</v>
      </c>
      <c r="AB495" s="301">
        <f t="shared" si="32"/>
        <v>489108609.590222</v>
      </c>
    </row>
    <row r="496" spans="18:28" x14ac:dyDescent="0.25">
      <c r="R496" s="254">
        <f t="shared" si="30"/>
        <v>465</v>
      </c>
      <c r="S496" s="254"/>
      <c r="T496" s="301">
        <f t="shared" si="31"/>
        <v>1833521.2376470477</v>
      </c>
      <c r="U496" s="301">
        <f t="shared" si="31"/>
        <v>10119715.570663381</v>
      </c>
      <c r="V496" s="301">
        <f t="shared" si="31"/>
        <v>67637966.106267944</v>
      </c>
      <c r="W496" s="301">
        <f t="shared" si="31"/>
        <v>498891781.78202647</v>
      </c>
      <c r="X496" s="301">
        <f t="shared" si="31"/>
        <v>31059021337.442451</v>
      </c>
      <c r="Y496" s="301">
        <f t="shared" si="32"/>
        <v>2081818086943.6001</v>
      </c>
      <c r="Z496" s="301">
        <f t="shared" si="32"/>
        <v>142578507133009.56</v>
      </c>
      <c r="AA496" s="301">
        <f t="shared" si="32"/>
        <v>1.7684736715829521E+23</v>
      </c>
      <c r="AB496" s="301">
        <f t="shared" si="32"/>
        <v>498891781.78202647</v>
      </c>
    </row>
    <row r="497" spans="18:28" x14ac:dyDescent="0.25">
      <c r="R497" s="254">
        <f t="shared" si="30"/>
        <v>466</v>
      </c>
      <c r="S497" s="254"/>
      <c r="T497" s="301">
        <f t="shared" si="31"/>
        <v>1843688.8438352824</v>
      </c>
      <c r="U497" s="301">
        <f t="shared" si="31"/>
        <v>10221912.72637002</v>
      </c>
      <c r="V497" s="301">
        <f t="shared" si="31"/>
        <v>68653535.597861946</v>
      </c>
      <c r="W497" s="301">
        <f t="shared" si="31"/>
        <v>508870617.41766697</v>
      </c>
      <c r="X497" s="301">
        <f t="shared" si="31"/>
        <v>31990792977.565723</v>
      </c>
      <c r="Y497" s="301">
        <f t="shared" si="32"/>
        <v>2165090811421.3442</v>
      </c>
      <c r="Z497" s="301">
        <f t="shared" si="32"/>
        <v>149707432490660</v>
      </c>
      <c r="AA497" s="301">
        <f t="shared" si="32"/>
        <v>1.9453210387412475E+23</v>
      </c>
      <c r="AB497" s="301">
        <f t="shared" si="32"/>
        <v>508870617.41766697</v>
      </c>
    </row>
    <row r="498" spans="18:28" x14ac:dyDescent="0.25">
      <c r="R498" s="254">
        <f t="shared" si="30"/>
        <v>467</v>
      </c>
      <c r="S498" s="254"/>
      <c r="T498" s="301">
        <f t="shared" si="31"/>
        <v>1853907.2880544586</v>
      </c>
      <c r="U498" s="301">
        <f t="shared" si="31"/>
        <v>10325131.853633715</v>
      </c>
      <c r="V498" s="301">
        <f t="shared" si="31"/>
        <v>69684338.631829843</v>
      </c>
      <c r="W498" s="301">
        <f t="shared" si="31"/>
        <v>519049029.7660203</v>
      </c>
      <c r="X498" s="301">
        <f t="shared" si="31"/>
        <v>32950517766.892693</v>
      </c>
      <c r="Y498" s="301">
        <f t="shared" si="32"/>
        <v>2251694444878.1987</v>
      </c>
      <c r="Z498" s="301">
        <f t="shared" si="32"/>
        <v>157192804116193.03</v>
      </c>
      <c r="AA498" s="301">
        <f t="shared" si="32"/>
        <v>2.1398531426153733E+23</v>
      </c>
      <c r="AB498" s="301">
        <f t="shared" si="32"/>
        <v>519049029.7660203</v>
      </c>
    </row>
    <row r="499" spans="18:28" x14ac:dyDescent="0.25">
      <c r="R499" s="254">
        <f t="shared" si="30"/>
        <v>468</v>
      </c>
      <c r="S499" s="254"/>
      <c r="T499" s="301">
        <f t="shared" si="31"/>
        <v>1864176.8244947307</v>
      </c>
      <c r="U499" s="301">
        <f t="shared" si="31"/>
        <v>10429383.172170056</v>
      </c>
      <c r="V499" s="301">
        <f t="shared" si="31"/>
        <v>70730603.711307302</v>
      </c>
      <c r="W499" s="301">
        <f t="shared" si="31"/>
        <v>529431010.3613407</v>
      </c>
      <c r="X499" s="301">
        <f t="shared" si="31"/>
        <v>33939034299.899475</v>
      </c>
      <c r="Y499" s="301">
        <f t="shared" si="32"/>
        <v>2341762223673.3267</v>
      </c>
      <c r="Z499" s="301">
        <f t="shared" si="32"/>
        <v>165052444323002.66</v>
      </c>
      <c r="AA499" s="301">
        <f t="shared" si="32"/>
        <v>2.3538384568769096E+23</v>
      </c>
      <c r="AB499" s="301">
        <f t="shared" si="32"/>
        <v>529431010.3613407</v>
      </c>
    </row>
    <row r="500" spans="18:28" x14ac:dyDescent="0.25">
      <c r="R500" s="254">
        <f t="shared" si="30"/>
        <v>469</v>
      </c>
      <c r="S500" s="254"/>
      <c r="T500" s="301">
        <f t="shared" si="31"/>
        <v>1874497.7086172039</v>
      </c>
      <c r="U500" s="301">
        <f t="shared" si="31"/>
        <v>10534677.003891751</v>
      </c>
      <c r="V500" s="301">
        <f t="shared" si="31"/>
        <v>71792562.766976908</v>
      </c>
      <c r="W500" s="301">
        <f t="shared" si="31"/>
        <v>540020630.56856751</v>
      </c>
      <c r="X500" s="301">
        <f t="shared" si="31"/>
        <v>34957206328.896454</v>
      </c>
      <c r="Y500" s="301">
        <f t="shared" si="32"/>
        <v>2435432713620.2598</v>
      </c>
      <c r="Z500" s="301">
        <f t="shared" si="32"/>
        <v>173305066540152.81</v>
      </c>
      <c r="AA500" s="301">
        <f t="shared" si="32"/>
        <v>2.5892223025646015E+23</v>
      </c>
      <c r="AB500" s="301">
        <f t="shared" si="32"/>
        <v>540020630.56856751</v>
      </c>
    </row>
    <row r="501" spans="18:28" x14ac:dyDescent="0.25">
      <c r="R501" s="254">
        <f t="shared" si="30"/>
        <v>470</v>
      </c>
      <c r="S501" s="254"/>
      <c r="T501" s="301">
        <f t="shared" si="31"/>
        <v>1884870.1971602894</v>
      </c>
      <c r="U501" s="301">
        <f t="shared" si="31"/>
        <v>10641023.773930674</v>
      </c>
      <c r="V501" s="301">
        <f t="shared" si="31"/>
        <v>72870451.208481535</v>
      </c>
      <c r="W501" s="301">
        <f t="shared" si="31"/>
        <v>550822043.17993891</v>
      </c>
      <c r="X501" s="301">
        <f t="shared" si="31"/>
        <v>36005923518.763351</v>
      </c>
      <c r="Y501" s="301">
        <f t="shared" si="32"/>
        <v>2532850023165.0703</v>
      </c>
      <c r="Z501" s="301">
        <f t="shared" si="32"/>
        <v>181970319868160.41</v>
      </c>
      <c r="AA501" s="301">
        <f t="shared" si="32"/>
        <v>2.8481445328210619E+23</v>
      </c>
      <c r="AB501" s="301">
        <f t="shared" si="32"/>
        <v>550822043.17993891</v>
      </c>
    </row>
    <row r="502" spans="18:28" x14ac:dyDescent="0.25">
      <c r="R502" s="254">
        <f t="shared" si="30"/>
        <v>471</v>
      </c>
      <c r="S502" s="254"/>
      <c r="T502" s="301">
        <f t="shared" si="31"/>
        <v>1895294.5481460905</v>
      </c>
      <c r="U502" s="301">
        <f t="shared" si="31"/>
        <v>10748434.011669977</v>
      </c>
      <c r="V502" s="301">
        <f t="shared" si="31"/>
        <v>73964507.976608738</v>
      </c>
      <c r="W502" s="301">
        <f t="shared" si="31"/>
        <v>561839484.04353762</v>
      </c>
      <c r="X502" s="301">
        <f t="shared" si="31"/>
        <v>37086102224.326256</v>
      </c>
      <c r="Y502" s="301">
        <f t="shared" si="32"/>
        <v>2634164025091.6724</v>
      </c>
      <c r="Z502" s="301">
        <f t="shared" si="32"/>
        <v>191068835862568.44</v>
      </c>
      <c r="AA502" s="301">
        <f t="shared" si="32"/>
        <v>3.1329589861031683E+23</v>
      </c>
      <c r="AB502" s="301">
        <f t="shared" si="32"/>
        <v>561839484.04353762</v>
      </c>
    </row>
    <row r="503" spans="18:28" x14ac:dyDescent="0.25">
      <c r="R503" s="254">
        <f t="shared" si="30"/>
        <v>472</v>
      </c>
      <c r="S503" s="254"/>
      <c r="T503" s="301">
        <f t="shared" si="31"/>
        <v>1905771.0208868212</v>
      </c>
      <c r="U503" s="301">
        <f t="shared" si="31"/>
        <v>10856918.351786679</v>
      </c>
      <c r="V503" s="301">
        <f t="shared" si="31"/>
        <v>75074975.596257865</v>
      </c>
      <c r="W503" s="301">
        <f t="shared" si="31"/>
        <v>573077273.72440839</v>
      </c>
      <c r="X503" s="301">
        <f t="shared" si="31"/>
        <v>38198686291.056038</v>
      </c>
      <c r="Y503" s="301">
        <f t="shared" si="32"/>
        <v>2739530587095.3398</v>
      </c>
      <c r="Z503" s="301">
        <f t="shared" si="32"/>
        <v>200622277656696.84</v>
      </c>
      <c r="AA503" s="301">
        <f t="shared" si="32"/>
        <v>3.4462548847134849E+23</v>
      </c>
      <c r="AB503" s="301">
        <f t="shared" si="32"/>
        <v>573077273.72440839</v>
      </c>
    </row>
    <row r="504" spans="18:28" x14ac:dyDescent="0.25">
      <c r="R504" s="254">
        <f t="shared" ref="R504:R509" si="33">1+R503</f>
        <v>473</v>
      </c>
      <c r="S504" s="254"/>
      <c r="T504" s="301">
        <f t="shared" si="31"/>
        <v>1916299.8759912546</v>
      </c>
      <c r="U504" s="301">
        <f t="shared" si="31"/>
        <v>10966487.535304548</v>
      </c>
      <c r="V504" s="301">
        <f t="shared" si="31"/>
        <v>76202100.230201736</v>
      </c>
      <c r="W504" s="301">
        <f t="shared" si="31"/>
        <v>584539819.19889665</v>
      </c>
      <c r="X504" s="301">
        <f t="shared" si="31"/>
        <v>39344647879.787712</v>
      </c>
      <c r="Y504" s="301">
        <f t="shared" si="32"/>
        <v>2849111811579.1543</v>
      </c>
      <c r="Z504" s="301">
        <f t="shared" si="32"/>
        <v>210653391540531.72</v>
      </c>
      <c r="AA504" s="301">
        <f t="shared" si="32"/>
        <v>3.790880373184834E+23</v>
      </c>
      <c r="AB504" s="301">
        <f t="shared" si="32"/>
        <v>584539819.19889665</v>
      </c>
    </row>
    <row r="505" spans="18:28" x14ac:dyDescent="0.25">
      <c r="R505" s="254">
        <f t="shared" si="33"/>
        <v>474</v>
      </c>
      <c r="S505" s="254"/>
      <c r="T505" s="301">
        <f t="shared" si="31"/>
        <v>1926881.3753712107</v>
      </c>
      <c r="U505" s="301">
        <f t="shared" si="31"/>
        <v>11077152.410657594</v>
      </c>
      <c r="V505" s="301">
        <f t="shared" si="31"/>
        <v>77346131.733654737</v>
      </c>
      <c r="W505" s="301">
        <f t="shared" si="31"/>
        <v>596231615.58287454</v>
      </c>
      <c r="X505" s="301">
        <f t="shared" si="31"/>
        <v>40524988316.181351</v>
      </c>
      <c r="Y505" s="301">
        <f t="shared" si="32"/>
        <v>2963076285042.3198</v>
      </c>
      <c r="Z505" s="301">
        <f t="shared" si="32"/>
        <v>221186061118558.28</v>
      </c>
      <c r="AA505" s="301">
        <f t="shared" si="32"/>
        <v>4.1699684105033176E+23</v>
      </c>
      <c r="AB505" s="301">
        <f t="shared" si="32"/>
        <v>596231615.58287454</v>
      </c>
    </row>
    <row r="506" spans="18:28" x14ac:dyDescent="0.25">
      <c r="R506" s="254">
        <f t="shared" si="33"/>
        <v>475</v>
      </c>
      <c r="S506" s="254"/>
      <c r="T506" s="301">
        <f t="shared" si="31"/>
        <v>1937515.7822480667</v>
      </c>
      <c r="U506" s="301">
        <f t="shared" si="31"/>
        <v>11188923.934764167</v>
      </c>
      <c r="V506" s="301">
        <f t="shared" si="31"/>
        <v>78507323.709659562</v>
      </c>
      <c r="W506" s="301">
        <f t="shared" si="31"/>
        <v>608157247.89453185</v>
      </c>
      <c r="X506" s="301">
        <f t="shared" si="31"/>
        <v>41740738965.666794</v>
      </c>
      <c r="Y506" s="301">
        <f t="shared" si="32"/>
        <v>3081599337444.0132</v>
      </c>
      <c r="Z506" s="301">
        <f t="shared" si="32"/>
        <v>232245364175486.31</v>
      </c>
      <c r="AA506" s="301">
        <f t="shared" si="32"/>
        <v>4.5869652515536505E+23</v>
      </c>
      <c r="AB506" s="301">
        <f t="shared" si="32"/>
        <v>608157247.89453185</v>
      </c>
    </row>
    <row r="507" spans="18:28" x14ac:dyDescent="0.25">
      <c r="R507" s="254">
        <f t="shared" si="33"/>
        <v>476</v>
      </c>
      <c r="S507" s="254"/>
      <c r="T507" s="301">
        <f t="shared" si="31"/>
        <v>1948203.3611593063</v>
      </c>
      <c r="U507" s="301">
        <f t="shared" si="31"/>
        <v>11301813.174111808</v>
      </c>
      <c r="V507" s="301">
        <f t="shared" si="31"/>
        <v>79685933.565304428</v>
      </c>
      <c r="W507" s="301">
        <f t="shared" si="31"/>
        <v>620321392.85242283</v>
      </c>
      <c r="X507" s="301">
        <f t="shared" si="31"/>
        <v>42992962134.636787</v>
      </c>
      <c r="Y507" s="301">
        <f t="shared" si="32"/>
        <v>3204863311941.7739</v>
      </c>
      <c r="Z507" s="301">
        <f t="shared" si="32"/>
        <v>243857632385260.53</v>
      </c>
      <c r="AA507" s="301">
        <f t="shared" si="32"/>
        <v>5.0456617767090148E+23</v>
      </c>
      <c r="AB507" s="301">
        <f t="shared" si="32"/>
        <v>620321392.85242283</v>
      </c>
    </row>
    <row r="508" spans="18:28" x14ac:dyDescent="0.25">
      <c r="R508" s="254">
        <f t="shared" si="33"/>
        <v>477</v>
      </c>
      <c r="S508" s="254"/>
      <c r="T508" s="301">
        <f t="shared" si="31"/>
        <v>1958944.3779651024</v>
      </c>
      <c r="U508" s="301">
        <f t="shared" si="31"/>
        <v>11415831.305852925</v>
      </c>
      <c r="V508" s="301">
        <f t="shared" si="31"/>
        <v>80882222.568783998</v>
      </c>
      <c r="W508" s="301">
        <f t="shared" si="31"/>
        <v>632728820.70947111</v>
      </c>
      <c r="X508" s="301">
        <f t="shared" si="31"/>
        <v>44282751998.675896</v>
      </c>
      <c r="Y508" s="301">
        <f t="shared" si="32"/>
        <v>3333057845419.4448</v>
      </c>
      <c r="Z508" s="301">
        <f t="shared" si="32"/>
        <v>256050514005523.63</v>
      </c>
      <c r="AA508" s="301">
        <f t="shared" si="32"/>
        <v>5.5502279543799157E+23</v>
      </c>
      <c r="AB508" s="301">
        <f t="shared" si="32"/>
        <v>632728820.70947111</v>
      </c>
    </row>
    <row r="509" spans="18:28" x14ac:dyDescent="0.25">
      <c r="R509" s="254">
        <f t="shared" si="33"/>
        <v>478</v>
      </c>
      <c r="S509" s="254"/>
      <c r="T509" s="301">
        <f t="shared" si="31"/>
        <v>1969739.0998549277</v>
      </c>
      <c r="U509" s="301">
        <f t="shared" si="31"/>
        <v>11530989.618911458</v>
      </c>
      <c r="V509" s="301">
        <f t="shared" si="31"/>
        <v>82096455.907315746</v>
      </c>
      <c r="W509" s="301">
        <f t="shared" si="31"/>
        <v>645384397.12366056</v>
      </c>
      <c r="X509" s="301">
        <f t="shared" si="31"/>
        <v>45611235558.636185</v>
      </c>
      <c r="Y509" s="301">
        <f t="shared" si="32"/>
        <v>3466380160236.2222</v>
      </c>
      <c r="Z509" s="301">
        <f t="shared" si="32"/>
        <v>268853039706799.69</v>
      </c>
      <c r="AA509" s="301">
        <f t="shared" si="32"/>
        <v>6.1052507498179096E+23</v>
      </c>
      <c r="AB509" s="301">
        <f t="shared" si="32"/>
        <v>645384397.12366056</v>
      </c>
    </row>
    <row r="510" spans="18:28" x14ac:dyDescent="0.25">
      <c r="R510" s="254">
        <f>1+R509</f>
        <v>479</v>
      </c>
      <c r="S510" s="254"/>
      <c r="T510" s="301">
        <f t="shared" si="31"/>
        <v>1980587.7953542015</v>
      </c>
      <c r="U510" s="301">
        <f t="shared" si="31"/>
        <v>11647299.515100569</v>
      </c>
      <c r="V510" s="301">
        <f t="shared" si="31"/>
        <v>83328902.745925456</v>
      </c>
      <c r="W510" s="301">
        <f t="shared" si="31"/>
        <v>658293085.06613362</v>
      </c>
      <c r="X510" s="301">
        <f t="shared" si="31"/>
        <v>46979573625.395264</v>
      </c>
      <c r="Y510" s="301">
        <f t="shared" si="32"/>
        <v>3605035367645.6719</v>
      </c>
      <c r="Z510" s="301">
        <f t="shared" si="32"/>
        <v>282295691693139.81</v>
      </c>
      <c r="AA510" s="301">
        <f t="shared" si="32"/>
        <v>6.7157758247996996E+23</v>
      </c>
      <c r="AB510" s="301">
        <f t="shared" si="32"/>
        <v>658293085.06613362</v>
      </c>
    </row>
    <row r="511" spans="18:28" x14ac:dyDescent="0.25">
      <c r="R511" s="254">
        <f t="shared" ref="R511:R531" si="34">1+R510</f>
        <v>480</v>
      </c>
      <c r="S511" s="254"/>
      <c r="T511" s="301">
        <f t="shared" si="31"/>
        <v>1991490.7343309724</v>
      </c>
      <c r="U511" s="301">
        <f t="shared" si="31"/>
        <v>11764772.510251578</v>
      </c>
      <c r="V511" s="301">
        <f t="shared" si="31"/>
        <v>84579836.287114337</v>
      </c>
      <c r="W511" s="301">
        <f t="shared" si="31"/>
        <v>671459946.76745629</v>
      </c>
      <c r="X511" s="301">
        <f t="shared" si="31"/>
        <v>48388961834.157112</v>
      </c>
      <c r="Y511" s="301">
        <f t="shared" si="32"/>
        <v>3749236783351.4995</v>
      </c>
      <c r="Z511" s="301">
        <f t="shared" si="32"/>
        <v>296410476278796.75</v>
      </c>
      <c r="AA511" s="301">
        <f t="shared" si="32"/>
        <v>7.3873534072796701E+23</v>
      </c>
      <c r="AB511" s="301">
        <f t="shared" si="32"/>
        <v>671459946.76745629</v>
      </c>
    </row>
    <row r="512" spans="18:28" x14ac:dyDescent="0.25">
      <c r="R512" s="254">
        <f t="shared" si="34"/>
        <v>481</v>
      </c>
      <c r="S512" s="254"/>
      <c r="T512" s="301">
        <f t="shared" si="31"/>
        <v>2002448.1880026271</v>
      </c>
      <c r="U512" s="301">
        <f t="shared" si="31"/>
        <v>11883420.235354096</v>
      </c>
      <c r="V512" s="301">
        <f t="shared" si="31"/>
        <v>85849533.831421033</v>
      </c>
      <c r="W512" s="301">
        <f t="shared" si="31"/>
        <v>684890145.70280552</v>
      </c>
      <c r="X512" s="301">
        <f t="shared" si="31"/>
        <v>49840631689.181831</v>
      </c>
      <c r="Y512" s="301">
        <f t="shared" si="32"/>
        <v>3899206255685.5586</v>
      </c>
      <c r="Z512" s="301">
        <f t="shared" si="32"/>
        <v>311231000093736.63</v>
      </c>
      <c r="AA512" s="301">
        <f t="shared" si="32"/>
        <v>8.1260887480076379E+23</v>
      </c>
      <c r="AB512" s="301">
        <f t="shared" si="32"/>
        <v>684890145.70280552</v>
      </c>
    </row>
    <row r="513" spans="18:28" x14ac:dyDescent="0.25">
      <c r="R513" s="254">
        <f t="shared" si="34"/>
        <v>482</v>
      </c>
      <c r="S513" s="254"/>
      <c r="T513" s="301">
        <f t="shared" si="31"/>
        <v>2013460.4289426398</v>
      </c>
      <c r="U513" s="301">
        <f t="shared" si="31"/>
        <v>12003254.437707635</v>
      </c>
      <c r="V513" s="301">
        <f t="shared" si="31"/>
        <v>87138276.838892341</v>
      </c>
      <c r="W513" s="301">
        <f t="shared" si="31"/>
        <v>698588948.61686146</v>
      </c>
      <c r="X513" s="301">
        <f t="shared" si="31"/>
        <v>51335851639.857269</v>
      </c>
      <c r="Y513" s="301">
        <f t="shared" si="32"/>
        <v>4055174506912.9814</v>
      </c>
      <c r="Z513" s="301">
        <f t="shared" si="32"/>
        <v>326792550099423.38</v>
      </c>
      <c r="AA513" s="301">
        <f t="shared" si="32"/>
        <v>8.9386976228084024E+23</v>
      </c>
      <c r="AB513" s="301">
        <f t="shared" si="32"/>
        <v>698588948.61686146</v>
      </c>
    </row>
    <row r="514" spans="18:28" x14ac:dyDescent="0.25">
      <c r="R514" s="254">
        <f t="shared" si="34"/>
        <v>483</v>
      </c>
      <c r="S514" s="254"/>
      <c r="T514" s="301">
        <f t="shared" si="31"/>
        <v>2024527.7310873533</v>
      </c>
      <c r="U514" s="301">
        <f t="shared" si="31"/>
        <v>12124286.982084708</v>
      </c>
      <c r="V514" s="301">
        <f t="shared" si="31"/>
        <v>88446350.991475716</v>
      </c>
      <c r="W514" s="301">
        <f t="shared" si="31"/>
        <v>712561727.58919883</v>
      </c>
      <c r="X514" s="301">
        <f t="shared" si="31"/>
        <v>52875928189.053001</v>
      </c>
      <c r="Y514" s="301">
        <f t="shared" si="32"/>
        <v>4217381488189.5015</v>
      </c>
      <c r="Z514" s="301">
        <f t="shared" si="32"/>
        <v>343132177605394.69</v>
      </c>
      <c r="AA514" s="301">
        <f t="shared" si="32"/>
        <v>9.8325673850892449E+23</v>
      </c>
      <c r="AB514" s="301">
        <f t="shared" si="32"/>
        <v>712561727.58919883</v>
      </c>
    </row>
    <row r="515" spans="18:28" x14ac:dyDescent="0.25">
      <c r="R515" s="254">
        <f t="shared" si="34"/>
        <v>484</v>
      </c>
      <c r="S515" s="254"/>
      <c r="T515" s="301">
        <f t="shared" si="31"/>
        <v>2035650.3697427893</v>
      </c>
      <c r="U515" s="301">
        <f t="shared" si="31"/>
        <v>12246529.851905556</v>
      </c>
      <c r="V515" s="301">
        <f t="shared" si="31"/>
        <v>89774046.25634785</v>
      </c>
      <c r="W515" s="301">
        <f t="shared" si="31"/>
        <v>726813962.14098275</v>
      </c>
      <c r="X515" s="301">
        <f t="shared" si="31"/>
        <v>54462207034.724586</v>
      </c>
      <c r="Y515" s="301">
        <f t="shared" si="32"/>
        <v>4386076748717.0811</v>
      </c>
      <c r="Z515" s="301">
        <f t="shared" si="32"/>
        <v>360288786486664.31</v>
      </c>
      <c r="AA515" s="301">
        <f t="shared" si="32"/>
        <v>1.081582412359817E+24</v>
      </c>
      <c r="AB515" s="301">
        <f t="shared" si="32"/>
        <v>726813962.14098275</v>
      </c>
    </row>
    <row r="516" spans="18:28" x14ac:dyDescent="0.25">
      <c r="R516" s="254">
        <f t="shared" si="34"/>
        <v>485</v>
      </c>
      <c r="S516" s="254"/>
      <c r="T516" s="301">
        <f t="shared" si="31"/>
        <v>2046828.6215915026</v>
      </c>
      <c r="U516" s="301">
        <f t="shared" si="31"/>
        <v>12369995.150424613</v>
      </c>
      <c r="V516" s="301">
        <f t="shared" si="31"/>
        <v>91121656.950193048</v>
      </c>
      <c r="W516" s="301">
        <f t="shared" si="31"/>
        <v>741351241.38380253</v>
      </c>
      <c r="X516" s="301">
        <f t="shared" si="31"/>
        <v>56096074245.766312</v>
      </c>
      <c r="Y516" s="301">
        <f t="shared" si="32"/>
        <v>4561519819665.7646</v>
      </c>
      <c r="Z516" s="301">
        <f t="shared" si="32"/>
        <v>378303225811997.5</v>
      </c>
      <c r="AA516" s="301">
        <f t="shared" si="32"/>
        <v>1.1897406535957985E+24</v>
      </c>
      <c r="AB516" s="301">
        <f t="shared" si="32"/>
        <v>741351241.38380253</v>
      </c>
    </row>
    <row r="517" spans="18:28" x14ac:dyDescent="0.25">
      <c r="R517" s="254">
        <f t="shared" si="34"/>
        <v>486</v>
      </c>
      <c r="S517" s="254"/>
      <c r="T517" s="301">
        <f t="shared" si="31"/>
        <v>2058062.7646994598</v>
      </c>
      <c r="U517" s="301">
        <f t="shared" si="31"/>
        <v>12494695.10192886</v>
      </c>
      <c r="V517" s="301">
        <f t="shared" si="31"/>
        <v>92489481.804445922</v>
      </c>
      <c r="W517" s="301">
        <f t="shared" si="31"/>
        <v>756179266.21147859</v>
      </c>
      <c r="X517" s="301">
        <f t="shared" si="31"/>
        <v>57778957473.139297</v>
      </c>
      <c r="Y517" s="301">
        <f t="shared" si="32"/>
        <v>4743980613452.3945</v>
      </c>
      <c r="Z517" s="301">
        <f t="shared" si="32"/>
        <v>397218387103597.44</v>
      </c>
      <c r="AA517" s="301">
        <f t="shared" si="32"/>
        <v>1.3087147189553785E+24</v>
      </c>
      <c r="AB517" s="301">
        <f t="shared" si="32"/>
        <v>756179266.21147859</v>
      </c>
    </row>
    <row r="518" spans="18:28" x14ac:dyDescent="0.25">
      <c r="R518" s="254">
        <f t="shared" si="34"/>
        <v>487</v>
      </c>
      <c r="S518" s="254"/>
      <c r="T518" s="301">
        <f t="shared" si="31"/>
        <v>2069353.0785229569</v>
      </c>
      <c r="U518" s="301">
        <f t="shared" si="31"/>
        <v>12620642.052948143</v>
      </c>
      <c r="V518" s="301">
        <f t="shared" si="31"/>
        <v>93877824.031512588</v>
      </c>
      <c r="W518" s="301">
        <f t="shared" si="31"/>
        <v>771303851.53570783</v>
      </c>
      <c r="X518" s="301">
        <f t="shared" si="31"/>
        <v>59512327197.333496</v>
      </c>
      <c r="Y518" s="301">
        <f t="shared" si="32"/>
        <v>4933739838990.4912</v>
      </c>
      <c r="Z518" s="301">
        <f t="shared" si="32"/>
        <v>417079306459777.38</v>
      </c>
      <c r="AA518" s="301">
        <f t="shared" si="32"/>
        <v>1.4395861908509166E+24</v>
      </c>
      <c r="AB518" s="301">
        <f t="shared" si="32"/>
        <v>771303851.53570783</v>
      </c>
    </row>
    <row r="519" spans="18:28" x14ac:dyDescent="0.25">
      <c r="R519" s="254">
        <f t="shared" si="34"/>
        <v>488</v>
      </c>
      <c r="S519" s="254"/>
      <c r="T519" s="301">
        <f t="shared" si="31"/>
        <v>2080699.8439155719</v>
      </c>
      <c r="U519" s="301">
        <f t="shared" si="31"/>
        <v>12747848.473477632</v>
      </c>
      <c r="V519" s="301">
        <f t="shared" si="31"/>
        <v>95286991.391985282</v>
      </c>
      <c r="W519" s="301">
        <f t="shared" si="31"/>
        <v>786730928.56642234</v>
      </c>
      <c r="X519" s="301">
        <f t="shared" si="31"/>
        <v>61297698013.253487</v>
      </c>
      <c r="Y519" s="301">
        <f t="shared" si="32"/>
        <v>5131089433550.1123</v>
      </c>
      <c r="Z519" s="301">
        <f t="shared" si="32"/>
        <v>437933271783766.19</v>
      </c>
      <c r="AA519" s="301">
        <f t="shared" si="32"/>
        <v>1.5835448099360082E+24</v>
      </c>
      <c r="AB519" s="301">
        <f t="shared" si="32"/>
        <v>786730928.56642234</v>
      </c>
    </row>
    <row r="520" spans="18:28" x14ac:dyDescent="0.25">
      <c r="R520" s="254">
        <f t="shared" si="34"/>
        <v>489</v>
      </c>
      <c r="S520" s="254"/>
      <c r="T520" s="301">
        <f t="shared" si="31"/>
        <v>2092103.3431351488</v>
      </c>
      <c r="U520" s="301">
        <f t="shared" si="31"/>
        <v>12876326.958212405</v>
      </c>
      <c r="V520" s="301">
        <f t="shared" si="31"/>
        <v>96717296.262865037</v>
      </c>
      <c r="W520" s="301">
        <f t="shared" si="31"/>
        <v>802466547.13775063</v>
      </c>
      <c r="X520" s="301">
        <f t="shared" si="31"/>
        <v>63136629953.6511</v>
      </c>
      <c r="Y520" s="301">
        <f t="shared" si="32"/>
        <v>5336333011892.1162</v>
      </c>
      <c r="Z520" s="301">
        <f t="shared" si="32"/>
        <v>459829935373954.5</v>
      </c>
      <c r="AA520" s="301">
        <f t="shared" si="32"/>
        <v>1.7418992909296091E+24</v>
      </c>
      <c r="AB520" s="301">
        <f t="shared" si="32"/>
        <v>802466547.13775063</v>
      </c>
    </row>
    <row r="521" spans="18:28" x14ac:dyDescent="0.25">
      <c r="R521" s="254">
        <f t="shared" si="34"/>
        <v>490</v>
      </c>
      <c r="S521" s="254"/>
      <c r="T521" s="301">
        <f t="shared" si="31"/>
        <v>2103563.8598508243</v>
      </c>
      <c r="U521" s="301">
        <f t="shared" si="31"/>
        <v>13006090.227794534</v>
      </c>
      <c r="V521" s="301">
        <f t="shared" si="31"/>
        <v>98169055.706808001</v>
      </c>
      <c r="W521" s="301">
        <f t="shared" si="31"/>
        <v>818516878.08050561</v>
      </c>
      <c r="X521" s="301">
        <f t="shared" si="31"/>
        <v>65030729852.260635</v>
      </c>
      <c r="Y521" s="301">
        <f t="shared" si="32"/>
        <v>5549786333367.8008</v>
      </c>
      <c r="Z521" s="301">
        <f t="shared" si="32"/>
        <v>482821432143652.25</v>
      </c>
      <c r="AA521" s="301">
        <f t="shared" si="32"/>
        <v>1.9160892200225703E+24</v>
      </c>
      <c r="AB521" s="301">
        <f t="shared" si="32"/>
        <v>818516878.08050561</v>
      </c>
    </row>
    <row r="522" spans="18:28" x14ac:dyDescent="0.25">
      <c r="R522" s="254">
        <f t="shared" si="34"/>
        <v>491</v>
      </c>
      <c r="S522" s="254"/>
      <c r="T522" s="301">
        <f t="shared" si="31"/>
        <v>2115081.6791500784</v>
      </c>
      <c r="U522" s="301">
        <f t="shared" si="31"/>
        <v>13137151.130072473</v>
      </c>
      <c r="V522" s="301">
        <f t="shared" si="31"/>
        <v>99642591.542410105</v>
      </c>
      <c r="W522" s="301">
        <f t="shared" si="31"/>
        <v>834888215.64211571</v>
      </c>
      <c r="X522" s="301">
        <f t="shared" si="31"/>
        <v>66981652747.828453</v>
      </c>
      <c r="Y522" s="301">
        <f t="shared" si="32"/>
        <v>5771777787702.5137</v>
      </c>
      <c r="Z522" s="301">
        <f t="shared" si="32"/>
        <v>506962503751834.88</v>
      </c>
      <c r="AA522" s="301">
        <f t="shared" si="32"/>
        <v>2.1076981420248274E+24</v>
      </c>
      <c r="AB522" s="301">
        <f t="shared" si="32"/>
        <v>834888215.64211571</v>
      </c>
    </row>
    <row r="523" spans="18:28" x14ac:dyDescent="0.25">
      <c r="R523" s="254">
        <f t="shared" si="34"/>
        <v>492</v>
      </c>
      <c r="S523" s="254"/>
      <c r="T523" s="301">
        <f t="shared" si="31"/>
        <v>2126657.0875458284</v>
      </c>
      <c r="U523" s="301">
        <f t="shared" si="31"/>
        <v>13269522.6413732</v>
      </c>
      <c r="V523" s="301">
        <f t="shared" si="31"/>
        <v>101138230.41554625</v>
      </c>
      <c r="W523" s="301">
        <f t="shared" si="31"/>
        <v>851586979.9549582</v>
      </c>
      <c r="X523" s="301">
        <f t="shared" si="31"/>
        <v>68991103330.263306</v>
      </c>
      <c r="Y523" s="301">
        <f t="shared" si="32"/>
        <v>6002648900210.6143</v>
      </c>
      <c r="Z523" s="301">
        <f t="shared" si="32"/>
        <v>532310628940426.5</v>
      </c>
      <c r="AA523" s="301">
        <f t="shared" si="32"/>
        <v>2.3184679562273101E+24</v>
      </c>
      <c r="AB523" s="301">
        <f t="shared" si="32"/>
        <v>851586979.9549582</v>
      </c>
    </row>
    <row r="524" spans="18:28" x14ac:dyDescent="0.25">
      <c r="R524" s="254">
        <f t="shared" si="34"/>
        <v>493</v>
      </c>
      <c r="S524" s="254"/>
      <c r="T524" s="301">
        <f t="shared" si="31"/>
        <v>2138290.3729835567</v>
      </c>
      <c r="U524" s="301">
        <f t="shared" si="31"/>
        <v>13403217.867786935</v>
      </c>
      <c r="V524" s="301">
        <f t="shared" si="31"/>
        <v>102656303.87177943</v>
      </c>
      <c r="W524" s="301">
        <f t="shared" si="31"/>
        <v>868619719.55405736</v>
      </c>
      <c r="X524" s="301">
        <f t="shared" si="31"/>
        <v>71060837430.171204</v>
      </c>
      <c r="Y524" s="301">
        <f t="shared" si="32"/>
        <v>6242754857219.0391</v>
      </c>
      <c r="Z524" s="301">
        <f t="shared" si="32"/>
        <v>558926160388448</v>
      </c>
      <c r="AA524" s="301">
        <f t="shared" si="32"/>
        <v>2.5503147518500417E+24</v>
      </c>
      <c r="AB524" s="301">
        <f t="shared" si="32"/>
        <v>868619719.55405736</v>
      </c>
    </row>
    <row r="525" spans="18:28" x14ac:dyDescent="0.25">
      <c r="R525" s="254">
        <f t="shared" si="34"/>
        <v>494</v>
      </c>
      <c r="S525" s="254"/>
      <c r="T525" s="301">
        <f t="shared" si="31"/>
        <v>2149981.8248484745</v>
      </c>
      <c r="U525" s="301">
        <f t="shared" si="31"/>
        <v>13538250.046464805</v>
      </c>
      <c r="V525" s="301">
        <f t="shared" si="31"/>
        <v>104197148.42985611</v>
      </c>
      <c r="W525" s="301">
        <f t="shared" si="31"/>
        <v>885993113.94513845</v>
      </c>
      <c r="X525" s="301">
        <f t="shared" si="31"/>
        <v>73192663553.076324</v>
      </c>
      <c r="Y525" s="301">
        <f t="shared" si="32"/>
        <v>6492465052507.8008</v>
      </c>
      <c r="Z525" s="301">
        <f t="shared" si="32"/>
        <v>586872468408870.25</v>
      </c>
      <c r="AA525" s="301">
        <f t="shared" si="32"/>
        <v>2.8053462270350457E+24</v>
      </c>
      <c r="AB525" s="301">
        <f t="shared" si="32"/>
        <v>885993113.94513845</v>
      </c>
    </row>
    <row r="526" spans="18:28" x14ac:dyDescent="0.25">
      <c r="R526" s="254">
        <f t="shared" si="34"/>
        <v>495</v>
      </c>
      <c r="S526" s="254"/>
      <c r="T526" s="301">
        <f t="shared" si="31"/>
        <v>2161731.7339727157</v>
      </c>
      <c r="U526" s="301">
        <f t="shared" si="31"/>
        <v>13674632.546929449</v>
      </c>
      <c r="V526" s="301">
        <f t="shared" si="31"/>
        <v>105761105.65630393</v>
      </c>
      <c r="W526" s="301">
        <f t="shared" si="31"/>
        <v>903713976.22404099</v>
      </c>
      <c r="X526" s="301">
        <f t="shared" si="31"/>
        <v>75388444459.668625</v>
      </c>
      <c r="Y526" s="301">
        <f t="shared" si="32"/>
        <v>6752163655608.1133</v>
      </c>
      <c r="Z526" s="301">
        <f t="shared" si="32"/>
        <v>616216091830314</v>
      </c>
      <c r="AA526" s="301">
        <f t="shared" si="32"/>
        <v>3.0858808497385511E+24</v>
      </c>
      <c r="AB526" s="301">
        <f t="shared" si="32"/>
        <v>903713976.22404099</v>
      </c>
    </row>
    <row r="527" spans="18:28" x14ac:dyDescent="0.25">
      <c r="R527" s="254">
        <f t="shared" si="34"/>
        <v>496</v>
      </c>
      <c r="S527" s="254"/>
      <c r="T527" s="301">
        <f t="shared" si="31"/>
        <v>2173540.392642579</v>
      </c>
      <c r="U527" s="301">
        <f t="shared" si="31"/>
        <v>13812378.872398747</v>
      </c>
      <c r="V527" s="301">
        <f t="shared" si="31"/>
        <v>107348522.24114846</v>
      </c>
      <c r="W527" s="301">
        <f t="shared" si="31"/>
        <v>921789255.74852204</v>
      </c>
      <c r="X527" s="301">
        <f t="shared" si="31"/>
        <v>77650098793.458694</v>
      </c>
      <c r="Y527" s="301">
        <f t="shared" si="32"/>
        <v>7022250202832.4375</v>
      </c>
      <c r="Z527" s="301">
        <f t="shared" si="32"/>
        <v>647026896422829.75</v>
      </c>
      <c r="AA527" s="301">
        <f t="shared" si="32"/>
        <v>3.3944689347124059E+24</v>
      </c>
      <c r="AB527" s="301">
        <f t="shared" si="32"/>
        <v>921789255.74852204</v>
      </c>
    </row>
    <row r="528" spans="18:28" x14ac:dyDescent="0.25">
      <c r="R528" s="254">
        <f t="shared" si="34"/>
        <v>497</v>
      </c>
      <c r="S528" s="254"/>
      <c r="T528" s="301">
        <f t="shared" si="31"/>
        <v>2185408.0946057923</v>
      </c>
      <c r="U528" s="301">
        <f t="shared" si="31"/>
        <v>13951502.661122737</v>
      </c>
      <c r="V528" s="301">
        <f t="shared" si="31"/>
        <v>108959750.07476568</v>
      </c>
      <c r="W528" s="301">
        <f t="shared" si="31"/>
        <v>940226040.86349237</v>
      </c>
      <c r="X528" s="301">
        <f t="shared" si="31"/>
        <v>79979602757.262421</v>
      </c>
      <c r="Y528" s="301">
        <f t="shared" si="32"/>
        <v>7303140211945.7354</v>
      </c>
      <c r="Z528" s="301">
        <f t="shared" si="32"/>
        <v>679378241244971.25</v>
      </c>
      <c r="AA528" s="301">
        <f t="shared" si="32"/>
        <v>3.7339158281836466E+24</v>
      </c>
      <c r="AB528" s="301">
        <f t="shared" si="32"/>
        <v>940226040.86349237</v>
      </c>
    </row>
    <row r="529" spans="18:28" x14ac:dyDescent="0.25">
      <c r="R529" s="254">
        <f t="shared" si="34"/>
        <v>498</v>
      </c>
      <c r="S529" s="254"/>
      <c r="T529" s="301">
        <f t="shared" si="31"/>
        <v>2197335.1350788209</v>
      </c>
      <c r="U529" s="301">
        <f t="shared" si="31"/>
        <v>14092017.687733961</v>
      </c>
      <c r="V529" s="301">
        <f t="shared" si="31"/>
        <v>110595146.32588717</v>
      </c>
      <c r="W529" s="301">
        <f t="shared" si="31"/>
        <v>959031561.68076229</v>
      </c>
      <c r="X529" s="301">
        <f t="shared" si="31"/>
        <v>82378991839.980301</v>
      </c>
      <c r="Y529" s="301">
        <f t="shared" si="32"/>
        <v>7595265821423.5654</v>
      </c>
      <c r="Z529" s="301">
        <f t="shared" si="32"/>
        <v>713347153308219.75</v>
      </c>
      <c r="AA529" s="301">
        <f t="shared" si="32"/>
        <v>4.1073074110020118E+24</v>
      </c>
      <c r="AB529" s="301">
        <f t="shared" si="32"/>
        <v>959031561.68076229</v>
      </c>
    </row>
    <row r="530" spans="18:28" x14ac:dyDescent="0.25">
      <c r="R530" s="254">
        <f t="shared" si="34"/>
        <v>499</v>
      </c>
      <c r="S530" s="254"/>
      <c r="T530" s="301">
        <f t="shared" si="31"/>
        <v>2209321.8107542149</v>
      </c>
      <c r="U530" s="301">
        <f t="shared" si="31"/>
        <v>14233937.8646113</v>
      </c>
      <c r="V530" s="301">
        <f t="shared" si="31"/>
        <v>112255073.52077545</v>
      </c>
      <c r="W530" s="301">
        <f t="shared" si="31"/>
        <v>978213192.91437745</v>
      </c>
      <c r="X530" s="301">
        <f t="shared" si="31"/>
        <v>84850362595.179703</v>
      </c>
      <c r="Y530" s="301">
        <f t="shared" si="32"/>
        <v>7899076455280.5078</v>
      </c>
      <c r="Z530" s="301">
        <f t="shared" si="32"/>
        <v>749014510974630.75</v>
      </c>
      <c r="AA530" s="301">
        <f t="shared" si="32"/>
        <v>4.5180381521022131E+24</v>
      </c>
      <c r="AB530" s="301">
        <f t="shared" si="32"/>
        <v>978213192.91437745</v>
      </c>
    </row>
    <row r="531" spans="18:28" x14ac:dyDescent="0.25">
      <c r="R531" s="254">
        <f t="shared" si="34"/>
        <v>500</v>
      </c>
      <c r="S531" s="254"/>
      <c r="T531" s="301">
        <f t="shared" si="31"/>
        <v>2221368.419807985</v>
      </c>
      <c r="U531" s="301">
        <f t="shared" si="31"/>
        <v>14377277.243257415</v>
      </c>
      <c r="V531" s="301">
        <f t="shared" si="31"/>
        <v>113939899.62358706</v>
      </c>
      <c r="W531" s="301">
        <f t="shared" si="31"/>
        <v>997778456.77266526</v>
      </c>
      <c r="X531" s="301">
        <f t="shared" si="31"/>
        <v>87395874473.035126</v>
      </c>
      <c r="Y531" s="301">
        <f t="shared" si="32"/>
        <v>8215039514491.7295</v>
      </c>
      <c r="Z531" s="301">
        <f t="shared" si="32"/>
        <v>786465236524362.38</v>
      </c>
      <c r="AA531" s="301">
        <f t="shared" si="32"/>
        <v>4.9698419673124352E+24</v>
      </c>
      <c r="AB531" s="301">
        <f t="shared" si="32"/>
        <v>997778456.77266526</v>
      </c>
    </row>
  </sheetData>
  <sheetProtection selectLockedCells="1"/>
  <mergeCells count="22">
    <mergeCell ref="D17:F18"/>
    <mergeCell ref="D20:F21"/>
    <mergeCell ref="J21:K21"/>
    <mergeCell ref="R9:V11"/>
    <mergeCell ref="M11:N11"/>
    <mergeCell ref="D7:K10"/>
    <mergeCell ref="D11:K12"/>
    <mergeCell ref="H20:I21"/>
    <mergeCell ref="R16:AB17"/>
    <mergeCell ref="I17:J18"/>
    <mergeCell ref="W9:W11"/>
    <mergeCell ref="R29:AB30"/>
    <mergeCell ref="R20:S20"/>
    <mergeCell ref="V20:W20"/>
    <mergeCell ref="X9:Z11"/>
    <mergeCell ref="K34:L35"/>
    <mergeCell ref="I34:J35"/>
    <mergeCell ref="K24:L24"/>
    <mergeCell ref="I26:J26"/>
    <mergeCell ref="E30:F30"/>
    <mergeCell ref="D26:F27"/>
    <mergeCell ref="E23:F24"/>
  </mergeCells>
  <conditionalFormatting sqref="D20:F21 G21 G23">
    <cfRule type="expression" dxfId="42" priority="6">
      <formula>$D$11="Payments"</formula>
    </cfRule>
  </conditionalFormatting>
  <conditionalFormatting sqref="D17:G18">
    <cfRule type="expression" dxfId="41" priority="20">
      <formula>$D$11="Future Value"</formula>
    </cfRule>
    <cfRule type="expression" dxfId="40" priority="21">
      <formula>$M$12="Present Value"</formula>
    </cfRule>
  </conditionalFormatting>
  <conditionalFormatting sqref="D20:G21">
    <cfRule type="expression" dxfId="39" priority="22">
      <formula>$M$12="Both(No x value)"</formula>
    </cfRule>
  </conditionalFormatting>
  <conditionalFormatting sqref="D26:G31 D32:E32 G32 D33:G36">
    <cfRule type="expression" dxfId="38" priority="7">
      <formula>$D$11="Interest"</formula>
    </cfRule>
  </conditionalFormatting>
  <conditionalFormatting sqref="H20:K21">
    <cfRule type="expression" dxfId="37" priority="10">
      <formula>$D$11="Number of periods"</formula>
    </cfRule>
    <cfRule type="expression" dxfId="36" priority="12">
      <formula>$D$11="Number of years"</formula>
    </cfRule>
  </conditionalFormatting>
  <conditionalFormatting sqref="I17 K18">
    <cfRule type="expression" dxfId="35" priority="23">
      <formula>$D$11="Present Value"</formula>
    </cfRule>
    <cfRule type="expression" dxfId="34" priority="24">
      <formula>$M$12="Future Value"</formula>
    </cfRule>
  </conditionalFormatting>
  <conditionalFormatting sqref="I24">
    <cfRule type="expression" dxfId="33" priority="4">
      <formula>$J$21="Number of years"</formula>
    </cfRule>
  </conditionalFormatting>
  <conditionalFormatting sqref="I26:J26">
    <cfRule type="expression" dxfId="32" priority="2">
      <formula>$J$21="Dates"</formula>
    </cfRule>
  </conditionalFormatting>
  <conditionalFormatting sqref="I22:N36">
    <cfRule type="expression" dxfId="31" priority="13">
      <formula>$D$11="Number of years"</formula>
    </cfRule>
  </conditionalFormatting>
  <conditionalFormatting sqref="I23:N36">
    <cfRule type="expression" dxfId="30" priority="11">
      <formula>$D$11="Number of periods"</formula>
    </cfRule>
  </conditionalFormatting>
  <conditionalFormatting sqref="J24:M24">
    <cfRule type="expression" dxfId="29" priority="5">
      <formula>$J$21="Number of years"</formula>
    </cfRule>
  </conditionalFormatting>
  <conditionalFormatting sqref="K26">
    <cfRule type="expression" dxfId="28" priority="3">
      <formula>$J$21="Dates"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7" r:id="rId3" name="SpinButton1">
          <controlPr locked="0" defaultSize="0" autoLine="0" linkedCell="T20" r:id="rId4">
            <anchor moveWithCells="1">
              <from>
                <xdr:col>20</xdr:col>
                <xdr:colOff>53340</xdr:colOff>
                <xdr:row>18</xdr:row>
                <xdr:rowOff>129540</xdr:rowOff>
              </from>
              <to>
                <xdr:col>20</xdr:col>
                <xdr:colOff>502920</xdr:colOff>
                <xdr:row>20</xdr:row>
                <xdr:rowOff>38100</xdr:rowOff>
              </to>
            </anchor>
          </controlPr>
        </control>
      </mc:Choice>
      <mc:Fallback>
        <control shapeId="3077" r:id="rId3" name="SpinButton1"/>
      </mc:Fallback>
    </mc:AlternateContent>
    <mc:AlternateContent xmlns:mc="http://schemas.openxmlformats.org/markup-compatibility/2006">
      <mc:Choice Requires="x14">
        <control shapeId="3078" r:id="rId5" name="btnArr">
          <controlPr defaultSize="0" autoLine="0" r:id="rId6">
            <anchor moveWithCells="1">
              <from>
                <xdr:col>21</xdr:col>
                <xdr:colOff>449580</xdr:colOff>
                <xdr:row>22</xdr:row>
                <xdr:rowOff>15240</xdr:rowOff>
              </from>
              <to>
                <xdr:col>23</xdr:col>
                <xdr:colOff>655320</xdr:colOff>
                <xdr:row>24</xdr:row>
                <xdr:rowOff>106680</xdr:rowOff>
              </to>
            </anchor>
          </controlPr>
        </control>
      </mc:Choice>
      <mc:Fallback>
        <control shapeId="3078" r:id="rId5" name="btnAr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EA795B7-73DA-4061-9036-6D4DFC427CC2}">
          <x14:formula1>
            <xm:f>Dropdown!$O$1:$O$3</xm:f>
          </x14:formula1>
          <xm:sqref>M12</xm:sqref>
        </x14:dataValidation>
        <x14:dataValidation type="list" allowBlank="1" showInputMessage="1" showErrorMessage="1" xr:uid="{865EEA9D-865C-489A-A4CA-C32339041488}">
          <x14:formula1>
            <xm:f>Dropdown!$C$1:$C$2</xm:f>
          </x14:formula1>
          <xm:sqref>E30</xm:sqref>
        </x14:dataValidation>
        <x14:dataValidation type="list" allowBlank="1" showInputMessage="1" showErrorMessage="1" xr:uid="{F4D4CB3D-C9C7-4CCE-9C04-76465D7E6C94}">
          <x14:formula1>
            <xm:f>Dropdown!$J$1:$J$2</xm:f>
          </x14:formula1>
          <xm:sqref>K20 J21</xm:sqref>
        </x14:dataValidation>
        <x14:dataValidation type="list" allowBlank="1" showInputMessage="1" showErrorMessage="1" xr:uid="{64317A22-7AA5-40D3-ADE3-18FFCF2AB2A9}">
          <x14:formula1>
            <xm:f>Dropdown!$G$1:$G$6</xm:f>
          </x14:formula1>
          <xm:sqref>D11:K12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349C5-3B44-47D8-BE51-8ACE8708920A}">
  <sheetPr codeName="Sheet8">
    <tabColor theme="2" tint="-0.749992370372631"/>
  </sheetPr>
  <dimension ref="D6:AB457"/>
  <sheetViews>
    <sheetView showGridLines="0" showRowColHeaders="0" zoomScale="64" zoomScaleNormal="120" workbookViewId="0">
      <selection activeCell="D11" sqref="D11:K12"/>
    </sheetView>
  </sheetViews>
  <sheetFormatPr defaultColWidth="8.69921875" defaultRowHeight="13.8" x14ac:dyDescent="0.25"/>
  <cols>
    <col min="1" max="3" width="8.69921875" style="15"/>
    <col min="4" max="4" width="9.69921875" style="15" bestFit="1" customWidth="1"/>
    <col min="5" max="5" width="8.69921875" style="15"/>
    <col min="6" max="6" width="15.09765625" style="15" customWidth="1"/>
    <col min="7" max="7" width="8.69921875" style="15"/>
    <col min="8" max="8" width="7.8984375" style="15" customWidth="1"/>
    <col min="9" max="9" width="13.3984375" style="15" customWidth="1"/>
    <col min="10" max="10" width="12.09765625" style="15" bestFit="1" customWidth="1"/>
    <col min="11" max="11" width="13.5" style="15" customWidth="1"/>
    <col min="12" max="12" width="1.69921875" style="15" customWidth="1"/>
    <col min="13" max="13" width="15.8984375" style="15" customWidth="1"/>
    <col min="14" max="14" width="1.69921875" style="15" customWidth="1"/>
    <col min="15" max="15" width="8.69921875" style="15"/>
    <col min="16" max="16" width="8.69921875" style="38"/>
    <col min="17" max="17" width="8.69921875" style="15"/>
    <col min="18" max="18" width="9.09765625" style="15" customWidth="1"/>
    <col min="19" max="19" width="2.5" style="15" customWidth="1"/>
    <col min="20" max="21" width="11.3984375" style="15" bestFit="1" customWidth="1"/>
    <col min="22" max="22" width="14.19921875" style="15" bestFit="1" customWidth="1"/>
    <col min="23" max="23" width="11.3984375" style="15" bestFit="1" customWidth="1"/>
    <col min="24" max="24" width="12.69921875" style="15" customWidth="1"/>
    <col min="25" max="25" width="13.8984375" style="15" customWidth="1"/>
    <col min="26" max="26" width="19.69921875" style="15" customWidth="1"/>
    <col min="27" max="27" width="15.59765625" style="15" customWidth="1"/>
    <col min="28" max="16384" width="8.69921875" style="15"/>
  </cols>
  <sheetData>
    <row r="6" spans="4:28" x14ac:dyDescent="0.25">
      <c r="D6" s="25"/>
      <c r="E6" s="25"/>
      <c r="F6" s="25"/>
      <c r="G6" s="25"/>
      <c r="H6" s="25"/>
      <c r="I6" s="25"/>
      <c r="J6" s="25"/>
      <c r="K6" s="25"/>
      <c r="L6" s="204"/>
      <c r="M6" s="204"/>
      <c r="N6" s="204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</row>
    <row r="7" spans="4:28" x14ac:dyDescent="0.25">
      <c r="D7" s="550" t="s">
        <v>30</v>
      </c>
      <c r="E7" s="550"/>
      <c r="F7" s="550"/>
      <c r="G7" s="550"/>
      <c r="H7" s="550"/>
      <c r="I7" s="550"/>
      <c r="J7" s="550"/>
      <c r="K7" s="550"/>
    </row>
    <row r="8" spans="4:28" x14ac:dyDescent="0.25">
      <c r="D8" s="529"/>
      <c r="E8" s="529"/>
      <c r="F8" s="529"/>
      <c r="G8" s="529"/>
      <c r="H8" s="529"/>
      <c r="I8" s="529"/>
      <c r="J8" s="529"/>
      <c r="K8" s="529"/>
    </row>
    <row r="9" spans="4:28" x14ac:dyDescent="0.25">
      <c r="D9" s="529"/>
      <c r="E9" s="529"/>
      <c r="F9" s="529"/>
      <c r="G9" s="529"/>
      <c r="H9" s="529"/>
      <c r="I9" s="529"/>
      <c r="J9" s="529"/>
      <c r="K9" s="529"/>
      <c r="R9" s="549"/>
      <c r="S9" s="549"/>
      <c r="T9" s="549" t="str">
        <f>D11</f>
        <v>Payments</v>
      </c>
      <c r="U9" s="549"/>
      <c r="V9" s="549"/>
      <c r="W9" s="555" t="s">
        <v>41</v>
      </c>
      <c r="X9" s="571" t="str">
        <f>IF(AND(M12="Future Value",D11="Future Value"),TEXT('Annuity-BE'!N8,"R#,00"),IF(AND(M12="Future Value",D11="Present Value"),TEXT('Annuity-BE'!N9,"R#,00"),IF(AND(M12="Future Value",D11="Interest"),TEXT('Annuity-BE'!N14,"0,00%"),IF(AND(M12="Future Value",D11="Number of years"),TEXT('Annuity-BE'!N11,"#,00"),IF(AND(M12="Future Value",D11="Number of periods"),TEXT('Annuity-BE'!N12,"#,00"),IF(AND(M12="Future Value",D11="Payments"),TEXT('Annuity-BE'!N10,"R#,00"),IF(AND(M12="Present Value",D11="Future Value"),TEXT('Annuity-BE'!O8,"R#,00"),IF(AND(M12="Present Value",D11="Present Value"),TEXT('Annuity-BE'!O9,"R#,00"),IF(AND(M12="Present Value",D11="Interest"),TEXT('Annuity-BE'!O14,"0,00%"),IF(AND(M12="Present Value",D11="Number of years"),TEXT('Annuity-BE'!O11,"#,00"),IF(AND(M12="Present Value",D11="Number of periods"),TEXT('Annuity-BE'!O12,"#,00"),IF(AND(M12="Present Value",D11="Payments"),TEXT('Annuity-BE'!O10,"R#,00"),IF(AND(M12="Both(No x value)",D11="Future Value"),TEXT('Annuity-BE'!P8,"R#,00"),IF(AND(M12="Both(No x value)",D11="Present Value"),TEXT('Annuity-BE'!P9,"R#,00"),IF(AND(M12="Both(No x value)",D11="Interest"),TEXT('Annuity-BE'!P14,"0,00%"),IF(AND(M12="Both(No x value)",D11="Number of years"),TEXT('Annuity-BE'!P11,"#,00"),IF(AND(M12="Both(No x value)",D11="Number of periods"),TEXT('Annuity-BE'!P12,"#,00"),IF(AND(M12="Both(No x value)",D11="Payments"),TEXT('Annuity-BE'!P10,"R#,00"),"Do more"))))))))))))))))))</f>
        <v>R1239,12</v>
      </c>
      <c r="Y9" s="571"/>
      <c r="Z9" s="571"/>
    </row>
    <row r="10" spans="4:28" x14ac:dyDescent="0.25">
      <c r="D10" s="529"/>
      <c r="E10" s="529"/>
      <c r="F10" s="529"/>
      <c r="G10" s="529"/>
      <c r="H10" s="529"/>
      <c r="I10" s="529"/>
      <c r="J10" s="529"/>
      <c r="K10" s="529"/>
      <c r="R10" s="549"/>
      <c r="S10" s="549"/>
      <c r="T10" s="549"/>
      <c r="U10" s="549"/>
      <c r="V10" s="549"/>
      <c r="W10" s="555"/>
      <c r="X10" s="571"/>
      <c r="Y10" s="571"/>
      <c r="Z10" s="571"/>
    </row>
    <row r="11" spans="4:28" ht="17.399999999999999" x14ac:dyDescent="0.25">
      <c r="D11" s="556" t="s">
        <v>88</v>
      </c>
      <c r="E11" s="556"/>
      <c r="F11" s="556"/>
      <c r="G11" s="556"/>
      <c r="H11" s="556"/>
      <c r="I11" s="556"/>
      <c r="J11" s="556"/>
      <c r="K11" s="556"/>
      <c r="M11" s="507" t="s">
        <v>65</v>
      </c>
      <c r="N11" s="507"/>
      <c r="R11" s="549"/>
      <c r="S11" s="549"/>
      <c r="T11" s="549"/>
      <c r="U11" s="549"/>
      <c r="V11" s="549"/>
      <c r="W11" s="555"/>
      <c r="X11" s="572"/>
      <c r="Y11" s="572"/>
      <c r="Z11" s="572"/>
    </row>
    <row r="12" spans="4:28" ht="15" x14ac:dyDescent="0.25">
      <c r="D12" s="556"/>
      <c r="E12" s="556"/>
      <c r="F12" s="556"/>
      <c r="G12" s="556"/>
      <c r="H12" s="556"/>
      <c r="I12" s="556"/>
      <c r="J12" s="556"/>
      <c r="K12" s="556"/>
      <c r="M12" s="72" t="s">
        <v>31</v>
      </c>
      <c r="N12" s="45"/>
    </row>
    <row r="14" spans="4:28" x14ac:dyDescent="0.25">
      <c r="D14" s="25"/>
      <c r="E14" s="25"/>
      <c r="F14" s="25"/>
      <c r="G14" s="25"/>
      <c r="H14" s="25"/>
      <c r="I14" s="25"/>
      <c r="J14" s="25"/>
      <c r="K14" s="25"/>
      <c r="L14" s="204"/>
      <c r="M14" s="204"/>
      <c r="N14" s="204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</row>
    <row r="16" spans="4:28" ht="12" customHeight="1" x14ac:dyDescent="0.25">
      <c r="D16" s="541" t="s">
        <v>63</v>
      </c>
      <c r="E16" s="541"/>
      <c r="F16" s="49"/>
      <c r="G16" s="49"/>
      <c r="H16" s="541" t="s">
        <v>64</v>
      </c>
      <c r="I16" s="541"/>
      <c r="J16" s="49"/>
      <c r="K16" s="49"/>
    </row>
    <row r="17" spans="4:28" ht="22.2" customHeight="1" x14ac:dyDescent="0.35">
      <c r="D17" s="541"/>
      <c r="E17" s="541"/>
      <c r="F17" s="73">
        <v>100000</v>
      </c>
      <c r="G17" s="49"/>
      <c r="H17" s="541"/>
      <c r="I17" s="541"/>
      <c r="J17" s="73">
        <v>5000</v>
      </c>
      <c r="K17" s="49"/>
      <c r="R17" s="557" t="s">
        <v>213</v>
      </c>
      <c r="S17" s="557"/>
      <c r="T17" s="557"/>
      <c r="U17" s="557"/>
      <c r="V17" s="557"/>
      <c r="W17" s="557"/>
      <c r="X17" s="557"/>
      <c r="Y17" s="557"/>
      <c r="Z17" s="557"/>
      <c r="AA17" s="557"/>
      <c r="AB17" s="557"/>
    </row>
    <row r="18" spans="4:28" x14ac:dyDescent="0.25">
      <c r="R18" s="241"/>
      <c r="S18" s="235"/>
      <c r="T18" s="235"/>
      <c r="U18" s="235"/>
      <c r="V18" s="242"/>
      <c r="W18" s="242"/>
      <c r="X18" s="242"/>
      <c r="Y18" s="242"/>
      <c r="Z18" s="242"/>
      <c r="AA18" s="242"/>
      <c r="AB18" s="243"/>
    </row>
    <row r="19" spans="4:28" ht="12.6" customHeight="1" x14ac:dyDescent="0.25">
      <c r="D19" s="541" t="s">
        <v>10</v>
      </c>
      <c r="E19" s="541"/>
      <c r="F19" s="49"/>
      <c r="G19" s="49"/>
      <c r="H19" s="541" t="s">
        <v>11</v>
      </c>
      <c r="I19" s="541"/>
      <c r="K19" s="49"/>
      <c r="R19" s="236"/>
      <c r="S19" s="205"/>
      <c r="T19" s="205"/>
      <c r="U19" s="205"/>
      <c r="V19" s="205"/>
      <c r="W19" s="205"/>
      <c r="X19" s="205"/>
      <c r="Y19" s="205"/>
      <c r="Z19" s="205"/>
      <c r="AA19" s="205"/>
      <c r="AB19" s="237"/>
    </row>
    <row r="20" spans="4:28" ht="21.6" customHeight="1" x14ac:dyDescent="0.3">
      <c r="D20" s="541"/>
      <c r="E20" s="541"/>
      <c r="F20" s="83">
        <v>12</v>
      </c>
      <c r="G20" s="49" t="s">
        <v>101</v>
      </c>
      <c r="H20" s="541"/>
      <c r="I20" s="541"/>
      <c r="J20" s="540" t="s">
        <v>34</v>
      </c>
      <c r="K20" s="540"/>
      <c r="R20" s="558" t="s">
        <v>214</v>
      </c>
      <c r="S20" s="559"/>
      <c r="T20" s="394">
        <v>25</v>
      </c>
      <c r="V20" s="245" t="s">
        <v>217</v>
      </c>
      <c r="W20" s="566">
        <f>VLOOKUP(T20,R30:AA457,10,FALSE)</f>
        <v>43311.744618673009</v>
      </c>
      <c r="X20" s="566"/>
      <c r="Z20" s="244" t="s">
        <v>219</v>
      </c>
      <c r="AA20" s="567">
        <f>W20-AA23</f>
        <v>18311.744618673009</v>
      </c>
      <c r="AB20" s="568"/>
    </row>
    <row r="21" spans="4:28" x14ac:dyDescent="0.25">
      <c r="G21" s="69"/>
      <c r="R21" s="238"/>
      <c r="AB21" s="239"/>
    </row>
    <row r="22" spans="4:28" ht="15" customHeight="1" x14ac:dyDescent="0.25">
      <c r="D22" s="541" t="s">
        <v>66</v>
      </c>
      <c r="E22" s="541"/>
      <c r="F22" s="53"/>
      <c r="G22" s="53"/>
      <c r="I22" s="34"/>
      <c r="J22" s="32"/>
      <c r="K22" s="32"/>
      <c r="L22" s="32"/>
      <c r="M22" s="32"/>
      <c r="N22" s="36"/>
      <c r="R22" s="238"/>
      <c r="AB22" s="239"/>
    </row>
    <row r="23" spans="4:28" ht="21" customHeight="1" x14ac:dyDescent="0.3">
      <c r="D23" s="541"/>
      <c r="E23" s="541"/>
      <c r="F23" s="84">
        <v>1000</v>
      </c>
      <c r="G23" s="53"/>
      <c r="I23" s="40" t="s">
        <v>87</v>
      </c>
      <c r="J23" s="75">
        <v>43224</v>
      </c>
      <c r="K23" s="538" t="s">
        <v>86</v>
      </c>
      <c r="L23" s="538"/>
      <c r="M23" s="75">
        <v>43438</v>
      </c>
      <c r="N23" s="31"/>
      <c r="R23" s="240"/>
      <c r="S23" s="203"/>
      <c r="T23" s="203"/>
      <c r="U23" s="203"/>
      <c r="V23" s="203"/>
      <c r="W23" s="203"/>
      <c r="X23" s="386" t="s">
        <v>297</v>
      </c>
      <c r="Y23" s="203"/>
      <c r="Z23" s="244" t="s">
        <v>220</v>
      </c>
      <c r="AA23" s="569">
        <f>F23*T20</f>
        <v>25000</v>
      </c>
      <c r="AB23" s="570"/>
    </row>
    <row r="24" spans="4:28" x14ac:dyDescent="0.25">
      <c r="I24" s="30"/>
      <c r="N24" s="31"/>
    </row>
    <row r="25" spans="4:28" ht="15.6" x14ac:dyDescent="0.3">
      <c r="D25" s="541" t="s">
        <v>9</v>
      </c>
      <c r="E25" s="541"/>
      <c r="G25" s="53"/>
      <c r="I25" s="573" t="s">
        <v>36</v>
      </c>
      <c r="J25" s="574"/>
      <c r="K25" s="81">
        <v>3</v>
      </c>
      <c r="N25" s="31"/>
    </row>
    <row r="26" spans="4:28" ht="13.95" customHeight="1" x14ac:dyDescent="0.25">
      <c r="D26" s="541"/>
      <c r="E26" s="541"/>
      <c r="F26" s="85">
        <f>IF(E29="Yes",Converter!X29,'Annuity-In advance'!E31)</f>
        <v>0.04</v>
      </c>
      <c r="G26" s="53"/>
      <c r="I26" s="30"/>
      <c r="N26" s="31"/>
    </row>
    <row r="27" spans="4:28" x14ac:dyDescent="0.25">
      <c r="I27" s="30"/>
      <c r="N27" s="31"/>
      <c r="R27" s="560" t="s">
        <v>215</v>
      </c>
      <c r="S27" s="561"/>
      <c r="T27" s="561"/>
      <c r="U27" s="561"/>
      <c r="V27" s="561"/>
      <c r="W27" s="561"/>
      <c r="X27" s="561"/>
      <c r="Y27" s="561"/>
      <c r="Z27" s="561"/>
      <c r="AA27" s="562"/>
    </row>
    <row r="28" spans="4:28" ht="13.95" customHeight="1" x14ac:dyDescent="0.25">
      <c r="D28" s="34"/>
      <c r="E28" s="32"/>
      <c r="F28" s="32"/>
      <c r="G28" s="36"/>
      <c r="I28" s="30"/>
      <c r="K28" s="43"/>
      <c r="N28" s="31"/>
      <c r="R28" s="563"/>
      <c r="S28" s="564"/>
      <c r="T28" s="564"/>
      <c r="U28" s="564"/>
      <c r="V28" s="564"/>
      <c r="W28" s="564"/>
      <c r="X28" s="564"/>
      <c r="Y28" s="564"/>
      <c r="Z28" s="564"/>
      <c r="AA28" s="565"/>
    </row>
    <row r="29" spans="4:28" ht="15.6" customHeight="1" x14ac:dyDescent="0.25">
      <c r="D29" s="40" t="s">
        <v>69</v>
      </c>
      <c r="E29" s="576" t="s">
        <v>15</v>
      </c>
      <c r="F29" s="576"/>
      <c r="G29" s="31"/>
      <c r="I29" s="30"/>
      <c r="K29" s="47">
        <f>IF(J20="Dates",YEARFRAC(J23,M23,1),K25)</f>
        <v>3</v>
      </c>
      <c r="N29" s="31"/>
      <c r="R29" s="248" t="s">
        <v>106</v>
      </c>
      <c r="S29" s="249"/>
      <c r="T29" s="250">
        <v>5.0000000000000001E-3</v>
      </c>
      <c r="U29" s="251">
        <v>0.01</v>
      </c>
      <c r="V29" s="250">
        <v>1.4999999999999999E-2</v>
      </c>
      <c r="W29" s="251">
        <v>0.03</v>
      </c>
      <c r="X29" s="251">
        <v>0.04</v>
      </c>
      <c r="Y29" s="251">
        <v>0.05</v>
      </c>
      <c r="Z29" s="251">
        <v>0.1</v>
      </c>
      <c r="AA29" s="252">
        <f>F26</f>
        <v>0.04</v>
      </c>
    </row>
    <row r="30" spans="4:28" ht="13.95" customHeight="1" x14ac:dyDescent="0.25">
      <c r="D30" s="30"/>
      <c r="G30" s="31"/>
      <c r="I30" s="30"/>
      <c r="K30" s="55"/>
      <c r="N30" s="31"/>
      <c r="R30" s="253">
        <f>1</f>
        <v>1</v>
      </c>
      <c r="S30" s="253"/>
      <c r="T30" s="255">
        <f>IF($M$12="Both(No x value)","Do more",$F$23*(((1+$T$29)^(R30)-1)/$T$29)*(1+$T$29))</f>
        <v>1004.9999999999784</v>
      </c>
      <c r="U30" s="256">
        <f>IF($M$12="Both(No x value)","Do more",$F$23*(((1+$U$29)^(R30)-1)/$U$29)*(1+$U$29))</f>
        <v>1010.0000000000009</v>
      </c>
      <c r="V30" s="257">
        <f>IF($M$12="Both(No x value)","Do more",$F$23*(((1+$V$29)^(R30)-1)/$V$29)*(1+$V$29))</f>
        <v>1014.9999999999933</v>
      </c>
      <c r="W30" s="255">
        <f>IF($M$12="Both(No x value)","Do more",$F$23*(((1+W$29)^(R30)-1)/$W$29)*(1+$W$29))</f>
        <v>1030.0000000000009</v>
      </c>
      <c r="X30" s="257">
        <f>IF(M12="Both(No x value)","Do more",$F$23*(((1+$X$29)^(R30)-1)/$X$29)*(1+$X$29))</f>
        <v>1040.0000000000009</v>
      </c>
      <c r="Y30" s="255">
        <f>IF(M12="Both(No x value)","Do more",$F$23*(((1+$Y$29)^(R30)-1)/$Y$29)*(1+$Y$29))</f>
        <v>1050.0000000000009</v>
      </c>
      <c r="Z30" s="257">
        <f>IF(M12="Both(No x value)","Do more",$F$23*(((1+$Z$29)^(R30)-1)/$Z$29)*(1+$Z$29))</f>
        <v>1100.0000000000011</v>
      </c>
      <c r="AA30" s="257">
        <f>IF(M12="Both(No x value)","Do more",$F$23*(((1+$AA$29)^(R30)-1)/$AA$29)*(1+$AA$29))</f>
        <v>1040.0000000000009</v>
      </c>
    </row>
    <row r="31" spans="4:28" ht="15.6" x14ac:dyDescent="0.25">
      <c r="D31" s="40" t="s">
        <v>9</v>
      </c>
      <c r="E31" s="82">
        <v>0.04</v>
      </c>
      <c r="F31" s="53"/>
      <c r="G31" s="31"/>
      <c r="I31" s="30"/>
      <c r="N31" s="31"/>
      <c r="R31" s="253">
        <f>1+R30</f>
        <v>2</v>
      </c>
      <c r="S31" s="253"/>
      <c r="T31" s="255">
        <f t="shared" ref="T31:T94" si="0">IF($M$12="Both(No x value)","Do more",$F$23*(((1+$T$29)^(R31)-1)/$T$29)*(1+$T$29))</f>
        <v>2015.0249999999451</v>
      </c>
      <c r="U31" s="256">
        <f t="shared" ref="U31:U94" si="1">IF($M$12="Both(No x value)","Do more",$F$23*(((1+$U$29)^(R31)-1)/$U$29)*(1+$U$29))</f>
        <v>2030.1000000000008</v>
      </c>
      <c r="V31" s="257">
        <f t="shared" ref="V31:V94" si="2">IF($M$12="Both(No x value)","Do more",$F$23*(((1+$V$29)^(R31)-1)/$V$29)*(1+$V$29))</f>
        <v>2045.2249999999813</v>
      </c>
      <c r="W31" s="255">
        <f t="shared" ref="W31:W94" si="3">IF($M$12="Both(No x value)","Do more",$F$23*(((1+W$29)^(R31)-1)/$W$29)*(1+$W$29))</f>
        <v>2090.8999999999983</v>
      </c>
      <c r="X31" s="257">
        <f t="shared" ref="X31:X94" si="4">IF(M13="Both(No x value)","Do more",$F$23*(((1+$X$29)^(R31)-1)/$X$29)*(1+$X$29))</f>
        <v>2121.6000000000031</v>
      </c>
      <c r="Y31" s="255">
        <f t="shared" ref="Y31:Y94" si="5">IF(M13="Both(No x value)","Do more",$F$23*(((1+$Y$29)^(R31)-1)/$Y$29)*(1+$Y$29))</f>
        <v>2152.5000000000009</v>
      </c>
      <c r="Z31" s="257">
        <f t="shared" ref="Z31:Z94" si="6">IF(M13="Both(No x value)","Do more",$F$23*(((1+$Z$29)^(R31)-1)/$Z$29)*(1+$Z$29))</f>
        <v>2310.0000000000023</v>
      </c>
      <c r="AA31" s="257">
        <f t="shared" ref="AA31:AA94" si="7">IF(M13="Both(No x value)","Do more",$F$23*(((1+$AA$29)^(R31)-1)/$AA$29)*(1+$AA$29))</f>
        <v>2121.6000000000031</v>
      </c>
    </row>
    <row r="32" spans="4:28" x14ac:dyDescent="0.25">
      <c r="D32" s="30"/>
      <c r="G32" s="31"/>
      <c r="I32" s="34"/>
      <c r="J32" s="32"/>
      <c r="K32" s="32"/>
      <c r="L32" s="32"/>
      <c r="M32" s="32"/>
      <c r="N32" s="36"/>
      <c r="R32" s="253">
        <f t="shared" ref="R32:R95" si="8">1+R31</f>
        <v>3</v>
      </c>
      <c r="S32" s="253"/>
      <c r="T32" s="255">
        <f t="shared" si="0"/>
        <v>3030.1001249999263</v>
      </c>
      <c r="U32" s="256">
        <f t="shared" si="1"/>
        <v>3060.4009999999912</v>
      </c>
      <c r="V32" s="257">
        <f t="shared" si="2"/>
        <v>3090.903374999973</v>
      </c>
      <c r="W32" s="255">
        <f t="shared" si="3"/>
        <v>3183.6270000000009</v>
      </c>
      <c r="X32" s="257">
        <f t="shared" si="4"/>
        <v>3246.4640000000022</v>
      </c>
      <c r="Y32" s="255">
        <f t="shared" si="5"/>
        <v>3310.1250000000032</v>
      </c>
      <c r="Z32" s="257">
        <f t="shared" si="6"/>
        <v>3641.000000000005</v>
      </c>
      <c r="AA32" s="257">
        <f t="shared" si="7"/>
        <v>3246.4640000000022</v>
      </c>
    </row>
    <row r="33" spans="4:27" x14ac:dyDescent="0.25">
      <c r="D33" s="30"/>
      <c r="G33" s="31"/>
      <c r="I33" s="539" t="s">
        <v>70</v>
      </c>
      <c r="J33" s="538"/>
      <c r="K33" s="575">
        <f>F20*K29</f>
        <v>36</v>
      </c>
      <c r="N33" s="31"/>
      <c r="R33" s="253">
        <f t="shared" si="8"/>
        <v>4</v>
      </c>
      <c r="S33" s="253"/>
      <c r="T33" s="255">
        <f t="shared" si="0"/>
        <v>4050.250625624868</v>
      </c>
      <c r="U33" s="256">
        <f t="shared" si="1"/>
        <v>4101.0050100000026</v>
      </c>
      <c r="V33" s="257">
        <f t="shared" si="2"/>
        <v>4152.2669256249619</v>
      </c>
      <c r="W33" s="255">
        <f t="shared" si="3"/>
        <v>4309.1358099999979</v>
      </c>
      <c r="X33" s="257">
        <f t="shared" si="4"/>
        <v>4416.3225600000051</v>
      </c>
      <c r="Y33" s="255">
        <f t="shared" si="5"/>
        <v>4525.6312500000004</v>
      </c>
      <c r="Z33" s="257">
        <f t="shared" si="6"/>
        <v>5105.100000000004</v>
      </c>
      <c r="AA33" s="257">
        <f t="shared" si="7"/>
        <v>4416.3225600000051</v>
      </c>
    </row>
    <row r="34" spans="4:27" x14ac:dyDescent="0.25">
      <c r="D34" s="30"/>
      <c r="G34" s="31"/>
      <c r="I34" s="539"/>
      <c r="J34" s="538"/>
      <c r="K34" s="575"/>
      <c r="N34" s="31"/>
      <c r="R34" s="253">
        <f t="shared" si="8"/>
        <v>5</v>
      </c>
      <c r="S34" s="253"/>
      <c r="T34" s="255">
        <f t="shared" si="0"/>
        <v>5075.5018787529543</v>
      </c>
      <c r="U34" s="256">
        <f t="shared" si="1"/>
        <v>5152.0150600999923</v>
      </c>
      <c r="V34" s="257">
        <f t="shared" si="2"/>
        <v>5229.550929509327</v>
      </c>
      <c r="W34" s="255">
        <f t="shared" si="3"/>
        <v>5468.4098842999956</v>
      </c>
      <c r="X34" s="257">
        <f t="shared" si="4"/>
        <v>5632.9754624000079</v>
      </c>
      <c r="Y34" s="255">
        <f t="shared" si="5"/>
        <v>5801.9128125000034</v>
      </c>
      <c r="Z34" s="257">
        <f t="shared" si="6"/>
        <v>6715.6100000000069</v>
      </c>
      <c r="AA34" s="257">
        <f t="shared" si="7"/>
        <v>5632.9754624000079</v>
      </c>
    </row>
    <row r="35" spans="4:27" x14ac:dyDescent="0.25">
      <c r="D35" s="35"/>
      <c r="E35" s="33"/>
      <c r="F35" s="33"/>
      <c r="G35" s="37"/>
      <c r="I35" s="35"/>
      <c r="J35" s="33"/>
      <c r="K35" s="33"/>
      <c r="L35" s="33"/>
      <c r="M35" s="33"/>
      <c r="N35" s="37"/>
      <c r="R35" s="253">
        <f t="shared" si="8"/>
        <v>6</v>
      </c>
      <c r="S35" s="253"/>
      <c r="T35" s="255">
        <f t="shared" si="0"/>
        <v>6105.8793881466845</v>
      </c>
      <c r="U35" s="256">
        <f t="shared" si="1"/>
        <v>6213.5352107010131</v>
      </c>
      <c r="V35" s="257">
        <f t="shared" si="2"/>
        <v>6322.994193451952</v>
      </c>
      <c r="W35" s="255">
        <f t="shared" si="3"/>
        <v>6662.4621808289976</v>
      </c>
      <c r="X35" s="257">
        <f t="shared" si="4"/>
        <v>6898.2944808960092</v>
      </c>
      <c r="Y35" s="255">
        <f t="shared" si="5"/>
        <v>7142.0084531250004</v>
      </c>
      <c r="Z35" s="257">
        <f t="shared" si="6"/>
        <v>8487.1710000000094</v>
      </c>
      <c r="AA35" s="257">
        <f t="shared" si="7"/>
        <v>6898.2944808960092</v>
      </c>
    </row>
    <row r="36" spans="4:27" x14ac:dyDescent="0.25">
      <c r="R36" s="253">
        <f t="shared" si="8"/>
        <v>7</v>
      </c>
      <c r="S36" s="253"/>
      <c r="T36" s="255">
        <f t="shared" si="0"/>
        <v>7141.4087850873948</v>
      </c>
      <c r="U36" s="256">
        <f t="shared" si="1"/>
        <v>7285.6705628079926</v>
      </c>
      <c r="V36" s="257">
        <f t="shared" si="2"/>
        <v>7432.8391063537192</v>
      </c>
      <c r="W36" s="255">
        <f t="shared" si="3"/>
        <v>7892.3360462538694</v>
      </c>
      <c r="X36" s="257">
        <f t="shared" si="4"/>
        <v>8214.2262601318471</v>
      </c>
      <c r="Y36" s="255">
        <f t="shared" si="5"/>
        <v>8549.1088757812558</v>
      </c>
      <c r="Z36" s="257">
        <f t="shared" si="6"/>
        <v>10435.888100000013</v>
      </c>
      <c r="AA36" s="257">
        <f t="shared" si="7"/>
        <v>8214.2262601318471</v>
      </c>
    </row>
    <row r="37" spans="4:27" x14ac:dyDescent="0.25">
      <c r="R37" s="253">
        <f t="shared" si="8"/>
        <v>8</v>
      </c>
      <c r="S37" s="253"/>
      <c r="T37" s="255">
        <f t="shared" si="0"/>
        <v>8182.1158290128142</v>
      </c>
      <c r="U37" s="256">
        <f t="shared" si="1"/>
        <v>8368.5272684361025</v>
      </c>
      <c r="V37" s="257">
        <f t="shared" si="2"/>
        <v>8559.3316929490193</v>
      </c>
      <c r="W37" s="255">
        <f t="shared" si="3"/>
        <v>9159.1061276414821</v>
      </c>
      <c r="X37" s="257">
        <f t="shared" si="4"/>
        <v>9582.7953105371271</v>
      </c>
      <c r="Y37" s="255">
        <f t="shared" si="5"/>
        <v>10026.564319570314</v>
      </c>
      <c r="Z37" s="257">
        <f t="shared" si="6"/>
        <v>12579.476910000014</v>
      </c>
      <c r="AA37" s="257">
        <f t="shared" si="7"/>
        <v>9582.7953105371271</v>
      </c>
    </row>
    <row r="38" spans="4:27" x14ac:dyDescent="0.25">
      <c r="R38" s="253">
        <f t="shared" si="8"/>
        <v>9</v>
      </c>
      <c r="S38" s="253"/>
      <c r="T38" s="255">
        <f t="shared" si="0"/>
        <v>9228.026408157868</v>
      </c>
      <c r="U38" s="256">
        <f t="shared" si="1"/>
        <v>9462.2125411204725</v>
      </c>
      <c r="V38" s="257">
        <f t="shared" si="2"/>
        <v>9702.7216683432453</v>
      </c>
      <c r="W38" s="255">
        <f t="shared" si="3"/>
        <v>10463.879311470726</v>
      </c>
      <c r="X38" s="257">
        <f t="shared" si="4"/>
        <v>11006.107122958614</v>
      </c>
      <c r="Y38" s="255">
        <f t="shared" si="5"/>
        <v>11577.892535548832</v>
      </c>
      <c r="Z38" s="257">
        <f t="shared" si="6"/>
        <v>14937.424601000017</v>
      </c>
      <c r="AA38" s="257">
        <f t="shared" si="7"/>
        <v>11006.107122958614</v>
      </c>
    </row>
    <row r="39" spans="4:27" x14ac:dyDescent="0.25">
      <c r="R39" s="253">
        <f t="shared" si="8"/>
        <v>10</v>
      </c>
      <c r="S39" s="253"/>
      <c r="T39" s="255">
        <f t="shared" si="0"/>
        <v>10279.166540198619</v>
      </c>
      <c r="U39" s="256">
        <f t="shared" si="1"/>
        <v>10566.834666531679</v>
      </c>
      <c r="V39" s="257">
        <f t="shared" si="2"/>
        <v>10863.262493368386</v>
      </c>
      <c r="W39" s="255">
        <f t="shared" si="3"/>
        <v>11807.79569081485</v>
      </c>
      <c r="X39" s="257">
        <f t="shared" si="4"/>
        <v>12486.351407876959</v>
      </c>
      <c r="Y39" s="255">
        <f t="shared" si="5"/>
        <v>13206.787162326273</v>
      </c>
      <c r="Z39" s="257">
        <f t="shared" si="6"/>
        <v>17531.167061100019</v>
      </c>
      <c r="AA39" s="257">
        <f t="shared" si="7"/>
        <v>12486.351407876959</v>
      </c>
    </row>
    <row r="40" spans="4:27" x14ac:dyDescent="0.25">
      <c r="R40" s="253">
        <f t="shared" si="8"/>
        <v>11</v>
      </c>
      <c r="S40" s="253"/>
      <c r="T40" s="255">
        <f t="shared" si="0"/>
        <v>11335.562372899596</v>
      </c>
      <c r="U40" s="256">
        <f t="shared" si="1"/>
        <v>11682.503013196971</v>
      </c>
      <c r="V40" s="257">
        <f t="shared" si="2"/>
        <v>12041.211430768901</v>
      </c>
      <c r="W40" s="255">
        <f t="shared" si="3"/>
        <v>13192.029561539295</v>
      </c>
      <c r="X40" s="257">
        <f t="shared" si="4"/>
        <v>14025.805464192035</v>
      </c>
      <c r="Y40" s="255">
        <f t="shared" si="5"/>
        <v>14917.126520442589</v>
      </c>
      <c r="Z40" s="257">
        <f t="shared" si="6"/>
        <v>20384.283767210032</v>
      </c>
      <c r="AA40" s="257">
        <f t="shared" si="7"/>
        <v>14025.805464192035</v>
      </c>
    </row>
    <row r="41" spans="4:27" x14ac:dyDescent="0.25">
      <c r="R41" s="253">
        <f t="shared" si="8"/>
        <v>12</v>
      </c>
      <c r="S41" s="253"/>
      <c r="T41" s="255">
        <f t="shared" si="0"/>
        <v>12397.240184764018</v>
      </c>
      <c r="U41" s="256">
        <f t="shared" si="1"/>
        <v>12809.328043328946</v>
      </c>
      <c r="V41" s="257">
        <f t="shared" si="2"/>
        <v>13236.829602230417</v>
      </c>
      <c r="W41" s="255">
        <f t="shared" si="3"/>
        <v>14617.790448385467</v>
      </c>
      <c r="X41" s="257">
        <f t="shared" si="4"/>
        <v>15626.837682759724</v>
      </c>
      <c r="Y41" s="255">
        <f t="shared" si="5"/>
        <v>16712.982846464714</v>
      </c>
      <c r="Z41" s="257">
        <f t="shared" si="6"/>
        <v>23522.712143931029</v>
      </c>
      <c r="AA41" s="257">
        <f t="shared" si="7"/>
        <v>15626.837682759724</v>
      </c>
    </row>
    <row r="42" spans="4:27" ht="14.4" customHeight="1" x14ac:dyDescent="0.25">
      <c r="R42" s="253">
        <f t="shared" si="8"/>
        <v>13</v>
      </c>
      <c r="S42" s="253"/>
      <c r="T42" s="255">
        <f t="shared" si="0"/>
        <v>13464.226385687822</v>
      </c>
      <c r="U42" s="256">
        <f t="shared" si="1"/>
        <v>13947.421323762239</v>
      </c>
      <c r="V42" s="257">
        <f t="shared" si="2"/>
        <v>14450.382046263869</v>
      </c>
      <c r="W42" s="255">
        <f t="shared" si="3"/>
        <v>16086.32416183703</v>
      </c>
      <c r="X42" s="257">
        <f t="shared" si="4"/>
        <v>17291.911190070114</v>
      </c>
      <c r="Y42" s="255">
        <f t="shared" si="5"/>
        <v>18598.631988787954</v>
      </c>
      <c r="Z42" s="257">
        <f t="shared" si="6"/>
        <v>26974.983358324134</v>
      </c>
      <c r="AA42" s="257">
        <f t="shared" si="7"/>
        <v>17291.911190070114</v>
      </c>
    </row>
    <row r="43" spans="4:27" ht="13.8" customHeight="1" x14ac:dyDescent="0.25">
      <c r="R43" s="253">
        <f t="shared" si="8"/>
        <v>14</v>
      </c>
      <c r="S43" s="253"/>
      <c r="T43" s="255">
        <f t="shared" si="0"/>
        <v>14536.547517616222</v>
      </c>
      <c r="U43" s="256">
        <f t="shared" si="1"/>
        <v>15096.895536999878</v>
      </c>
      <c r="V43" s="257">
        <f t="shared" si="2"/>
        <v>15682.137776957805</v>
      </c>
      <c r="W43" s="255">
        <f t="shared" si="3"/>
        <v>17598.913886692146</v>
      </c>
      <c r="X43" s="257">
        <f t="shared" si="4"/>
        <v>19023.587637672917</v>
      </c>
      <c r="Y43" s="255">
        <f t="shared" si="5"/>
        <v>20578.563588227345</v>
      </c>
      <c r="Z43" s="257">
        <f t="shared" si="6"/>
        <v>30772.481694156555</v>
      </c>
      <c r="AA43" s="257">
        <f t="shared" si="7"/>
        <v>19023.587637672917</v>
      </c>
    </row>
    <row r="44" spans="4:27" x14ac:dyDescent="0.25">
      <c r="R44" s="253">
        <f t="shared" si="8"/>
        <v>15</v>
      </c>
      <c r="S44" s="253"/>
      <c r="T44" s="255">
        <f t="shared" si="0"/>
        <v>15614.230255204251</v>
      </c>
      <c r="U44" s="256">
        <f t="shared" si="1"/>
        <v>16257.864492369845</v>
      </c>
      <c r="V44" s="257">
        <f t="shared" si="2"/>
        <v>16932.369843612159</v>
      </c>
      <c r="W44" s="255">
        <f t="shared" si="3"/>
        <v>19156.881303292914</v>
      </c>
      <c r="X44" s="257">
        <f t="shared" si="4"/>
        <v>20824.531143179836</v>
      </c>
      <c r="Y44" s="255">
        <f t="shared" si="5"/>
        <v>22657.491767638727</v>
      </c>
      <c r="Z44" s="257">
        <f t="shared" si="6"/>
        <v>34949.729863572211</v>
      </c>
      <c r="AA44" s="257">
        <f t="shared" si="7"/>
        <v>20824.531143179836</v>
      </c>
    </row>
    <row r="45" spans="4:27" x14ac:dyDescent="0.25">
      <c r="R45" s="253">
        <f t="shared" si="8"/>
        <v>16</v>
      </c>
      <c r="S45" s="253"/>
      <c r="T45" s="255">
        <f t="shared" si="0"/>
        <v>16697.301406480252</v>
      </c>
      <c r="U45" s="256">
        <f t="shared" si="1"/>
        <v>17430.44313729358</v>
      </c>
      <c r="V45" s="257">
        <f t="shared" si="2"/>
        <v>18201.35539126633</v>
      </c>
      <c r="W45" s="255">
        <f t="shared" si="3"/>
        <v>20761.58774239169</v>
      </c>
      <c r="X45" s="257">
        <f t="shared" si="4"/>
        <v>22697.512388907038</v>
      </c>
      <c r="Y45" s="255">
        <f t="shared" si="5"/>
        <v>24840.366356020655</v>
      </c>
      <c r="Z45" s="257">
        <f t="shared" si="6"/>
        <v>39544.702849929432</v>
      </c>
      <c r="AA45" s="257">
        <f t="shared" si="7"/>
        <v>22697.512388907038</v>
      </c>
    </row>
    <row r="46" spans="4:27" x14ac:dyDescent="0.25">
      <c r="R46" s="253">
        <f t="shared" si="8"/>
        <v>17</v>
      </c>
      <c r="S46" s="253"/>
      <c r="T46" s="255">
        <f t="shared" si="0"/>
        <v>17785.787913512642</v>
      </c>
      <c r="U46" s="256">
        <f t="shared" si="1"/>
        <v>18614.74756866652</v>
      </c>
      <c r="V46" s="257">
        <f t="shared" si="2"/>
        <v>19489.375722135315</v>
      </c>
      <c r="W46" s="255">
        <f t="shared" si="3"/>
        <v>22414.435374663441</v>
      </c>
      <c r="X46" s="257">
        <f t="shared" si="4"/>
        <v>24645.412884463316</v>
      </c>
      <c r="Y46" s="255">
        <f t="shared" si="5"/>
        <v>27132.384673821696</v>
      </c>
      <c r="Z46" s="257">
        <f t="shared" si="6"/>
        <v>44599.173134922377</v>
      </c>
      <c r="AA46" s="257">
        <f t="shared" si="7"/>
        <v>24645.412884463316</v>
      </c>
    </row>
    <row r="47" spans="4:27" x14ac:dyDescent="0.25">
      <c r="R47" s="253">
        <f t="shared" si="8"/>
        <v>18</v>
      </c>
      <c r="S47" s="253"/>
      <c r="T47" s="255">
        <f t="shared" si="0"/>
        <v>18879.716853080135</v>
      </c>
      <c r="U47" s="256">
        <f t="shared" si="1"/>
        <v>19810.89504435319</v>
      </c>
      <c r="V47" s="257">
        <f t="shared" si="2"/>
        <v>20796.71635796734</v>
      </c>
      <c r="W47" s="255">
        <f t="shared" si="3"/>
        <v>24116.868435903343</v>
      </c>
      <c r="X47" s="257">
        <f t="shared" si="4"/>
        <v>26671.229399841861</v>
      </c>
      <c r="Y47" s="255">
        <f t="shared" si="5"/>
        <v>29539.003907512779</v>
      </c>
      <c r="Z47" s="257">
        <f t="shared" si="6"/>
        <v>50159.090448414616</v>
      </c>
      <c r="AA47" s="257">
        <f t="shared" si="7"/>
        <v>26671.229399841861</v>
      </c>
    </row>
    <row r="48" spans="4:27" x14ac:dyDescent="0.25">
      <c r="R48" s="253">
        <f t="shared" si="8"/>
        <v>19</v>
      </c>
      <c r="S48" s="253"/>
      <c r="T48" s="255">
        <f t="shared" si="0"/>
        <v>19979.115437345517</v>
      </c>
      <c r="U48" s="256">
        <f t="shared" si="1"/>
        <v>21019.003994796694</v>
      </c>
      <c r="V48" s="257">
        <f t="shared" si="2"/>
        <v>22123.667103336837</v>
      </c>
      <c r="W48" s="255">
        <f t="shared" si="3"/>
        <v>25870.374488980444</v>
      </c>
      <c r="X48" s="257">
        <f t="shared" si="4"/>
        <v>28778.078575835534</v>
      </c>
      <c r="Y48" s="255">
        <f t="shared" si="5"/>
        <v>32065.95410288842</v>
      </c>
      <c r="Z48" s="257">
        <f t="shared" si="6"/>
        <v>56274.999493256095</v>
      </c>
      <c r="AA48" s="257">
        <f t="shared" si="7"/>
        <v>28778.078575835534</v>
      </c>
    </row>
    <row r="49" spans="18:27" x14ac:dyDescent="0.25">
      <c r="R49" s="253">
        <f t="shared" si="8"/>
        <v>20</v>
      </c>
      <c r="S49" s="253"/>
      <c r="T49" s="255">
        <f t="shared" si="0"/>
        <v>21084.011014532221</v>
      </c>
      <c r="U49" s="256">
        <f t="shared" si="1"/>
        <v>22239.194034744673</v>
      </c>
      <c r="V49" s="257">
        <f t="shared" si="2"/>
        <v>23470.522109886864</v>
      </c>
      <c r="W49" s="255">
        <f t="shared" si="3"/>
        <v>27676.485723649854</v>
      </c>
      <c r="X49" s="257">
        <f t="shared" si="4"/>
        <v>30969.201718868953</v>
      </c>
      <c r="Y49" s="255">
        <f t="shared" si="5"/>
        <v>34719.251808032837</v>
      </c>
      <c r="Z49" s="257">
        <f t="shared" si="6"/>
        <v>63002.499442581699</v>
      </c>
      <c r="AA49" s="257">
        <f t="shared" si="7"/>
        <v>30969.201718868953</v>
      </c>
    </row>
    <row r="50" spans="18:27" x14ac:dyDescent="0.25">
      <c r="R50" s="253">
        <f t="shared" si="8"/>
        <v>21</v>
      </c>
      <c r="S50" s="253"/>
      <c r="T50" s="255">
        <f t="shared" si="0"/>
        <v>22194.431069604827</v>
      </c>
      <c r="U50" s="256">
        <f t="shared" si="1"/>
        <v>23471.585975092108</v>
      </c>
      <c r="V50" s="257">
        <f t="shared" si="2"/>
        <v>24837.579941535158</v>
      </c>
      <c r="W50" s="255">
        <f t="shared" si="3"/>
        <v>29536.780295359342</v>
      </c>
      <c r="X50" s="257">
        <f t="shared" si="4"/>
        <v>33247.969787623726</v>
      </c>
      <c r="Y50" s="255">
        <f t="shared" si="5"/>
        <v>37505.21439843448</v>
      </c>
      <c r="Z50" s="257">
        <f t="shared" si="6"/>
        <v>70402.749386839889</v>
      </c>
      <c r="AA50" s="257">
        <f t="shared" si="7"/>
        <v>33247.969787623726</v>
      </c>
    </row>
    <row r="51" spans="18:27" x14ac:dyDescent="0.25">
      <c r="R51" s="253">
        <f t="shared" si="8"/>
        <v>22</v>
      </c>
      <c r="S51" s="253"/>
      <c r="T51" s="255">
        <f t="shared" si="0"/>
        <v>23310.403224952817</v>
      </c>
      <c r="U51" s="256">
        <f t="shared" si="1"/>
        <v>24716.30183484306</v>
      </c>
      <c r="V51" s="257">
        <f t="shared" si="2"/>
        <v>26225.143640658167</v>
      </c>
      <c r="W51" s="255">
        <f t="shared" si="3"/>
        <v>31452.88370422013</v>
      </c>
      <c r="X51" s="257">
        <f t="shared" si="4"/>
        <v>35617.888579128674</v>
      </c>
      <c r="Y51" s="255">
        <f t="shared" si="5"/>
        <v>40430.475118356197</v>
      </c>
      <c r="Z51" s="257">
        <f t="shared" si="6"/>
        <v>78543.024325523889</v>
      </c>
      <c r="AA51" s="257">
        <f t="shared" si="7"/>
        <v>35617.888579128674</v>
      </c>
    </row>
    <row r="52" spans="18:27" x14ac:dyDescent="0.25">
      <c r="R52" s="253">
        <f t="shared" si="8"/>
        <v>23</v>
      </c>
      <c r="S52" s="253"/>
      <c r="T52" s="255">
        <f t="shared" si="0"/>
        <v>24431.955241077532</v>
      </c>
      <c r="U52" s="256">
        <f t="shared" si="1"/>
        <v>25973.464853191468</v>
      </c>
      <c r="V52" s="257">
        <f t="shared" si="2"/>
        <v>27633.520795268032</v>
      </c>
      <c r="W52" s="255">
        <f t="shared" si="3"/>
        <v>33426.470215346737</v>
      </c>
      <c r="X52" s="257">
        <f t="shared" si="4"/>
        <v>38082.604122293815</v>
      </c>
      <c r="Y52" s="255">
        <f t="shared" si="5"/>
        <v>43501.998874274017</v>
      </c>
      <c r="Z52" s="257">
        <f t="shared" si="6"/>
        <v>87497.326758076291</v>
      </c>
      <c r="AA52" s="257">
        <f t="shared" si="7"/>
        <v>38082.604122293815</v>
      </c>
    </row>
    <row r="53" spans="18:27" x14ac:dyDescent="0.25">
      <c r="R53" s="253">
        <f t="shared" si="8"/>
        <v>24</v>
      </c>
      <c r="S53" s="253"/>
      <c r="T53" s="255">
        <f t="shared" si="0"/>
        <v>25559.11501728294</v>
      </c>
      <c r="U53" s="256">
        <f t="shared" si="1"/>
        <v>27243.199501723411</v>
      </c>
      <c r="V53" s="257">
        <f t="shared" si="2"/>
        <v>29063.023607197036</v>
      </c>
      <c r="W53" s="255">
        <f t="shared" si="3"/>
        <v>35459.264321807124</v>
      </c>
      <c r="X53" s="257">
        <f t="shared" si="4"/>
        <v>40645.908287185572</v>
      </c>
      <c r="Y53" s="255">
        <f t="shared" si="5"/>
        <v>46727.098817987709</v>
      </c>
      <c r="Z53" s="257">
        <f t="shared" si="6"/>
        <v>97347.0594338839</v>
      </c>
      <c r="AA53" s="257">
        <f t="shared" si="7"/>
        <v>40645.908287185572</v>
      </c>
    </row>
    <row r="54" spans="18:27" x14ac:dyDescent="0.25">
      <c r="R54" s="253">
        <f t="shared" si="8"/>
        <v>25</v>
      </c>
      <c r="S54" s="253"/>
      <c r="T54" s="255">
        <f t="shared" si="0"/>
        <v>26691.91059236931</v>
      </c>
      <c r="U54" s="256">
        <f t="shared" si="1"/>
        <v>28525.631496740662</v>
      </c>
      <c r="V54" s="257">
        <f t="shared" si="2"/>
        <v>30513.968961304992</v>
      </c>
      <c r="W54" s="255">
        <f t="shared" si="3"/>
        <v>37553.042251461338</v>
      </c>
      <c r="X54" s="257">
        <f t="shared" si="4"/>
        <v>43311.744618673009</v>
      </c>
      <c r="Y54" s="255">
        <f t="shared" si="5"/>
        <v>50113.453758887103</v>
      </c>
      <c r="Z54" s="257">
        <f t="shared" si="6"/>
        <v>108181.7653772723</v>
      </c>
      <c r="AA54" s="257">
        <f t="shared" si="7"/>
        <v>43311.744618673009</v>
      </c>
    </row>
    <row r="55" spans="18:27" x14ac:dyDescent="0.25">
      <c r="R55" s="253">
        <f t="shared" si="8"/>
        <v>26</v>
      </c>
      <c r="S55" s="253"/>
      <c r="T55" s="255">
        <f t="shared" si="0"/>
        <v>27830.370145331126</v>
      </c>
      <c r="U55" s="256">
        <f t="shared" si="1"/>
        <v>29820.88781170806</v>
      </c>
      <c r="V55" s="257">
        <f t="shared" si="2"/>
        <v>31986.678495724547</v>
      </c>
      <c r="W55" s="255">
        <f t="shared" si="3"/>
        <v>39709.633519005198</v>
      </c>
      <c r="X55" s="257">
        <f t="shared" si="4"/>
        <v>46084.214403419915</v>
      </c>
      <c r="Y55" s="255">
        <f t="shared" si="5"/>
        <v>53669.126446831462</v>
      </c>
      <c r="Z55" s="257">
        <f t="shared" si="6"/>
        <v>120099.94191499954</v>
      </c>
      <c r="AA55" s="257">
        <f t="shared" si="7"/>
        <v>46084.214403419915</v>
      </c>
    </row>
    <row r="56" spans="18:27" x14ac:dyDescent="0.25">
      <c r="R56" s="253">
        <f t="shared" si="8"/>
        <v>27</v>
      </c>
      <c r="S56" s="253"/>
      <c r="T56" s="255">
        <f t="shared" si="0"/>
        <v>28974.521996057745</v>
      </c>
      <c r="U56" s="256">
        <f t="shared" si="1"/>
        <v>31129.096689825099</v>
      </c>
      <c r="V56" s="257">
        <f t="shared" si="2"/>
        <v>33481.478673160404</v>
      </c>
      <c r="W56" s="255">
        <f t="shared" si="3"/>
        <v>41930.922524575348</v>
      </c>
      <c r="X56" s="257">
        <f t="shared" si="4"/>
        <v>48967.582979556719</v>
      </c>
      <c r="Y56" s="255">
        <f t="shared" si="5"/>
        <v>57402.582769173037</v>
      </c>
      <c r="Z56" s="257">
        <f t="shared" si="6"/>
        <v>133209.93610649952</v>
      </c>
      <c r="AA56" s="257">
        <f t="shared" si="7"/>
        <v>48967.582979556719</v>
      </c>
    </row>
    <row r="57" spans="18:27" x14ac:dyDescent="0.25">
      <c r="R57" s="253">
        <f t="shared" si="8"/>
        <v>28</v>
      </c>
      <c r="S57" s="253"/>
      <c r="T57" s="255">
        <f t="shared" si="0"/>
        <v>30124.394606037982</v>
      </c>
      <c r="U57" s="256">
        <f t="shared" si="1"/>
        <v>32450.38765672336</v>
      </c>
      <c r="V57" s="257">
        <f t="shared" si="2"/>
        <v>34998.700853257782</v>
      </c>
      <c r="W57" s="255">
        <f t="shared" si="3"/>
        <v>44218.850200312605</v>
      </c>
      <c r="X57" s="257">
        <f t="shared" si="4"/>
        <v>51966.286298739004</v>
      </c>
      <c r="Y57" s="255">
        <f t="shared" si="5"/>
        <v>61322.711907631674</v>
      </c>
      <c r="Z57" s="257">
        <f t="shared" si="6"/>
        <v>147630.92971714944</v>
      </c>
      <c r="AA57" s="257">
        <f t="shared" si="7"/>
        <v>51966.286298739004</v>
      </c>
    </row>
    <row r="58" spans="18:27" x14ac:dyDescent="0.25">
      <c r="R58" s="253">
        <f t="shared" si="8"/>
        <v>29</v>
      </c>
      <c r="S58" s="253"/>
      <c r="T58" s="255">
        <f t="shared" si="0"/>
        <v>31280.016579068139</v>
      </c>
      <c r="U58" s="256">
        <f t="shared" si="1"/>
        <v>33784.891533290604</v>
      </c>
      <c r="V58" s="257">
        <f t="shared" si="2"/>
        <v>36538.681366056655</v>
      </c>
      <c r="W58" s="255">
        <f t="shared" si="3"/>
        <v>46575.415706321975</v>
      </c>
      <c r="X58" s="257">
        <f t="shared" si="4"/>
        <v>55084.937750688565</v>
      </c>
      <c r="Y58" s="255">
        <f t="shared" si="5"/>
        <v>65438.847503013283</v>
      </c>
      <c r="Z58" s="257">
        <f t="shared" si="6"/>
        <v>163494.02268886444</v>
      </c>
      <c r="AA58" s="257">
        <f t="shared" si="7"/>
        <v>55084.937750688565</v>
      </c>
    </row>
    <row r="59" spans="18:27" x14ac:dyDescent="0.25">
      <c r="R59" s="253">
        <f t="shared" si="8"/>
        <v>30</v>
      </c>
      <c r="S59" s="253"/>
      <c r="T59" s="255">
        <f t="shared" si="0"/>
        <v>32441.416661963452</v>
      </c>
      <c r="U59" s="256">
        <f t="shared" si="1"/>
        <v>35132.740448623532</v>
      </c>
      <c r="V59" s="257">
        <f t="shared" si="2"/>
        <v>38101.761586547473</v>
      </c>
      <c r="W59" s="255">
        <f t="shared" si="3"/>
        <v>49002.678177511625</v>
      </c>
      <c r="X59" s="257">
        <f t="shared" si="4"/>
        <v>58328.335260716092</v>
      </c>
      <c r="Y59" s="255">
        <f t="shared" si="5"/>
        <v>69760.789878163923</v>
      </c>
      <c r="Z59" s="257">
        <f t="shared" si="6"/>
        <v>180943.42495775089</v>
      </c>
      <c r="AA59" s="257">
        <f t="shared" si="7"/>
        <v>58328.335260716092</v>
      </c>
    </row>
    <row r="60" spans="18:27" x14ac:dyDescent="0.25">
      <c r="R60" s="253">
        <f t="shared" si="8"/>
        <v>31</v>
      </c>
      <c r="S60" s="253"/>
      <c r="T60" s="255">
        <f t="shared" si="0"/>
        <v>33608.623745273202</v>
      </c>
      <c r="U60" s="256">
        <f t="shared" si="1"/>
        <v>36494.067853109722</v>
      </c>
      <c r="V60" s="257">
        <f t="shared" si="2"/>
        <v>39688.28801034567</v>
      </c>
      <c r="W60" s="255">
        <f t="shared" si="3"/>
        <v>51502.758522837001</v>
      </c>
      <c r="X60" s="257">
        <f t="shared" si="4"/>
        <v>61701.468671144743</v>
      </c>
      <c r="Y60" s="255">
        <f t="shared" si="5"/>
        <v>74298.829372072156</v>
      </c>
      <c r="Z60" s="257">
        <f t="shared" si="6"/>
        <v>200137.767453526</v>
      </c>
      <c r="AA60" s="257">
        <f t="shared" si="7"/>
        <v>61701.468671144743</v>
      </c>
    </row>
    <row r="61" spans="18:27" x14ac:dyDescent="0.25">
      <c r="R61" s="253">
        <f t="shared" si="8"/>
        <v>32</v>
      </c>
      <c r="S61" s="253"/>
      <c r="T61" s="255">
        <f t="shared" si="0"/>
        <v>34781.666863999541</v>
      </c>
      <c r="U61" s="256">
        <f t="shared" si="1"/>
        <v>37869.008531640851</v>
      </c>
      <c r="V61" s="257">
        <f t="shared" si="2"/>
        <v>41298.612330500837</v>
      </c>
      <c r="W61" s="255">
        <f t="shared" si="3"/>
        <v>54077.841278522086</v>
      </c>
      <c r="X61" s="257">
        <f t="shared" si="4"/>
        <v>65209.527417990539</v>
      </c>
      <c r="Y61" s="255">
        <f t="shared" si="5"/>
        <v>79063.770840675745</v>
      </c>
      <c r="Z61" s="257">
        <f t="shared" si="6"/>
        <v>221251.54419887858</v>
      </c>
      <c r="AA61" s="257">
        <f t="shared" si="7"/>
        <v>65209.527417990539</v>
      </c>
    </row>
    <row r="62" spans="18:27" x14ac:dyDescent="0.25">
      <c r="R62" s="253">
        <f t="shared" si="8"/>
        <v>33</v>
      </c>
      <c r="S62" s="253"/>
      <c r="T62" s="255">
        <f t="shared" si="0"/>
        <v>35960.5751983195</v>
      </c>
      <c r="U62" s="256">
        <f t="shared" si="1"/>
        <v>39257.69861695727</v>
      </c>
      <c r="V62" s="257">
        <f t="shared" si="2"/>
        <v>42933.091515458334</v>
      </c>
      <c r="W62" s="255">
        <f t="shared" si="3"/>
        <v>56730.176516877757</v>
      </c>
      <c r="X62" s="257">
        <f t="shared" si="4"/>
        <v>68857.908514710158</v>
      </c>
      <c r="Y62" s="255">
        <f t="shared" si="5"/>
        <v>84066.959382709538</v>
      </c>
      <c r="Z62" s="257">
        <f t="shared" si="6"/>
        <v>244476.69861876647</v>
      </c>
      <c r="AA62" s="257">
        <f t="shared" si="7"/>
        <v>68857.908514710158</v>
      </c>
    </row>
    <row r="63" spans="18:27" x14ac:dyDescent="0.25">
      <c r="R63" s="253">
        <f t="shared" si="8"/>
        <v>34</v>
      </c>
      <c r="S63" s="253"/>
      <c r="T63" s="255">
        <f t="shared" si="0"/>
        <v>37145.378074311069</v>
      </c>
      <c r="U63" s="256">
        <f t="shared" si="1"/>
        <v>40660.275603126844</v>
      </c>
      <c r="V63" s="257">
        <f t="shared" si="2"/>
        <v>44592.087888190188</v>
      </c>
      <c r="W63" s="255">
        <f t="shared" si="3"/>
        <v>59462.081812384073</v>
      </c>
      <c r="X63" s="257">
        <f t="shared" si="4"/>
        <v>72652.224855298584</v>
      </c>
      <c r="Y63" s="255">
        <f t="shared" si="5"/>
        <v>89320.307351844996</v>
      </c>
      <c r="Z63" s="257">
        <f t="shared" si="6"/>
        <v>270024.36848064314</v>
      </c>
      <c r="AA63" s="257">
        <f t="shared" si="7"/>
        <v>72652.224855298584</v>
      </c>
    </row>
    <row r="64" spans="18:27" x14ac:dyDescent="0.25">
      <c r="R64" s="253">
        <f t="shared" si="8"/>
        <v>35</v>
      </c>
      <c r="S64" s="253"/>
      <c r="T64" s="255">
        <f t="shared" si="0"/>
        <v>38336.104964682614</v>
      </c>
      <c r="U64" s="256">
        <f t="shared" si="1"/>
        <v>42076.878359158087</v>
      </c>
      <c r="V64" s="257">
        <f t="shared" si="2"/>
        <v>46275.969206513051</v>
      </c>
      <c r="W64" s="255">
        <f t="shared" si="3"/>
        <v>62275.944266755614</v>
      </c>
      <c r="X64" s="257">
        <f t="shared" si="4"/>
        <v>76598.313849510523</v>
      </c>
      <c r="Y64" s="255">
        <f t="shared" si="5"/>
        <v>94836.322719437259</v>
      </c>
      <c r="Z64" s="257">
        <f t="shared" si="6"/>
        <v>298126.8053287075</v>
      </c>
      <c r="AA64" s="257">
        <f t="shared" si="7"/>
        <v>76598.313849510523</v>
      </c>
    </row>
    <row r="65" spans="18:27" x14ac:dyDescent="0.25">
      <c r="R65" s="253">
        <f t="shared" si="8"/>
        <v>36</v>
      </c>
      <c r="S65" s="253"/>
      <c r="T65" s="255">
        <f t="shared" si="0"/>
        <v>39532.78548950595</v>
      </c>
      <c r="U65" s="256">
        <f t="shared" si="1"/>
        <v>43507.64714274968</v>
      </c>
      <c r="V65" s="257">
        <f t="shared" si="2"/>
        <v>47985.108744610719</v>
      </c>
      <c r="W65" s="255">
        <f t="shared" si="3"/>
        <v>65174.22259475827</v>
      </c>
      <c r="X65" s="257">
        <f t="shared" si="4"/>
        <v>80702.24640349095</v>
      </c>
      <c r="Y65" s="255">
        <f t="shared" si="5"/>
        <v>100628.13885540911</v>
      </c>
      <c r="Z65" s="257">
        <f t="shared" si="6"/>
        <v>329039.4858615782</v>
      </c>
      <c r="AA65" s="257">
        <f t="shared" si="7"/>
        <v>80702.24640349095</v>
      </c>
    </row>
    <row r="66" spans="18:27" x14ac:dyDescent="0.25">
      <c r="R66" s="253">
        <f t="shared" si="8"/>
        <v>37</v>
      </c>
      <c r="S66" s="253"/>
      <c r="T66" s="255">
        <f t="shared" si="0"/>
        <v>40735.449416953423</v>
      </c>
      <c r="U66" s="256">
        <f t="shared" si="1"/>
        <v>44952.723614177179</v>
      </c>
      <c r="V66" s="257">
        <f t="shared" si="2"/>
        <v>49719.885375779864</v>
      </c>
      <c r="W66" s="255">
        <f t="shared" si="3"/>
        <v>68159.449272601007</v>
      </c>
      <c r="X66" s="257">
        <f t="shared" si="4"/>
        <v>84970.336259630625</v>
      </c>
      <c r="Y66" s="255">
        <f t="shared" si="5"/>
        <v>106709.54579817961</v>
      </c>
      <c r="Z66" s="257">
        <f t="shared" si="6"/>
        <v>363043.43444773607</v>
      </c>
      <c r="AA66" s="257">
        <f t="shared" si="7"/>
        <v>84970.336259630625</v>
      </c>
    </row>
    <row r="67" spans="18:27" x14ac:dyDescent="0.25">
      <c r="R67" s="253">
        <f t="shared" si="8"/>
        <v>38</v>
      </c>
      <c r="S67" s="254"/>
      <c r="T67" s="255">
        <f t="shared" si="0"/>
        <v>41944.12666403818</v>
      </c>
      <c r="U67" s="256">
        <f t="shared" si="1"/>
        <v>46412.250850318967</v>
      </c>
      <c r="V67" s="257">
        <f t="shared" si="2"/>
        <v>51480.683656416542</v>
      </c>
      <c r="W67" s="255">
        <f t="shared" si="3"/>
        <v>71234.232750779032</v>
      </c>
      <c r="X67" s="257">
        <f t="shared" si="4"/>
        <v>89409.149710015816</v>
      </c>
      <c r="Y67" s="255">
        <f t="shared" si="5"/>
        <v>113095.02308808855</v>
      </c>
      <c r="Z67" s="257">
        <f t="shared" si="6"/>
        <v>400447.77789250982</v>
      </c>
      <c r="AA67" s="257">
        <f t="shared" si="7"/>
        <v>89409.149710015816</v>
      </c>
    </row>
    <row r="68" spans="18:27" x14ac:dyDescent="0.25">
      <c r="R68" s="253">
        <f t="shared" si="8"/>
        <v>39</v>
      </c>
      <c r="S68" s="254"/>
      <c r="T68" s="255">
        <f t="shared" si="0"/>
        <v>43158.847297358334</v>
      </c>
      <c r="U68" s="256">
        <f t="shared" si="1"/>
        <v>47886.373358822115</v>
      </c>
      <c r="V68" s="257">
        <f t="shared" si="2"/>
        <v>53267.893911262763</v>
      </c>
      <c r="W68" s="255">
        <f t="shared" si="3"/>
        <v>74401.259733302431</v>
      </c>
      <c r="X68" s="257">
        <f t="shared" si="4"/>
        <v>94025.51569841645</v>
      </c>
      <c r="Y68" s="255">
        <f t="shared" si="5"/>
        <v>119799.774242493</v>
      </c>
      <c r="Z68" s="257">
        <f t="shared" si="6"/>
        <v>441592.55568176083</v>
      </c>
      <c r="AA68" s="257">
        <f t="shared" si="7"/>
        <v>94025.51569841645</v>
      </c>
    </row>
    <row r="69" spans="18:27" x14ac:dyDescent="0.25">
      <c r="R69" s="253">
        <f t="shared" si="8"/>
        <v>40</v>
      </c>
      <c r="S69" s="254"/>
      <c r="T69" s="255">
        <f t="shared" si="0"/>
        <v>44379.641533845112</v>
      </c>
      <c r="U69" s="256">
        <f t="shared" si="1"/>
        <v>49375.237092410382</v>
      </c>
      <c r="V69" s="257">
        <f t="shared" si="2"/>
        <v>55081.912319931704</v>
      </c>
      <c r="W69" s="255">
        <f t="shared" si="3"/>
        <v>77663.297525301474</v>
      </c>
      <c r="X69" s="257">
        <f t="shared" si="4"/>
        <v>98826.536326353147</v>
      </c>
      <c r="Y69" s="255">
        <f t="shared" si="5"/>
        <v>126839.76295461763</v>
      </c>
      <c r="Z69" s="257">
        <f t="shared" si="6"/>
        <v>486851.81124993681</v>
      </c>
      <c r="AA69" s="257">
        <f t="shared" si="7"/>
        <v>98826.536326353147</v>
      </c>
    </row>
    <row r="70" spans="18:27" x14ac:dyDescent="0.25">
      <c r="R70" s="253">
        <f t="shared" si="8"/>
        <v>41</v>
      </c>
      <c r="S70" s="254"/>
      <c r="T70" s="255">
        <f t="shared" si="0"/>
        <v>45606.539741514302</v>
      </c>
      <c r="U70" s="256">
        <f t="shared" si="1"/>
        <v>50878.989463334496</v>
      </c>
      <c r="V70" s="257">
        <f t="shared" si="2"/>
        <v>56923.141004730664</v>
      </c>
      <c r="W70" s="255">
        <f t="shared" si="3"/>
        <v>81023.196451060532</v>
      </c>
      <c r="X70" s="257">
        <f t="shared" si="4"/>
        <v>103819.59777940727</v>
      </c>
      <c r="Y70" s="255">
        <f t="shared" si="5"/>
        <v>134231.75110234853</v>
      </c>
      <c r="Z70" s="257">
        <f t="shared" si="6"/>
        <v>536636.99237493053</v>
      </c>
      <c r="AA70" s="257">
        <f t="shared" si="7"/>
        <v>103819.59777940727</v>
      </c>
    </row>
    <row r="71" spans="18:27" x14ac:dyDescent="0.25">
      <c r="R71" s="253">
        <f t="shared" si="8"/>
        <v>42</v>
      </c>
      <c r="S71" s="254"/>
      <c r="T71" s="255">
        <f t="shared" si="0"/>
        <v>46839.572440221818</v>
      </c>
      <c r="U71" s="256">
        <f t="shared" si="1"/>
        <v>52397.779357967855</v>
      </c>
      <c r="V71" s="257">
        <f t="shared" si="2"/>
        <v>58791.988119801601</v>
      </c>
      <c r="W71" s="255">
        <f t="shared" si="3"/>
        <v>84483.892344592357</v>
      </c>
      <c r="X71" s="257">
        <f t="shared" si="4"/>
        <v>109012.38169058354</v>
      </c>
      <c r="Y71" s="255">
        <f t="shared" si="5"/>
        <v>141993.33865746594</v>
      </c>
      <c r="Z71" s="257">
        <f t="shared" si="6"/>
        <v>591400.69161242363</v>
      </c>
      <c r="AA71" s="257">
        <f t="shared" si="7"/>
        <v>109012.38169058354</v>
      </c>
    </row>
    <row r="72" spans="18:27" x14ac:dyDescent="0.25">
      <c r="R72" s="253">
        <f t="shared" si="8"/>
        <v>43</v>
      </c>
      <c r="S72" s="254"/>
      <c r="T72" s="255">
        <f t="shared" si="0"/>
        <v>48078.770302422912</v>
      </c>
      <c r="U72" s="256">
        <f t="shared" si="1"/>
        <v>53931.757151547492</v>
      </c>
      <c r="V72" s="257">
        <f t="shared" si="2"/>
        <v>60688.867941598619</v>
      </c>
      <c r="W72" s="255">
        <f t="shared" si="3"/>
        <v>88048.409114930109</v>
      </c>
      <c r="X72" s="257">
        <f t="shared" si="4"/>
        <v>114412.87695820691</v>
      </c>
      <c r="Y72" s="255">
        <f t="shared" si="5"/>
        <v>150143.00559033928</v>
      </c>
      <c r="Z72" s="257">
        <f t="shared" si="6"/>
        <v>651640.76077366609</v>
      </c>
      <c r="AA72" s="257">
        <f t="shared" si="7"/>
        <v>114412.87695820691</v>
      </c>
    </row>
    <row r="73" spans="18:27" x14ac:dyDescent="0.25">
      <c r="R73" s="253">
        <f t="shared" si="8"/>
        <v>44</v>
      </c>
      <c r="S73" s="254"/>
      <c r="T73" s="255">
        <f t="shared" si="0"/>
        <v>49324.16415393498</v>
      </c>
      <c r="U73" s="256">
        <f t="shared" si="1"/>
        <v>55481.074723062971</v>
      </c>
      <c r="V73" s="257">
        <f t="shared" si="2"/>
        <v>62614.200960722563</v>
      </c>
      <c r="W73" s="255">
        <f t="shared" si="3"/>
        <v>91719.861388378005</v>
      </c>
      <c r="X73" s="257">
        <f t="shared" si="4"/>
        <v>120029.39203653521</v>
      </c>
      <c r="Y73" s="255">
        <f t="shared" si="5"/>
        <v>158700.15586985621</v>
      </c>
      <c r="Z73" s="257">
        <f t="shared" si="6"/>
        <v>717904.8368510328</v>
      </c>
      <c r="AA73" s="257">
        <f t="shared" si="7"/>
        <v>120029.39203653521</v>
      </c>
    </row>
    <row r="74" spans="18:27" x14ac:dyDescent="0.25">
      <c r="R74" s="253">
        <f t="shared" si="8"/>
        <v>45</v>
      </c>
      <c r="S74" s="254"/>
      <c r="T74" s="255">
        <f t="shared" si="0"/>
        <v>50575.784974704591</v>
      </c>
      <c r="U74" s="256">
        <f t="shared" si="1"/>
        <v>57045.885470293608</v>
      </c>
      <c r="V74" s="257">
        <f t="shared" si="2"/>
        <v>64568.413975133401</v>
      </c>
      <c r="W74" s="255">
        <f t="shared" si="3"/>
        <v>95501.457230029351</v>
      </c>
      <c r="X74" s="257">
        <f t="shared" si="4"/>
        <v>125870.5677179966</v>
      </c>
      <c r="Y74" s="255">
        <f t="shared" si="5"/>
        <v>167685.16366334906</v>
      </c>
      <c r="Z74" s="257">
        <f t="shared" si="6"/>
        <v>790795.32053613616</v>
      </c>
      <c r="AA74" s="257">
        <f t="shared" si="7"/>
        <v>125870.5677179966</v>
      </c>
    </row>
    <row r="75" spans="18:27" x14ac:dyDescent="0.25">
      <c r="R75" s="253">
        <f t="shared" si="8"/>
        <v>46</v>
      </c>
      <c r="S75" s="254"/>
      <c r="T75" s="255">
        <f t="shared" si="0"/>
        <v>51833.663899578103</v>
      </c>
      <c r="U75" s="256">
        <f t="shared" si="1"/>
        <v>58626.344324996571</v>
      </c>
      <c r="V75" s="257">
        <f t="shared" si="2"/>
        <v>66551.940184760359</v>
      </c>
      <c r="W75" s="255">
        <f t="shared" si="3"/>
        <v>99396.500946930231</v>
      </c>
      <c r="X75" s="257">
        <f t="shared" si="4"/>
        <v>131945.39042671648</v>
      </c>
      <c r="Y75" s="255">
        <f t="shared" si="5"/>
        <v>177119.42184651649</v>
      </c>
      <c r="Z75" s="257">
        <f t="shared" si="6"/>
        <v>870974.85258974973</v>
      </c>
      <c r="AA75" s="257">
        <f t="shared" si="7"/>
        <v>131945.39042671648</v>
      </c>
    </row>
    <row r="76" spans="18:27" x14ac:dyDescent="0.25">
      <c r="R76" s="253">
        <f t="shared" si="8"/>
        <v>47</v>
      </c>
      <c r="S76" s="254"/>
      <c r="T76" s="255">
        <f t="shared" si="0"/>
        <v>53097.832219075906</v>
      </c>
      <c r="U76" s="256">
        <f t="shared" si="1"/>
        <v>60222.607768246482</v>
      </c>
      <c r="V76" s="257">
        <f t="shared" si="2"/>
        <v>68565.219287531771</v>
      </c>
      <c r="W76" s="255">
        <f t="shared" si="3"/>
        <v>103408.39597533815</v>
      </c>
      <c r="X76" s="257">
        <f t="shared" si="4"/>
        <v>138263.20604378515</v>
      </c>
      <c r="Y76" s="255">
        <f t="shared" si="5"/>
        <v>187025.39293884233</v>
      </c>
      <c r="Z76" s="257">
        <f t="shared" si="6"/>
        <v>959172.3378487248</v>
      </c>
      <c r="AA76" s="257">
        <f t="shared" si="7"/>
        <v>138263.20604378515</v>
      </c>
    </row>
    <row r="77" spans="18:27" x14ac:dyDescent="0.25">
      <c r="R77" s="253">
        <f t="shared" si="8"/>
        <v>48</v>
      </c>
      <c r="S77" s="254"/>
      <c r="T77" s="255">
        <f t="shared" si="0"/>
        <v>54368.321380171263</v>
      </c>
      <c r="U77" s="256">
        <f t="shared" si="1"/>
        <v>61834.833845928988</v>
      </c>
      <c r="V77" s="257">
        <f t="shared" si="2"/>
        <v>70608.697576844716</v>
      </c>
      <c r="W77" s="255">
        <f t="shared" si="3"/>
        <v>107540.64785459828</v>
      </c>
      <c r="X77" s="257">
        <f t="shared" si="4"/>
        <v>144833.73428553657</v>
      </c>
      <c r="Y77" s="255">
        <f t="shared" si="5"/>
        <v>197426.66258578445</v>
      </c>
      <c r="Z77" s="257">
        <f t="shared" si="6"/>
        <v>1056189.5716335971</v>
      </c>
      <c r="AA77" s="257">
        <f t="shared" si="7"/>
        <v>144833.73428553657</v>
      </c>
    </row>
    <row r="78" spans="18:27" x14ac:dyDescent="0.25">
      <c r="R78" s="253">
        <f t="shared" si="8"/>
        <v>49</v>
      </c>
      <c r="S78" s="254"/>
      <c r="T78" s="255">
        <f t="shared" si="0"/>
        <v>55645.162987072123</v>
      </c>
      <c r="U78" s="256">
        <f t="shared" si="1"/>
        <v>63463.182184388294</v>
      </c>
      <c r="V78" s="257">
        <f t="shared" si="2"/>
        <v>72682.828040497348</v>
      </c>
      <c r="W78" s="255">
        <f t="shared" si="3"/>
        <v>111796.86729023622</v>
      </c>
      <c r="X78" s="257">
        <f t="shared" si="4"/>
        <v>151667.08365695804</v>
      </c>
      <c r="Y78" s="255">
        <f t="shared" si="5"/>
        <v>208347.99571507372</v>
      </c>
      <c r="Z78" s="257">
        <f t="shared" si="6"/>
        <v>1162908.5287969571</v>
      </c>
      <c r="AA78" s="257">
        <f t="shared" si="7"/>
        <v>151667.08365695804</v>
      </c>
    </row>
    <row r="79" spans="18:27" x14ac:dyDescent="0.25">
      <c r="R79" s="253">
        <f t="shared" si="8"/>
        <v>50</v>
      </c>
      <c r="S79" s="254"/>
      <c r="T79" s="255">
        <f t="shared" si="0"/>
        <v>56928.388802007379</v>
      </c>
      <c r="U79" s="256">
        <f t="shared" si="1"/>
        <v>65107.814006232198</v>
      </c>
      <c r="V79" s="257">
        <f t="shared" si="2"/>
        <v>74788.070461104813</v>
      </c>
      <c r="W79" s="255">
        <f t="shared" si="3"/>
        <v>116180.77330894329</v>
      </c>
      <c r="X79" s="257">
        <f t="shared" si="4"/>
        <v>158773.76700323637</v>
      </c>
      <c r="Y79" s="255">
        <f t="shared" si="5"/>
        <v>219815.39550082738</v>
      </c>
      <c r="Z79" s="257">
        <f t="shared" si="6"/>
        <v>1280299.3816766529</v>
      </c>
      <c r="AA79" s="257">
        <f t="shared" si="7"/>
        <v>158773.76700323637</v>
      </c>
    </row>
    <row r="80" spans="18:27" x14ac:dyDescent="0.25">
      <c r="R80" s="253">
        <f t="shared" si="8"/>
        <v>51</v>
      </c>
      <c r="S80" s="254"/>
      <c r="T80" s="255">
        <f t="shared" si="0"/>
        <v>58218.030746017401</v>
      </c>
      <c r="U80" s="256">
        <f t="shared" si="1"/>
        <v>66768.892146294485</v>
      </c>
      <c r="V80" s="257">
        <f t="shared" si="2"/>
        <v>76924.891518021395</v>
      </c>
      <c r="W80" s="255">
        <f t="shared" si="3"/>
        <v>120696.19650821161</v>
      </c>
      <c r="X80" s="257">
        <f t="shared" si="4"/>
        <v>166164.71768336583</v>
      </c>
      <c r="Y80" s="255">
        <f t="shared" si="5"/>
        <v>231856.16527586876</v>
      </c>
      <c r="Z80" s="257">
        <f t="shared" si="6"/>
        <v>1409429.3198443183</v>
      </c>
      <c r="AA80" s="257">
        <f t="shared" si="7"/>
        <v>166164.71768336583</v>
      </c>
    </row>
    <row r="81" spans="18:27" x14ac:dyDescent="0.25">
      <c r="R81" s="253">
        <f t="shared" si="8"/>
        <v>52</v>
      </c>
      <c r="S81" s="254"/>
      <c r="T81" s="255">
        <f t="shared" si="0"/>
        <v>59514.120899747453</v>
      </c>
      <c r="U81" s="256">
        <f t="shared" si="1"/>
        <v>68446.581067757434</v>
      </c>
      <c r="V81" s="257">
        <f t="shared" si="2"/>
        <v>79093.764890791645</v>
      </c>
      <c r="W81" s="255">
        <f t="shared" si="3"/>
        <v>125347.08240345794</v>
      </c>
      <c r="X81" s="257">
        <f t="shared" si="4"/>
        <v>173851.30639070048</v>
      </c>
      <c r="Y81" s="255">
        <f t="shared" si="5"/>
        <v>244498.97353966217</v>
      </c>
      <c r="Z81" s="257">
        <f t="shared" si="6"/>
        <v>1551472.2518287504</v>
      </c>
      <c r="AA81" s="257">
        <f t="shared" si="7"/>
        <v>173851.30639070048</v>
      </c>
    </row>
    <row r="82" spans="18:27" x14ac:dyDescent="0.25">
      <c r="R82" s="253">
        <f t="shared" si="8"/>
        <v>53</v>
      </c>
      <c r="S82" s="254"/>
      <c r="T82" s="255">
        <f t="shared" si="0"/>
        <v>60816.691504246141</v>
      </c>
      <c r="U82" s="256">
        <f t="shared" si="1"/>
        <v>70141.04687843498</v>
      </c>
      <c r="V82" s="257">
        <f t="shared" si="2"/>
        <v>81295.171364153517</v>
      </c>
      <c r="W82" s="255">
        <f t="shared" si="3"/>
        <v>130137.49487556165</v>
      </c>
      <c r="X82" s="257">
        <f t="shared" si="4"/>
        <v>181845.35864632853</v>
      </c>
      <c r="Y82" s="255">
        <f t="shared" si="5"/>
        <v>257773.9222166453</v>
      </c>
      <c r="Z82" s="257">
        <f t="shared" si="6"/>
        <v>1707719.4770116254</v>
      </c>
      <c r="AA82" s="257">
        <f t="shared" si="7"/>
        <v>181845.35864632853</v>
      </c>
    </row>
    <row r="83" spans="18:27" x14ac:dyDescent="0.25">
      <c r="R83" s="253">
        <f t="shared" si="8"/>
        <v>54</v>
      </c>
      <c r="S83" s="254"/>
      <c r="T83" s="255">
        <f t="shared" si="0"/>
        <v>62125.774961767311</v>
      </c>
      <c r="U83" s="256">
        <f t="shared" si="1"/>
        <v>71852.457347219388</v>
      </c>
      <c r="V83" s="257">
        <f t="shared" si="2"/>
        <v>83529.598934615773</v>
      </c>
      <c r="W83" s="255">
        <f t="shared" si="3"/>
        <v>135071.61972182852</v>
      </c>
      <c r="X83" s="257">
        <f t="shared" si="4"/>
        <v>190159.17299218167</v>
      </c>
      <c r="Y83" s="255">
        <f t="shared" si="5"/>
        <v>271712.61832747754</v>
      </c>
      <c r="Z83" s="257">
        <f t="shared" si="6"/>
        <v>1879591.4247127881</v>
      </c>
      <c r="AA83" s="257">
        <f t="shared" si="7"/>
        <v>190159.17299218167</v>
      </c>
    </row>
    <row r="84" spans="18:27" x14ac:dyDescent="0.25">
      <c r="R84" s="253">
        <f t="shared" si="8"/>
        <v>55</v>
      </c>
      <c r="S84" s="254"/>
      <c r="T84" s="255">
        <f t="shared" si="0"/>
        <v>63441.403836576123</v>
      </c>
      <c r="U84" s="256">
        <f t="shared" si="1"/>
        <v>73580.981920691542</v>
      </c>
      <c r="V84" s="257">
        <f t="shared" si="2"/>
        <v>85797.542918635008</v>
      </c>
      <c r="W84" s="255">
        <f t="shared" si="3"/>
        <v>140153.76831348342</v>
      </c>
      <c r="X84" s="257">
        <f t="shared" si="4"/>
        <v>198805.53991186889</v>
      </c>
      <c r="Y84" s="255">
        <f t="shared" si="5"/>
        <v>286348.24924385152</v>
      </c>
      <c r="Z84" s="257">
        <f t="shared" si="6"/>
        <v>2068650.5671840676</v>
      </c>
      <c r="AA84" s="257">
        <f t="shared" si="7"/>
        <v>198805.53991186889</v>
      </c>
    </row>
    <row r="85" spans="18:27" x14ac:dyDescent="0.25">
      <c r="R85" s="253">
        <f t="shared" si="8"/>
        <v>56</v>
      </c>
      <c r="S85" s="254"/>
      <c r="T85" s="255">
        <f t="shared" si="0"/>
        <v>64763.61085575902</v>
      </c>
      <c r="U85" s="256">
        <f t="shared" si="1"/>
        <v>75326.791739898501</v>
      </c>
      <c r="V85" s="257">
        <f t="shared" si="2"/>
        <v>88099.506062414526</v>
      </c>
      <c r="W85" s="255">
        <f t="shared" si="3"/>
        <v>145388.38136288783</v>
      </c>
      <c r="X85" s="257">
        <f t="shared" si="4"/>
        <v>207797.76150834368</v>
      </c>
      <c r="Y85" s="255">
        <f t="shared" si="5"/>
        <v>301715.66170604399</v>
      </c>
      <c r="Z85" s="257">
        <f t="shared" si="6"/>
        <v>2276615.6239024736</v>
      </c>
      <c r="AA85" s="257">
        <f t="shared" si="7"/>
        <v>207797.76150834368</v>
      </c>
    </row>
    <row r="86" spans="18:27" x14ac:dyDescent="0.25">
      <c r="R86" s="253">
        <f t="shared" si="8"/>
        <v>57</v>
      </c>
      <c r="S86" s="254"/>
      <c r="T86" s="255">
        <f t="shared" si="0"/>
        <v>66092.428910037765</v>
      </c>
      <c r="U86" s="256">
        <f t="shared" si="1"/>
        <v>77090.059657297505</v>
      </c>
      <c r="V86" s="257">
        <f t="shared" si="2"/>
        <v>90435.998653350718</v>
      </c>
      <c r="W86" s="255">
        <f t="shared" si="3"/>
        <v>150780.03280377452</v>
      </c>
      <c r="X86" s="257">
        <f t="shared" si="4"/>
        <v>217149.67196867749</v>
      </c>
      <c r="Y86" s="255">
        <f t="shared" si="5"/>
        <v>317851.44479134621</v>
      </c>
      <c r="Z86" s="257">
        <f t="shared" si="6"/>
        <v>2505377.1862927219</v>
      </c>
      <c r="AA86" s="257">
        <f t="shared" si="7"/>
        <v>217149.67196867749</v>
      </c>
    </row>
    <row r="87" spans="18:27" x14ac:dyDescent="0.25">
      <c r="R87" s="253">
        <f t="shared" si="8"/>
        <v>58</v>
      </c>
      <c r="S87" s="254"/>
      <c r="T87" s="255">
        <f t="shared" si="0"/>
        <v>67427.891054587904</v>
      </c>
      <c r="U87" s="256">
        <f t="shared" si="1"/>
        <v>78870.960253870464</v>
      </c>
      <c r="V87" s="257">
        <f t="shared" si="2"/>
        <v>92807.538633150936</v>
      </c>
      <c r="W87" s="255">
        <f t="shared" si="3"/>
        <v>156333.43378788774</v>
      </c>
      <c r="X87" s="257">
        <f t="shared" si="4"/>
        <v>226875.65884742449</v>
      </c>
      <c r="Y87" s="255">
        <f t="shared" si="5"/>
        <v>334794.01703091362</v>
      </c>
      <c r="Z87" s="257">
        <f t="shared" si="6"/>
        <v>2757014.9049219936</v>
      </c>
      <c r="AA87" s="257">
        <f t="shared" si="7"/>
        <v>226875.65884742449</v>
      </c>
    </row>
    <row r="88" spans="18:27" x14ac:dyDescent="0.25">
      <c r="R88" s="253">
        <f t="shared" si="8"/>
        <v>59</v>
      </c>
      <c r="S88" s="254"/>
      <c r="T88" s="255">
        <f t="shared" si="0"/>
        <v>68770.030509860793</v>
      </c>
      <c r="U88" s="256">
        <f t="shared" si="1"/>
        <v>80669.669856409106</v>
      </c>
      <c r="V88" s="257">
        <f t="shared" si="2"/>
        <v>95214.651712648192</v>
      </c>
      <c r="W88" s="255">
        <f t="shared" si="3"/>
        <v>162053.43680152437</v>
      </c>
      <c r="X88" s="257">
        <f t="shared" si="4"/>
        <v>236990.68520132152</v>
      </c>
      <c r="Y88" s="255">
        <f t="shared" si="5"/>
        <v>352583.71788245923</v>
      </c>
      <c r="Z88" s="257">
        <f t="shared" si="6"/>
        <v>3033816.3954141936</v>
      </c>
      <c r="AA88" s="257">
        <f t="shared" si="7"/>
        <v>236990.68520132152</v>
      </c>
    </row>
    <row r="89" spans="18:27" x14ac:dyDescent="0.25">
      <c r="R89" s="253">
        <f t="shared" si="8"/>
        <v>60</v>
      </c>
      <c r="S89" s="254"/>
      <c r="T89" s="255">
        <f t="shared" si="0"/>
        <v>70118.88066241004</v>
      </c>
      <c r="U89" s="256">
        <f t="shared" si="1"/>
        <v>82486.366554973225</v>
      </c>
      <c r="V89" s="257">
        <f t="shared" si="2"/>
        <v>97657.871488337856</v>
      </c>
      <c r="W89" s="255">
        <f t="shared" si="3"/>
        <v>167945.03990557013</v>
      </c>
      <c r="X89" s="257">
        <f t="shared" si="4"/>
        <v>247510.31260937449</v>
      </c>
      <c r="Y89" s="255">
        <f t="shared" si="5"/>
        <v>371262.90377658216</v>
      </c>
      <c r="Z89" s="257">
        <f t="shared" si="6"/>
        <v>3338298.0349556128</v>
      </c>
      <c r="AA89" s="257">
        <f t="shared" si="7"/>
        <v>247510.31260937449</v>
      </c>
    </row>
    <row r="90" spans="18:27" x14ac:dyDescent="0.25">
      <c r="R90" s="253">
        <f t="shared" si="8"/>
        <v>61</v>
      </c>
      <c r="S90" s="254"/>
      <c r="T90" s="255">
        <f t="shared" si="0"/>
        <v>71474.475065722087</v>
      </c>
      <c r="U90" s="256">
        <f t="shared" si="1"/>
        <v>84321.230220522964</v>
      </c>
      <c r="V90" s="257">
        <f t="shared" si="2"/>
        <v>100137.73956066294</v>
      </c>
      <c r="W90" s="255">
        <f t="shared" si="3"/>
        <v>174013.39110273717</v>
      </c>
      <c r="X90" s="257">
        <f t="shared" si="4"/>
        <v>258450.72511374945</v>
      </c>
      <c r="Y90" s="255">
        <f t="shared" si="5"/>
        <v>390876.04896541132</v>
      </c>
      <c r="Z90" s="257">
        <f t="shared" si="6"/>
        <v>3673227.8384511746</v>
      </c>
      <c r="AA90" s="257">
        <f t="shared" si="7"/>
        <v>258450.72511374945</v>
      </c>
    </row>
    <row r="91" spans="18:27" x14ac:dyDescent="0.25">
      <c r="R91" s="253">
        <f t="shared" si="8"/>
        <v>62</v>
      </c>
      <c r="S91" s="254"/>
      <c r="T91" s="255">
        <f t="shared" si="0"/>
        <v>72836.847441050617</v>
      </c>
      <c r="U91" s="256">
        <f t="shared" si="1"/>
        <v>86174.442522728234</v>
      </c>
      <c r="V91" s="257">
        <f t="shared" si="2"/>
        <v>102654.80565407284</v>
      </c>
      <c r="W91" s="255">
        <f t="shared" si="3"/>
        <v>180263.7928358193</v>
      </c>
      <c r="X91" s="257">
        <f t="shared" si="4"/>
        <v>269828.75411829934</v>
      </c>
      <c r="Y91" s="255">
        <f t="shared" si="5"/>
        <v>411469.8514136817</v>
      </c>
      <c r="Z91" s="257">
        <f t="shared" si="6"/>
        <v>4041650.6222962928</v>
      </c>
      <c r="AA91" s="257">
        <f t="shared" si="7"/>
        <v>269828.75411829934</v>
      </c>
    </row>
    <row r="92" spans="18:27" x14ac:dyDescent="0.25">
      <c r="R92" s="253">
        <f t="shared" si="8"/>
        <v>63</v>
      </c>
      <c r="S92" s="254"/>
      <c r="T92" s="255">
        <f t="shared" si="0"/>
        <v>74206.031678255837</v>
      </c>
      <c r="U92" s="256">
        <f t="shared" si="1"/>
        <v>88046.186947955459</v>
      </c>
      <c r="V92" s="257">
        <f t="shared" si="2"/>
        <v>105209.62773888392</v>
      </c>
      <c r="W92" s="255">
        <f t="shared" si="3"/>
        <v>186701.70662089388</v>
      </c>
      <c r="X92" s="257">
        <f t="shared" si="4"/>
        <v>281661.90428303141</v>
      </c>
      <c r="Y92" s="255">
        <f t="shared" si="5"/>
        <v>433093.34398436605</v>
      </c>
      <c r="Z92" s="257">
        <f t="shared" si="6"/>
        <v>4446915.6845259219</v>
      </c>
      <c r="AA92" s="257">
        <f t="shared" si="7"/>
        <v>281661.90428303141</v>
      </c>
    </row>
    <row r="93" spans="18:27" x14ac:dyDescent="0.25">
      <c r="R93" s="253">
        <f t="shared" si="8"/>
        <v>64</v>
      </c>
      <c r="S93" s="254"/>
      <c r="T93" s="255">
        <f t="shared" si="0"/>
        <v>75582.061836647074</v>
      </c>
      <c r="U93" s="256">
        <f t="shared" si="1"/>
        <v>89936.648817435038</v>
      </c>
      <c r="V93" s="257">
        <f t="shared" si="2"/>
        <v>107802.77215496716</v>
      </c>
      <c r="W93" s="255">
        <f t="shared" si="3"/>
        <v>193332.75781952069</v>
      </c>
      <c r="X93" s="257">
        <f t="shared" si="4"/>
        <v>293968.38045435271</v>
      </c>
      <c r="Y93" s="255">
        <f t="shared" si="5"/>
        <v>455798.01118358428</v>
      </c>
      <c r="Z93" s="257">
        <f t="shared" si="6"/>
        <v>4892707.2529785139</v>
      </c>
      <c r="AA93" s="257">
        <f t="shared" si="7"/>
        <v>293968.38045435271</v>
      </c>
    </row>
    <row r="94" spans="18:27" x14ac:dyDescent="0.25">
      <c r="R94" s="253">
        <f t="shared" si="8"/>
        <v>65</v>
      </c>
      <c r="S94" s="254"/>
      <c r="T94" s="255">
        <f t="shared" si="0"/>
        <v>76964.972145830281</v>
      </c>
      <c r="U94" s="256">
        <f t="shared" si="1"/>
        <v>91846.015305609399</v>
      </c>
      <c r="V94" s="257">
        <f t="shared" si="2"/>
        <v>110434.81373729165</v>
      </c>
      <c r="W94" s="255">
        <f t="shared" si="3"/>
        <v>200162.74055410631</v>
      </c>
      <c r="X94" s="257">
        <f t="shared" si="4"/>
        <v>306767.11567252676</v>
      </c>
      <c r="Y94" s="255">
        <f t="shared" si="5"/>
        <v>479637.91174276359</v>
      </c>
      <c r="Z94" s="257">
        <f t="shared" si="6"/>
        <v>5383077.9782763654</v>
      </c>
      <c r="AA94" s="257">
        <f t="shared" si="7"/>
        <v>306767.11567252676</v>
      </c>
    </row>
    <row r="95" spans="18:27" x14ac:dyDescent="0.25">
      <c r="R95" s="253">
        <f t="shared" si="8"/>
        <v>66</v>
      </c>
      <c r="S95" s="254"/>
      <c r="T95" s="255">
        <f t="shared" ref="T95:T158" si="9">IF($M$12="Both(No x value)","Do more",$F$23*(((1+$T$29)^(R95)-1)/$T$29)*(1+$T$29))</f>
        <v>78354.797006559398</v>
      </c>
      <c r="U95" s="256">
        <f t="shared" ref="U95:U158" si="10">IF($M$12="Both(No x value)","Do more",$F$23*(((1+$U$29)^(R95)-1)/$U$29)*(1+$U$29))</f>
        <v>93774.475458665504</v>
      </c>
      <c r="V95" s="257">
        <f t="shared" ref="V95:V158" si="11">IF($M$12="Both(No x value)","Do more",$F$23*(((1+$V$29)^(R95)-1)/$V$29)*(1+$V$29))</f>
        <v>113106.335943351</v>
      </c>
      <c r="W95" s="255">
        <f t="shared" ref="W95:W158" si="12">IF($M$12="Both(No x value)","Do more",$F$23*(((1+W$29)^(R95)-1)/$W$29)*(1+$W$29))</f>
        <v>207197.62277072947</v>
      </c>
      <c r="X95" s="257">
        <f t="shared" ref="X95:X158" si="13">IF(M77="Both(No x value)","Do more",$F$23*(((1+$X$29)^(R95)-1)/$X$29)*(1+$X$29))</f>
        <v>320077.80029942788</v>
      </c>
      <c r="Y95" s="255">
        <f t="shared" ref="Y95:Y158" si="14">IF(M77="Both(No x value)","Do more",$F$23*(((1+$Y$29)^(R95)-1)/$Y$29)*(1+$Y$29))</f>
        <v>504669.80732990167</v>
      </c>
      <c r="Z95" s="257">
        <f t="shared" ref="Z95:Z158" si="15">IF(M77="Both(No x value)","Do more",$F$23*(((1+$Z$29)^(R95)-1)/$Z$29)*(1+$Z$29))</f>
        <v>5922485.7761040023</v>
      </c>
      <c r="AA95" s="257">
        <f t="shared" ref="AA95:AA158" si="16">IF(M77="Both(No x value)","Do more",$F$23*(((1+$AA$29)^(R95)-1)/$AA$29)*(1+$AA$29))</f>
        <v>320077.80029942788</v>
      </c>
    </row>
    <row r="96" spans="18:27" x14ac:dyDescent="0.25">
      <c r="R96" s="253">
        <f t="shared" ref="R96:R159" si="17">1+R95</f>
        <v>67</v>
      </c>
      <c r="S96" s="254"/>
      <c r="T96" s="255">
        <f t="shared" si="9"/>
        <v>79751.570991592176</v>
      </c>
      <c r="U96" s="256">
        <f t="shared" si="10"/>
        <v>95722.220213252134</v>
      </c>
      <c r="V96" s="257">
        <f t="shared" si="11"/>
        <v>115817.93098250125</v>
      </c>
      <c r="W96" s="255">
        <f t="shared" si="12"/>
        <v>214443.55145385137</v>
      </c>
      <c r="X96" s="257">
        <f t="shared" si="13"/>
        <v>333920.91231140494</v>
      </c>
      <c r="Y96" s="255">
        <f t="shared" si="14"/>
        <v>530953.29769639682</v>
      </c>
      <c r="Z96" s="257">
        <f t="shared" si="15"/>
        <v>6515834.3537144046</v>
      </c>
      <c r="AA96" s="257">
        <f t="shared" si="16"/>
        <v>333920.91231140494</v>
      </c>
    </row>
    <row r="97" spans="18:27" x14ac:dyDescent="0.25">
      <c r="R97" s="253">
        <f t="shared" si="17"/>
        <v>68</v>
      </c>
      <c r="S97" s="254"/>
      <c r="T97" s="255">
        <f t="shared" si="9"/>
        <v>81155.328846550066</v>
      </c>
      <c r="U97" s="256">
        <f t="shared" si="10"/>
        <v>97689.442415384692</v>
      </c>
      <c r="V97" s="257">
        <f t="shared" si="11"/>
        <v>118570.19994723873</v>
      </c>
      <c r="W97" s="255">
        <f t="shared" si="12"/>
        <v>221906.8579974669</v>
      </c>
      <c r="X97" s="257">
        <f t="shared" si="13"/>
        <v>348317.74880386121</v>
      </c>
      <c r="Y97" s="255">
        <f t="shared" si="14"/>
        <v>558550.96258121659</v>
      </c>
      <c r="Z97" s="257">
        <f t="shared" si="15"/>
        <v>7168517.7890858445</v>
      </c>
      <c r="AA97" s="257">
        <f t="shared" si="16"/>
        <v>348317.74880386121</v>
      </c>
    </row>
    <row r="98" spans="18:27" x14ac:dyDescent="0.25">
      <c r="R98" s="253">
        <f t="shared" si="17"/>
        <v>69</v>
      </c>
      <c r="S98" s="254"/>
      <c r="T98" s="255">
        <f t="shared" si="9"/>
        <v>82566.105490782749</v>
      </c>
      <c r="U98" s="256">
        <f t="shared" si="10"/>
        <v>99676.336839538504</v>
      </c>
      <c r="V98" s="257">
        <f t="shared" si="11"/>
        <v>121363.75294644729</v>
      </c>
      <c r="W98" s="255">
        <f t="shared" si="12"/>
        <v>229594.06373739091</v>
      </c>
      <c r="X98" s="257">
        <f t="shared" si="13"/>
        <v>363290.45875601569</v>
      </c>
      <c r="Y98" s="255">
        <f t="shared" si="14"/>
        <v>587528.51071027748</v>
      </c>
      <c r="Z98" s="257">
        <f t="shared" si="15"/>
        <v>7886469.5679944297</v>
      </c>
      <c r="AA98" s="257">
        <f t="shared" si="16"/>
        <v>363290.45875601569</v>
      </c>
    </row>
    <row r="99" spans="18:27" x14ac:dyDescent="0.25">
      <c r="R99" s="253">
        <f t="shared" si="17"/>
        <v>70</v>
      </c>
      <c r="S99" s="254"/>
      <c r="T99" s="255">
        <f t="shared" si="9"/>
        <v>83983.936018236622</v>
      </c>
      <c r="U99" s="256">
        <f t="shared" si="10"/>
        <v>101683.10020793395</v>
      </c>
      <c r="V99" s="257">
        <f t="shared" si="11"/>
        <v>124199.20924064396</v>
      </c>
      <c r="W99" s="255">
        <f t="shared" si="12"/>
        <v>237511.88564951261</v>
      </c>
      <c r="X99" s="257">
        <f t="shared" si="13"/>
        <v>378862.07710625633</v>
      </c>
      <c r="Y99" s="255">
        <f t="shared" si="14"/>
        <v>617954.93624579126</v>
      </c>
      <c r="Z99" s="257">
        <f t="shared" si="15"/>
        <v>8676216.5247938745</v>
      </c>
      <c r="AA99" s="257">
        <f t="shared" si="16"/>
        <v>378862.07710625633</v>
      </c>
    </row>
    <row r="100" spans="18:27" x14ac:dyDescent="0.25">
      <c r="R100" s="253">
        <f t="shared" si="17"/>
        <v>71</v>
      </c>
      <c r="S100" s="254"/>
      <c r="T100" s="255">
        <f t="shared" si="9"/>
        <v>85408.855698327767</v>
      </c>
      <c r="U100" s="256">
        <f t="shared" si="10"/>
        <v>103709.93121001319</v>
      </c>
      <c r="V100" s="257">
        <f t="shared" si="11"/>
        <v>127077.19737925359</v>
      </c>
      <c r="W100" s="255">
        <f t="shared" si="12"/>
        <v>245667.24221899803</v>
      </c>
      <c r="X100" s="257">
        <f t="shared" si="13"/>
        <v>395056.56019050651</v>
      </c>
      <c r="Y100" s="255">
        <f t="shared" si="14"/>
        <v>649902.68305808096</v>
      </c>
      <c r="Z100" s="257">
        <f t="shared" si="15"/>
        <v>9544938.1772732623</v>
      </c>
      <c r="AA100" s="257">
        <f t="shared" si="16"/>
        <v>395056.56019050651</v>
      </c>
    </row>
    <row r="101" spans="18:27" x14ac:dyDescent="0.25">
      <c r="R101" s="253">
        <f t="shared" si="17"/>
        <v>72</v>
      </c>
      <c r="S101" s="254"/>
      <c r="T101" s="255">
        <f t="shared" si="9"/>
        <v>86840.899976819361</v>
      </c>
      <c r="U101" s="256">
        <f t="shared" si="10"/>
        <v>105757.0305221134</v>
      </c>
      <c r="V101" s="257">
        <f t="shared" si="11"/>
        <v>129998.35533994238</v>
      </c>
      <c r="W101" s="255">
        <f t="shared" si="12"/>
        <v>254067.25948556792</v>
      </c>
      <c r="X101" s="257">
        <f t="shared" si="13"/>
        <v>411898.82259812689</v>
      </c>
      <c r="Y101" s="255">
        <f t="shared" si="14"/>
        <v>683447.817210985</v>
      </c>
      <c r="Z101" s="257">
        <f t="shared" si="15"/>
        <v>10500531.995000588</v>
      </c>
      <c r="AA101" s="257">
        <f t="shared" si="16"/>
        <v>411898.82259812689</v>
      </c>
    </row>
    <row r="102" spans="18:27" x14ac:dyDescent="0.25">
      <c r="R102" s="253">
        <f t="shared" si="17"/>
        <v>73</v>
      </c>
      <c r="S102" s="254"/>
      <c r="T102" s="255">
        <f t="shared" si="9"/>
        <v>88280.104476703476</v>
      </c>
      <c r="U102" s="256">
        <f t="shared" si="10"/>
        <v>107824.60082733452</v>
      </c>
      <c r="V102" s="257">
        <f t="shared" si="11"/>
        <v>132963.3306700415</v>
      </c>
      <c r="W102" s="255">
        <f t="shared" si="12"/>
        <v>262719.277270135</v>
      </c>
      <c r="X102" s="257">
        <f t="shared" si="13"/>
        <v>429414.77550205193</v>
      </c>
      <c r="Y102" s="255">
        <f t="shared" si="14"/>
        <v>718670.20807153417</v>
      </c>
      <c r="Z102" s="257">
        <f t="shared" si="15"/>
        <v>11551685.194500649</v>
      </c>
      <c r="AA102" s="257">
        <f t="shared" si="16"/>
        <v>429414.77550205193</v>
      </c>
    </row>
    <row r="103" spans="18:27" x14ac:dyDescent="0.25">
      <c r="R103" s="253">
        <f t="shared" si="17"/>
        <v>74</v>
      </c>
      <c r="S103" s="254"/>
      <c r="T103" s="255">
        <f t="shared" si="9"/>
        <v>89726.504999086916</v>
      </c>
      <c r="U103" s="256">
        <f t="shared" si="10"/>
        <v>109912.84683560788</v>
      </c>
      <c r="V103" s="257">
        <f t="shared" si="11"/>
        <v>135972.78063009208</v>
      </c>
      <c r="W103" s="255">
        <f t="shared" si="12"/>
        <v>271630.85558823898</v>
      </c>
      <c r="X103" s="257">
        <f t="shared" si="13"/>
        <v>447631.36652213411</v>
      </c>
      <c r="Y103" s="255">
        <f t="shared" si="14"/>
        <v>755653.71847511095</v>
      </c>
      <c r="Z103" s="257">
        <f t="shared" si="15"/>
        <v>12707953.713950714</v>
      </c>
      <c r="AA103" s="257">
        <f t="shared" si="16"/>
        <v>447631.36652213411</v>
      </c>
    </row>
    <row r="104" spans="18:27" x14ac:dyDescent="0.25">
      <c r="R104" s="253">
        <f t="shared" si="17"/>
        <v>75</v>
      </c>
      <c r="S104" s="254"/>
      <c r="T104" s="255">
        <f t="shared" si="9"/>
        <v>91180.137524082325</v>
      </c>
      <c r="U104" s="256">
        <f t="shared" si="10"/>
        <v>112021.97530396393</v>
      </c>
      <c r="V104" s="257">
        <f t="shared" si="11"/>
        <v>139027.37233954345</v>
      </c>
      <c r="W104" s="255">
        <f t="shared" si="12"/>
        <v>280809.78125588619</v>
      </c>
      <c r="X104" s="257">
        <f t="shared" si="13"/>
        <v>466576.62118301936</v>
      </c>
      <c r="Y104" s="255">
        <f t="shared" si="14"/>
        <v>794486.40439886658</v>
      </c>
      <c r="Z104" s="257">
        <f t="shared" si="15"/>
        <v>13979849.085345786</v>
      </c>
      <c r="AA104" s="257">
        <f t="shared" si="16"/>
        <v>466576.62118301936</v>
      </c>
    </row>
    <row r="105" spans="18:27" x14ac:dyDescent="0.25">
      <c r="R105" s="253">
        <f t="shared" si="17"/>
        <v>76</v>
      </c>
      <c r="S105" s="254"/>
      <c r="T105" s="255">
        <f t="shared" si="9"/>
        <v>92641.038211702631</v>
      </c>
      <c r="U105" s="256">
        <f t="shared" si="10"/>
        <v>114152.19505700358</v>
      </c>
      <c r="V105" s="257">
        <f t="shared" si="11"/>
        <v>142127.78292463653</v>
      </c>
      <c r="W105" s="255">
        <f t="shared" si="12"/>
        <v>290264.0746935627</v>
      </c>
      <c r="X105" s="257">
        <f t="shared" si="13"/>
        <v>486279.68603034021</v>
      </c>
      <c r="Y105" s="255">
        <f t="shared" si="14"/>
        <v>835260.72461880965</v>
      </c>
      <c r="Z105" s="257">
        <f t="shared" si="15"/>
        <v>15378933.993880363</v>
      </c>
      <c r="AA105" s="257">
        <f t="shared" si="16"/>
        <v>486279.68603034021</v>
      </c>
    </row>
    <row r="106" spans="18:27" x14ac:dyDescent="0.25">
      <c r="R106" s="253">
        <f t="shared" si="17"/>
        <v>77</v>
      </c>
      <c r="S106" s="254"/>
      <c r="T106" s="255">
        <f t="shared" si="9"/>
        <v>94109.243402761131</v>
      </c>
      <c r="U106" s="256">
        <f t="shared" si="10"/>
        <v>116303.71700757362</v>
      </c>
      <c r="V106" s="257">
        <f t="shared" si="11"/>
        <v>145274.6996685061</v>
      </c>
      <c r="W106" s="255">
        <f t="shared" si="12"/>
        <v>300001.99693436967</v>
      </c>
      <c r="X106" s="257">
        <f t="shared" si="13"/>
        <v>506770.8734715539</v>
      </c>
      <c r="Y106" s="255">
        <f t="shared" si="14"/>
        <v>878073.76084975048</v>
      </c>
      <c r="Z106" s="257">
        <f t="shared" si="15"/>
        <v>16917927.393268403</v>
      </c>
      <c r="AA106" s="257">
        <f t="shared" si="16"/>
        <v>506770.8734715539</v>
      </c>
    </row>
    <row r="107" spans="18:27" x14ac:dyDescent="0.25">
      <c r="R107" s="253">
        <f t="shared" si="17"/>
        <v>78</v>
      </c>
      <c r="S107" s="254"/>
      <c r="T107" s="255">
        <f t="shared" si="9"/>
        <v>95584.789619774878</v>
      </c>
      <c r="U107" s="256">
        <f t="shared" si="10"/>
        <v>118476.75417764939</v>
      </c>
      <c r="V107" s="257">
        <f t="shared" si="11"/>
        <v>148468.82016353364</v>
      </c>
      <c r="W107" s="255">
        <f t="shared" si="12"/>
        <v>310032.05684240075</v>
      </c>
      <c r="X107" s="257">
        <f t="shared" si="13"/>
        <v>528081.70841041615</v>
      </c>
      <c r="Y107" s="255">
        <f t="shared" si="14"/>
        <v>923027.44889223773</v>
      </c>
      <c r="Z107" s="257">
        <f t="shared" si="15"/>
        <v>18610820.132595249</v>
      </c>
      <c r="AA107" s="257">
        <f t="shared" si="16"/>
        <v>528081.70841041615</v>
      </c>
    </row>
    <row r="108" spans="18:27" x14ac:dyDescent="0.25">
      <c r="R108" s="253">
        <f t="shared" si="17"/>
        <v>79</v>
      </c>
      <c r="S108" s="254"/>
      <c r="T108" s="255">
        <f t="shared" si="9"/>
        <v>97067.713567873667</v>
      </c>
      <c r="U108" s="256">
        <f t="shared" si="10"/>
        <v>120671.52171942581</v>
      </c>
      <c r="V108" s="257">
        <f t="shared" si="11"/>
        <v>151710.85246598657</v>
      </c>
      <c r="W108" s="255">
        <f t="shared" si="12"/>
        <v>320363.01854767278</v>
      </c>
      <c r="X108" s="257">
        <f t="shared" si="13"/>
        <v>550244.97674683272</v>
      </c>
      <c r="Y108" s="255">
        <f t="shared" si="14"/>
        <v>970228.82133684983</v>
      </c>
      <c r="Z108" s="257">
        <f t="shared" si="15"/>
        <v>20473002.145854771</v>
      </c>
      <c r="AA108" s="257">
        <f t="shared" si="16"/>
        <v>550244.97674683272</v>
      </c>
    </row>
    <row r="109" spans="18:27" x14ac:dyDescent="0.25">
      <c r="R109" s="253">
        <f t="shared" si="17"/>
        <v>80</v>
      </c>
      <c r="S109" s="254"/>
      <c r="T109" s="255">
        <f t="shared" si="9"/>
        <v>98558.05213571302</v>
      </c>
      <c r="U109" s="256">
        <f t="shared" si="10"/>
        <v>122888.23693662015</v>
      </c>
      <c r="V109" s="257">
        <f t="shared" si="11"/>
        <v>155001.51525297636</v>
      </c>
      <c r="W109" s="255">
        <f t="shared" si="12"/>
        <v>331003.90910410293</v>
      </c>
      <c r="X109" s="257">
        <f t="shared" si="13"/>
        <v>573294.77581670601</v>
      </c>
      <c r="Y109" s="255">
        <f t="shared" si="14"/>
        <v>1019790.2624036924</v>
      </c>
      <c r="Z109" s="257">
        <f t="shared" si="15"/>
        <v>22521402.360440247</v>
      </c>
      <c r="AA109" s="257">
        <f t="shared" si="16"/>
        <v>573294.77581670601</v>
      </c>
    </row>
    <row r="110" spans="18:27" x14ac:dyDescent="0.25">
      <c r="R110" s="253">
        <f t="shared" si="17"/>
        <v>81</v>
      </c>
      <c r="S110" s="254"/>
      <c r="T110" s="255">
        <f t="shared" si="9"/>
        <v>100055.84239639157</v>
      </c>
      <c r="U110" s="256">
        <f t="shared" si="10"/>
        <v>125127.11930598634</v>
      </c>
      <c r="V110" s="257">
        <f t="shared" si="11"/>
        <v>158341.53798177099</v>
      </c>
      <c r="W110" s="255">
        <f t="shared" si="12"/>
        <v>341964.02637722605</v>
      </c>
      <c r="X110" s="257">
        <f t="shared" si="13"/>
        <v>597266.56684937445</v>
      </c>
      <c r="Y110" s="255">
        <f t="shared" si="14"/>
        <v>1071829.775523877</v>
      </c>
      <c r="Z110" s="257">
        <f t="shared" si="15"/>
        <v>24774642.596484274</v>
      </c>
      <c r="AA110" s="257">
        <f t="shared" si="16"/>
        <v>597266.56684937445</v>
      </c>
    </row>
    <row r="111" spans="18:27" x14ac:dyDescent="0.25">
      <c r="R111" s="253">
        <f t="shared" si="17"/>
        <v>82</v>
      </c>
      <c r="S111" s="254"/>
      <c r="T111" s="255">
        <f t="shared" si="9"/>
        <v>101561.12160837346</v>
      </c>
      <c r="U111" s="256">
        <f t="shared" si="10"/>
        <v>127388.39049904625</v>
      </c>
      <c r="V111" s="257">
        <f t="shared" si="11"/>
        <v>161731.66105149753</v>
      </c>
      <c r="W111" s="255">
        <f t="shared" si="12"/>
        <v>353252.94716854277</v>
      </c>
      <c r="X111" s="257">
        <f t="shared" si="13"/>
        <v>622197.22952334932</v>
      </c>
      <c r="Y111" s="255">
        <f t="shared" si="14"/>
        <v>1126471.2643000709</v>
      </c>
      <c r="Z111" s="257">
        <f t="shared" si="15"/>
        <v>27253206.856132697</v>
      </c>
      <c r="AA111" s="257">
        <f t="shared" si="16"/>
        <v>622197.22952334932</v>
      </c>
    </row>
    <row r="112" spans="18:27" x14ac:dyDescent="0.25">
      <c r="R112" s="253">
        <f t="shared" si="17"/>
        <v>83</v>
      </c>
      <c r="S112" s="254"/>
      <c r="T112" s="255">
        <f t="shared" si="9"/>
        <v>103073.92721641532</v>
      </c>
      <c r="U112" s="256">
        <f t="shared" si="10"/>
        <v>129672.27440403667</v>
      </c>
      <c r="V112" s="257">
        <f t="shared" si="11"/>
        <v>165172.63596726995</v>
      </c>
      <c r="W112" s="255">
        <f t="shared" si="12"/>
        <v>364880.535583599</v>
      </c>
      <c r="X112" s="257">
        <f t="shared" si="13"/>
        <v>648125.11870428349</v>
      </c>
      <c r="Y112" s="255">
        <f t="shared" si="14"/>
        <v>1183844.8275150743</v>
      </c>
      <c r="Z112" s="257">
        <f t="shared" si="15"/>
        <v>29979627.541745983</v>
      </c>
      <c r="AA112" s="257">
        <f t="shared" si="16"/>
        <v>648125.11870428349</v>
      </c>
    </row>
    <row r="113" spans="18:27" x14ac:dyDescent="0.25">
      <c r="R113" s="253">
        <f t="shared" si="17"/>
        <v>84</v>
      </c>
      <c r="S113" s="254"/>
      <c r="T113" s="255">
        <f t="shared" si="9"/>
        <v>104594.29685249734</v>
      </c>
      <c r="U113" s="256">
        <f t="shared" si="10"/>
        <v>131978.99714807703</v>
      </c>
      <c r="V113" s="257">
        <f t="shared" si="11"/>
        <v>168665.22550677895</v>
      </c>
      <c r="W113" s="255">
        <f t="shared" si="12"/>
        <v>376856.95165110705</v>
      </c>
      <c r="X113" s="257">
        <f t="shared" si="13"/>
        <v>675090.12345245469</v>
      </c>
      <c r="Y113" s="255">
        <f t="shared" si="14"/>
        <v>1244087.0688908279</v>
      </c>
      <c r="Z113" s="257">
        <f t="shared" si="15"/>
        <v>32978690.295920573</v>
      </c>
      <c r="AA113" s="257">
        <f t="shared" si="16"/>
        <v>675090.12345245469</v>
      </c>
    </row>
    <row r="114" spans="18:27" x14ac:dyDescent="0.25">
      <c r="R114" s="253">
        <f t="shared" si="17"/>
        <v>85</v>
      </c>
      <c r="S114" s="254"/>
      <c r="T114" s="255">
        <f t="shared" si="9"/>
        <v>106122.26833675973</v>
      </c>
      <c r="U114" s="256">
        <f t="shared" si="10"/>
        <v>134308.78711955773</v>
      </c>
      <c r="V114" s="257">
        <f t="shared" si="11"/>
        <v>172210.20388938062</v>
      </c>
      <c r="W114" s="255">
        <f t="shared" si="12"/>
        <v>389192.66020064015</v>
      </c>
      <c r="X114" s="257">
        <f t="shared" si="13"/>
        <v>703133.72839055303</v>
      </c>
      <c r="Y114" s="255">
        <f t="shared" si="14"/>
        <v>1307341.4223353693</v>
      </c>
      <c r="Z114" s="257">
        <f t="shared" si="15"/>
        <v>36277659.32551264</v>
      </c>
      <c r="AA114" s="257">
        <f t="shared" si="16"/>
        <v>703133.72839055303</v>
      </c>
    </row>
    <row r="115" spans="18:27" x14ac:dyDescent="0.25">
      <c r="R115" s="253">
        <f t="shared" si="17"/>
        <v>86</v>
      </c>
      <c r="S115" s="254"/>
      <c r="T115" s="255">
        <f t="shared" si="9"/>
        <v>107657.87967844348</v>
      </c>
      <c r="U115" s="256">
        <f t="shared" si="10"/>
        <v>136661.87499075339</v>
      </c>
      <c r="V115" s="257">
        <f t="shared" si="11"/>
        <v>175808.35694772127</v>
      </c>
      <c r="W115" s="255">
        <f t="shared" si="12"/>
        <v>401898.44000665942</v>
      </c>
      <c r="X115" s="257">
        <f t="shared" si="13"/>
        <v>732299.07752617518</v>
      </c>
      <c r="Y115" s="255">
        <f t="shared" si="14"/>
        <v>1373758.4934521378</v>
      </c>
      <c r="Z115" s="257">
        <f t="shared" si="15"/>
        <v>39906525.258063897</v>
      </c>
      <c r="AA115" s="257">
        <f t="shared" si="16"/>
        <v>732299.07752617518</v>
      </c>
    </row>
    <row r="116" spans="18:27" x14ac:dyDescent="0.25">
      <c r="R116" s="253">
        <f t="shared" si="17"/>
        <v>87</v>
      </c>
      <c r="S116" s="254"/>
      <c r="T116" s="255">
        <f t="shared" si="9"/>
        <v>109201.16907683563</v>
      </c>
      <c r="U116" s="256">
        <f t="shared" si="10"/>
        <v>139038.49374066087</v>
      </c>
      <c r="V116" s="257">
        <f t="shared" si="11"/>
        <v>179460.48230193704</v>
      </c>
      <c r="W116" s="255">
        <f t="shared" si="12"/>
        <v>414985.3932068593</v>
      </c>
      <c r="X116" s="257">
        <f t="shared" si="13"/>
        <v>762631.04062722193</v>
      </c>
      <c r="Y116" s="255">
        <f t="shared" si="14"/>
        <v>1443496.4181247449</v>
      </c>
      <c r="Z116" s="257">
        <f t="shared" si="15"/>
        <v>43898277.783870302</v>
      </c>
      <c r="AA116" s="257">
        <f t="shared" si="16"/>
        <v>762631.04062722193</v>
      </c>
    </row>
    <row r="117" spans="18:27" x14ac:dyDescent="0.25">
      <c r="R117" s="253">
        <f t="shared" si="17"/>
        <v>88</v>
      </c>
      <c r="S117" s="254"/>
      <c r="T117" s="255">
        <f t="shared" si="9"/>
        <v>110752.17492221984</v>
      </c>
      <c r="U117" s="256">
        <f t="shared" si="10"/>
        <v>141438.87867806756</v>
      </c>
      <c r="V117" s="257">
        <f t="shared" si="11"/>
        <v>183167.38953646607</v>
      </c>
      <c r="W117" s="255">
        <f t="shared" si="12"/>
        <v>428464.95500306494</v>
      </c>
      <c r="X117" s="257">
        <f t="shared" si="13"/>
        <v>794176.28225231101</v>
      </c>
      <c r="Y117" s="255">
        <f t="shared" si="14"/>
        <v>1516721.2390309819</v>
      </c>
      <c r="Z117" s="257">
        <f t="shared" si="15"/>
        <v>48289205.56225732</v>
      </c>
      <c r="AA117" s="257">
        <f t="shared" si="16"/>
        <v>794176.28225231101</v>
      </c>
    </row>
    <row r="118" spans="18:27" x14ac:dyDescent="0.25">
      <c r="R118" s="253">
        <f t="shared" si="17"/>
        <v>89</v>
      </c>
      <c r="S118" s="254"/>
      <c r="T118" s="255">
        <f t="shared" si="9"/>
        <v>112310.93579683091</v>
      </c>
      <c r="U118" s="256">
        <f t="shared" si="10"/>
        <v>143863.26746484829</v>
      </c>
      <c r="V118" s="257">
        <f t="shared" si="11"/>
        <v>186929.90037951307</v>
      </c>
      <c r="W118" s="255">
        <f t="shared" si="12"/>
        <v>442348.90365315689</v>
      </c>
      <c r="X118" s="257">
        <f t="shared" si="13"/>
        <v>826983.33354240365</v>
      </c>
      <c r="Y118" s="255">
        <f t="shared" si="14"/>
        <v>1593607.3009825314</v>
      </c>
      <c r="Z118" s="257">
        <f t="shared" si="15"/>
        <v>53119226.118483074</v>
      </c>
      <c r="AA118" s="257">
        <f t="shared" si="16"/>
        <v>826983.33354240365</v>
      </c>
    </row>
    <row r="119" spans="18:27" x14ac:dyDescent="0.25">
      <c r="R119" s="253">
        <f t="shared" si="17"/>
        <v>90</v>
      </c>
      <c r="S119" s="254"/>
      <c r="T119" s="255">
        <f t="shared" si="9"/>
        <v>113877.49047581499</v>
      </c>
      <c r="U119" s="256">
        <f t="shared" si="10"/>
        <v>146311.90013949675</v>
      </c>
      <c r="V119" s="257">
        <f t="shared" si="11"/>
        <v>190748.84888520572</v>
      </c>
      <c r="W119" s="255">
        <f t="shared" si="12"/>
        <v>456649.37076275167</v>
      </c>
      <c r="X119" s="257">
        <f t="shared" si="13"/>
        <v>861102.66688409972</v>
      </c>
      <c r="Y119" s="255">
        <f t="shared" si="14"/>
        <v>1674337.6660316577</v>
      </c>
      <c r="Z119" s="257">
        <f t="shared" si="15"/>
        <v>58432248.730331376</v>
      </c>
      <c r="AA119" s="257">
        <f t="shared" si="16"/>
        <v>861102.66688409972</v>
      </c>
    </row>
    <row r="120" spans="18:27" x14ac:dyDescent="0.25">
      <c r="R120" s="253">
        <f t="shared" si="17"/>
        <v>91</v>
      </c>
      <c r="S120" s="254"/>
      <c r="T120" s="255">
        <f t="shared" si="9"/>
        <v>115451.87792819402</v>
      </c>
      <c r="U120" s="256">
        <f t="shared" si="10"/>
        <v>148785.01914089167</v>
      </c>
      <c r="V120" s="257">
        <f t="shared" si="11"/>
        <v>194625.08161848379</v>
      </c>
      <c r="W120" s="255">
        <f t="shared" si="12"/>
        <v>471378.85188563413</v>
      </c>
      <c r="X120" s="257">
        <f t="shared" si="13"/>
        <v>896586.77355946379</v>
      </c>
      <c r="Y120" s="255">
        <f t="shared" si="14"/>
        <v>1759104.5493332408</v>
      </c>
      <c r="Z120" s="257">
        <f t="shared" si="15"/>
        <v>64276573.60336452</v>
      </c>
      <c r="AA120" s="257">
        <f t="shared" si="16"/>
        <v>896586.77355946379</v>
      </c>
    </row>
    <row r="121" spans="18:27" x14ac:dyDescent="0.25">
      <c r="R121" s="253">
        <f t="shared" si="17"/>
        <v>92</v>
      </c>
      <c r="S121" s="254"/>
      <c r="T121" s="255">
        <f t="shared" si="9"/>
        <v>117034.1373178349</v>
      </c>
      <c r="U121" s="256">
        <f t="shared" si="10"/>
        <v>151282.86933230056</v>
      </c>
      <c r="V121" s="257">
        <f t="shared" si="11"/>
        <v>198559.45784276098</v>
      </c>
      <c r="W121" s="255">
        <f t="shared" si="12"/>
        <v>486550.2174422032</v>
      </c>
      <c r="X121" s="257">
        <f t="shared" si="13"/>
        <v>933490.24450184242</v>
      </c>
      <c r="Y121" s="255">
        <f t="shared" si="14"/>
        <v>1848109.7767999028</v>
      </c>
      <c r="Z121" s="257">
        <f t="shared" si="15"/>
        <v>70705330.963700965</v>
      </c>
      <c r="AA121" s="257">
        <f t="shared" si="16"/>
        <v>933490.24450184242</v>
      </c>
    </row>
    <row r="122" spans="18:27" x14ac:dyDescent="0.25">
      <c r="R122" s="253">
        <f t="shared" si="17"/>
        <v>93</v>
      </c>
      <c r="S122" s="254"/>
      <c r="T122" s="255">
        <f t="shared" si="9"/>
        <v>118624.30800442405</v>
      </c>
      <c r="U122" s="256">
        <f t="shared" si="10"/>
        <v>153805.6980256236</v>
      </c>
      <c r="V122" s="257">
        <f t="shared" si="11"/>
        <v>202552.84971040237</v>
      </c>
      <c r="W122" s="255">
        <f t="shared" si="12"/>
        <v>502176.72396546922</v>
      </c>
      <c r="X122" s="257">
        <f t="shared" si="13"/>
        <v>971869.85428191628</v>
      </c>
      <c r="Y122" s="255">
        <f t="shared" si="14"/>
        <v>1941565.2656398984</v>
      </c>
      <c r="Z122" s="257">
        <f t="shared" si="15"/>
        <v>77776964.060071066</v>
      </c>
      <c r="AA122" s="257">
        <f t="shared" si="16"/>
        <v>971869.85428191628</v>
      </c>
    </row>
    <row r="123" spans="18:27" x14ac:dyDescent="0.25">
      <c r="R123" s="253">
        <f t="shared" si="17"/>
        <v>94</v>
      </c>
      <c r="S123" s="254"/>
      <c r="T123" s="255">
        <f t="shared" si="9"/>
        <v>120222.42954444612</v>
      </c>
      <c r="U123" s="256">
        <f t="shared" si="10"/>
        <v>156353.75500587988</v>
      </c>
      <c r="V123" s="257">
        <f t="shared" si="11"/>
        <v>206606.14245605833</v>
      </c>
      <c r="W123" s="255">
        <f t="shared" si="12"/>
        <v>518272.02568443329</v>
      </c>
      <c r="X123" s="257">
        <f t="shared" si="13"/>
        <v>1011784.6484531926</v>
      </c>
      <c r="Y123" s="255">
        <f t="shared" si="14"/>
        <v>2039693.5289218924</v>
      </c>
      <c r="Z123" s="257">
        <f t="shared" si="15"/>
        <v>85555760.466078192</v>
      </c>
      <c r="AA123" s="257">
        <f t="shared" si="16"/>
        <v>1011784.6484531926</v>
      </c>
    </row>
    <row r="124" spans="18:27" x14ac:dyDescent="0.25">
      <c r="R124" s="253">
        <f t="shared" si="17"/>
        <v>95</v>
      </c>
      <c r="S124" s="254"/>
      <c r="T124" s="255">
        <f t="shared" si="9"/>
        <v>121828.54169216826</v>
      </c>
      <c r="U124" s="256">
        <f t="shared" si="10"/>
        <v>158927.29255593859</v>
      </c>
      <c r="V124" s="257">
        <f t="shared" si="11"/>
        <v>210720.23459289919</v>
      </c>
      <c r="W124" s="255">
        <f t="shared" si="12"/>
        <v>534850.18645496632</v>
      </c>
      <c r="X124" s="257">
        <f t="shared" si="13"/>
        <v>1053296.0343913205</v>
      </c>
      <c r="Y124" s="255">
        <f t="shared" si="14"/>
        <v>2142728.205367988</v>
      </c>
      <c r="Z124" s="257">
        <f t="shared" si="15"/>
        <v>94112436.512686014</v>
      </c>
      <c r="AA124" s="257">
        <f t="shared" si="16"/>
        <v>1053296.0343913205</v>
      </c>
    </row>
    <row r="125" spans="18:27" x14ac:dyDescent="0.25">
      <c r="R125" s="253">
        <f t="shared" si="17"/>
        <v>96</v>
      </c>
      <c r="S125" s="254"/>
      <c r="T125" s="255">
        <f t="shared" si="9"/>
        <v>123442.68440062909</v>
      </c>
      <c r="U125" s="256">
        <f t="shared" si="10"/>
        <v>161526.56548149805</v>
      </c>
      <c r="V125" s="257">
        <f t="shared" si="11"/>
        <v>214896.03811179264</v>
      </c>
      <c r="W125" s="255">
        <f t="shared" si="12"/>
        <v>551925.69204861531</v>
      </c>
      <c r="X125" s="257">
        <f t="shared" si="13"/>
        <v>1096467.8757669735</v>
      </c>
      <c r="Y125" s="255">
        <f t="shared" si="14"/>
        <v>2250914.6156363869</v>
      </c>
      <c r="Z125" s="257">
        <f t="shared" si="15"/>
        <v>103524780.16395463</v>
      </c>
      <c r="AA125" s="257">
        <f t="shared" si="16"/>
        <v>1096467.8757669735</v>
      </c>
    </row>
    <row r="126" spans="18:27" x14ac:dyDescent="0.25">
      <c r="R126" s="253">
        <f t="shared" si="17"/>
        <v>97</v>
      </c>
      <c r="S126" s="254"/>
      <c r="T126" s="255">
        <f t="shared" si="9"/>
        <v>125064.89782263218</v>
      </c>
      <c r="U126" s="256">
        <f t="shared" si="10"/>
        <v>164151.83113631306</v>
      </c>
      <c r="V126" s="257">
        <f t="shared" si="11"/>
        <v>219134.47868346947</v>
      </c>
      <c r="W126" s="255">
        <f t="shared" si="12"/>
        <v>569513.46281007363</v>
      </c>
      <c r="X126" s="257">
        <f t="shared" si="13"/>
        <v>1141366.5907976523</v>
      </c>
      <c r="Y126" s="255">
        <f t="shared" si="14"/>
        <v>2364510.3464182066</v>
      </c>
      <c r="Z126" s="257">
        <f t="shared" si="15"/>
        <v>113878358.18035011</v>
      </c>
      <c r="AA126" s="257">
        <f t="shared" si="16"/>
        <v>1141366.5907976523</v>
      </c>
    </row>
    <row r="127" spans="18:27" x14ac:dyDescent="0.25">
      <c r="R127" s="253">
        <f t="shared" si="17"/>
        <v>98</v>
      </c>
      <c r="S127" s="254"/>
      <c r="T127" s="255">
        <f t="shared" si="9"/>
        <v>126695.2223117453</v>
      </c>
      <c r="U127" s="256">
        <f t="shared" si="10"/>
        <v>166803.34944767613</v>
      </c>
      <c r="V127" s="257">
        <f t="shared" si="11"/>
        <v>223436.4958637215</v>
      </c>
      <c r="W127" s="255">
        <f t="shared" si="12"/>
        <v>587628.86669437587</v>
      </c>
      <c r="X127" s="257">
        <f t="shared" si="13"/>
        <v>1188061.2544295585</v>
      </c>
      <c r="Y127" s="255">
        <f t="shared" si="14"/>
        <v>2483785.8637391166</v>
      </c>
      <c r="Z127" s="257">
        <f t="shared" si="15"/>
        <v>125267293.99838512</v>
      </c>
      <c r="AA127" s="257">
        <f t="shared" si="16"/>
        <v>1188061.2544295585</v>
      </c>
    </row>
    <row r="128" spans="18:27" x14ac:dyDescent="0.25">
      <c r="R128" s="253">
        <f t="shared" si="17"/>
        <v>99</v>
      </c>
      <c r="S128" s="254"/>
      <c r="T128" s="255">
        <f t="shared" si="9"/>
        <v>128333.69842330401</v>
      </c>
      <c r="U128" s="256">
        <f t="shared" si="10"/>
        <v>169481.38294215285</v>
      </c>
      <c r="V128" s="257">
        <f t="shared" si="11"/>
        <v>227803.04330167733</v>
      </c>
      <c r="W128" s="255">
        <f t="shared" si="12"/>
        <v>606287.73269520712</v>
      </c>
      <c r="X128" s="257">
        <f t="shared" si="13"/>
        <v>1236623.704606741</v>
      </c>
      <c r="Y128" s="255">
        <f t="shared" si="14"/>
        <v>2609025.1569260736</v>
      </c>
      <c r="Z128" s="257">
        <f t="shared" si="15"/>
        <v>137795123.39822367</v>
      </c>
      <c r="AA128" s="257">
        <f t="shared" si="16"/>
        <v>1236623.704606741</v>
      </c>
    </row>
    <row r="129" spans="18:27" x14ac:dyDescent="0.25">
      <c r="R129" s="253">
        <f t="shared" si="17"/>
        <v>100</v>
      </c>
      <c r="S129" s="254"/>
      <c r="T129" s="255">
        <f t="shared" si="9"/>
        <v>129980.3669154204</v>
      </c>
      <c r="U129" s="256">
        <f t="shared" si="10"/>
        <v>172186.19677157441</v>
      </c>
      <c r="V129" s="257">
        <f t="shared" si="11"/>
        <v>232235.08895120237</v>
      </c>
      <c r="W129" s="255">
        <f t="shared" si="12"/>
        <v>625506.36467606341</v>
      </c>
      <c r="X129" s="257">
        <f t="shared" si="13"/>
        <v>1287128.6527910104</v>
      </c>
      <c r="Y129" s="255">
        <f t="shared" si="14"/>
        <v>2740526.414772376</v>
      </c>
      <c r="Z129" s="257">
        <f t="shared" si="15"/>
        <v>151575735.73804602</v>
      </c>
      <c r="AA129" s="257">
        <f t="shared" si="16"/>
        <v>1287128.6527910104</v>
      </c>
    </row>
    <row r="130" spans="18:27" x14ac:dyDescent="0.25">
      <c r="R130" s="253">
        <f t="shared" si="17"/>
        <v>101</v>
      </c>
      <c r="S130" s="254"/>
      <c r="T130" s="255">
        <f t="shared" si="9"/>
        <v>131635.26874999746</v>
      </c>
      <c r="U130" s="256">
        <f t="shared" si="10"/>
        <v>174918.05873929019</v>
      </c>
      <c r="V130" s="257">
        <f t="shared" si="11"/>
        <v>236733.61528547038</v>
      </c>
      <c r="W130" s="255">
        <f t="shared" si="12"/>
        <v>645301.55561634526</v>
      </c>
      <c r="X130" s="257">
        <f t="shared" si="13"/>
        <v>1339653.7989026513</v>
      </c>
      <c r="Y130" s="255">
        <f t="shared" si="14"/>
        <v>2878602.7355109947</v>
      </c>
      <c r="Z130" s="257">
        <f t="shared" si="15"/>
        <v>166734409.31185061</v>
      </c>
      <c r="AA130" s="257">
        <f t="shared" si="16"/>
        <v>1339653.7989026513</v>
      </c>
    </row>
    <row r="131" spans="18:27" x14ac:dyDescent="0.25">
      <c r="R131" s="253">
        <f t="shared" si="17"/>
        <v>102</v>
      </c>
      <c r="S131" s="254"/>
      <c r="T131" s="255">
        <f t="shared" si="9"/>
        <v>133298.4450937474</v>
      </c>
      <c r="U131" s="256">
        <f t="shared" si="10"/>
        <v>177677.23932668311</v>
      </c>
      <c r="V131" s="257">
        <f t="shared" si="11"/>
        <v>241299.61951475235</v>
      </c>
      <c r="W131" s="255">
        <f t="shared" si="12"/>
        <v>665690.60228483565</v>
      </c>
      <c r="X131" s="257">
        <f t="shared" si="13"/>
        <v>1394279.9508587571</v>
      </c>
      <c r="Y131" s="255">
        <f t="shared" si="14"/>
        <v>3023582.8722865446</v>
      </c>
      <c r="Z131" s="257">
        <f t="shared" si="15"/>
        <v>183408950.24303567</v>
      </c>
      <c r="AA131" s="257">
        <f t="shared" si="16"/>
        <v>1394279.9508587571</v>
      </c>
    </row>
    <row r="132" spans="18:27" x14ac:dyDescent="0.25">
      <c r="R132" s="253">
        <f t="shared" si="17"/>
        <v>103</v>
      </c>
      <c r="S132" s="254"/>
      <c r="T132" s="255">
        <f t="shared" si="9"/>
        <v>134969.93731921611</v>
      </c>
      <c r="U132" s="256">
        <f t="shared" si="10"/>
        <v>180464.01171994986</v>
      </c>
      <c r="V132" s="257">
        <f t="shared" si="11"/>
        <v>245934.11380747365</v>
      </c>
      <c r="W132" s="255">
        <f t="shared" si="12"/>
        <v>686691.32035338075</v>
      </c>
      <c r="X132" s="257">
        <f t="shared" si="13"/>
        <v>1451091.1488931074</v>
      </c>
      <c r="Y132" s="255">
        <f t="shared" si="14"/>
        <v>3175812.0159008726</v>
      </c>
      <c r="Z132" s="257">
        <f t="shared" si="15"/>
        <v>201750945.26733929</v>
      </c>
      <c r="AA132" s="257">
        <f t="shared" si="16"/>
        <v>1451091.1488931074</v>
      </c>
    </row>
    <row r="133" spans="18:27" x14ac:dyDescent="0.25">
      <c r="R133" s="253">
        <f t="shared" si="17"/>
        <v>104</v>
      </c>
      <c r="S133" s="254"/>
      <c r="T133" s="255">
        <f t="shared" si="9"/>
        <v>136649.78700581219</v>
      </c>
      <c r="U133" s="256">
        <f t="shared" si="10"/>
        <v>183278.65183714943</v>
      </c>
      <c r="V133" s="257">
        <f t="shared" si="11"/>
        <v>250638.1255145857</v>
      </c>
      <c r="W133" s="255">
        <f t="shared" si="12"/>
        <v>708322.05996398197</v>
      </c>
      <c r="X133" s="257">
        <f t="shared" si="13"/>
        <v>1510174.7948488323</v>
      </c>
      <c r="Y133" s="255">
        <f t="shared" si="14"/>
        <v>3335652.6166959153</v>
      </c>
      <c r="Z133" s="257">
        <f t="shared" si="15"/>
        <v>221927139.79407319</v>
      </c>
      <c r="AA133" s="257">
        <f t="shared" si="16"/>
        <v>1510174.7948488323</v>
      </c>
    </row>
    <row r="134" spans="18:27" x14ac:dyDescent="0.25">
      <c r="R134" s="253">
        <f t="shared" si="17"/>
        <v>105</v>
      </c>
      <c r="S134" s="254"/>
      <c r="T134" s="255">
        <f t="shared" si="9"/>
        <v>138338.03594084119</v>
      </c>
      <c r="U134" s="256">
        <f t="shared" si="10"/>
        <v>186121.43835552092</v>
      </c>
      <c r="V134" s="257">
        <f t="shared" si="11"/>
        <v>255412.69739730444</v>
      </c>
      <c r="W134" s="255">
        <f t="shared" si="12"/>
        <v>730601.72176290164</v>
      </c>
      <c r="X134" s="257">
        <f t="shared" si="13"/>
        <v>1571621.7866427852</v>
      </c>
      <c r="Y134" s="255">
        <f t="shared" si="14"/>
        <v>3503485.2475307118</v>
      </c>
      <c r="Z134" s="257">
        <f t="shared" si="15"/>
        <v>244120953.77348056</v>
      </c>
      <c r="AA134" s="257">
        <f t="shared" si="16"/>
        <v>1571621.7866427852</v>
      </c>
    </row>
    <row r="135" spans="18:27" x14ac:dyDescent="0.25">
      <c r="R135" s="253">
        <f t="shared" si="17"/>
        <v>106</v>
      </c>
      <c r="S135" s="254"/>
      <c r="T135" s="255">
        <f t="shared" si="9"/>
        <v>140034.7261205453</v>
      </c>
      <c r="U135" s="256">
        <f t="shared" si="10"/>
        <v>188992.65273907618</v>
      </c>
      <c r="V135" s="257">
        <f t="shared" si="11"/>
        <v>260258.88785826397</v>
      </c>
      <c r="W135" s="255">
        <f t="shared" si="12"/>
        <v>753549.77341578866</v>
      </c>
      <c r="X135" s="257">
        <f t="shared" si="13"/>
        <v>1635526.6581084966</v>
      </c>
      <c r="Y135" s="255">
        <f t="shared" si="14"/>
        <v>3679709.5099072475</v>
      </c>
      <c r="Z135" s="257">
        <f t="shared" si="15"/>
        <v>268534149.1508286</v>
      </c>
      <c r="AA135" s="257">
        <f t="shared" si="16"/>
        <v>1635526.6581084966</v>
      </c>
    </row>
    <row r="136" spans="18:27" x14ac:dyDescent="0.25">
      <c r="R136" s="253">
        <f t="shared" si="17"/>
        <v>107</v>
      </c>
      <c r="S136" s="254"/>
      <c r="T136" s="255">
        <f t="shared" si="9"/>
        <v>141739.89975114804</v>
      </c>
      <c r="U136" s="256">
        <f t="shared" si="10"/>
        <v>191892.57926646687</v>
      </c>
      <c r="V136" s="257">
        <f t="shared" si="11"/>
        <v>265177.7711761379</v>
      </c>
      <c r="W136" s="255">
        <f t="shared" si="12"/>
        <v>777186.26661826239</v>
      </c>
      <c r="X136" s="257">
        <f t="shared" si="13"/>
        <v>1701987.7244328365</v>
      </c>
      <c r="Y136" s="255">
        <f t="shared" si="14"/>
        <v>3864744.9854026102</v>
      </c>
      <c r="Z136" s="257">
        <f t="shared" si="15"/>
        <v>295388664.06591153</v>
      </c>
      <c r="AA136" s="257">
        <f t="shared" si="16"/>
        <v>1701987.7244328365</v>
      </c>
    </row>
    <row r="137" spans="18:27" x14ac:dyDescent="0.25">
      <c r="R137" s="253">
        <f t="shared" si="17"/>
        <v>108</v>
      </c>
      <c r="S137" s="254"/>
      <c r="T137" s="255">
        <f t="shared" si="9"/>
        <v>143453.59924990364</v>
      </c>
      <c r="U137" s="256">
        <f t="shared" si="10"/>
        <v>194821.50505913157</v>
      </c>
      <c r="V137" s="257">
        <f t="shared" si="11"/>
        <v>270170.43774377985</v>
      </c>
      <c r="W137" s="255">
        <f t="shared" si="12"/>
        <v>801531.8546168101</v>
      </c>
      <c r="X137" s="257">
        <f t="shared" si="13"/>
        <v>1771107.2334101503</v>
      </c>
      <c r="Y137" s="255">
        <f t="shared" si="14"/>
        <v>4059032.2346727406</v>
      </c>
      <c r="Z137" s="257">
        <f t="shared" si="15"/>
        <v>324928630.47250265</v>
      </c>
      <c r="AA137" s="257">
        <f t="shared" si="16"/>
        <v>1771107.2334101503</v>
      </c>
    </row>
    <row r="138" spans="18:27" x14ac:dyDescent="0.25">
      <c r="R138" s="253">
        <f t="shared" si="17"/>
        <v>109</v>
      </c>
      <c r="S138" s="254"/>
      <c r="T138" s="255">
        <f t="shared" si="9"/>
        <v>145175.8672461531</v>
      </c>
      <c r="U138" s="256">
        <f t="shared" si="10"/>
        <v>197779.72010972293</v>
      </c>
      <c r="V138" s="257">
        <f t="shared" si="11"/>
        <v>275237.99430993653</v>
      </c>
      <c r="W138" s="255">
        <f t="shared" si="12"/>
        <v>826607.81025531446</v>
      </c>
      <c r="X138" s="257">
        <f t="shared" si="13"/>
        <v>1842991.5227465564</v>
      </c>
      <c r="Y138" s="255">
        <f t="shared" si="14"/>
        <v>4263033.8464063779</v>
      </c>
      <c r="Z138" s="257">
        <f t="shared" si="15"/>
        <v>357422593.51975298</v>
      </c>
      <c r="AA138" s="257">
        <f t="shared" si="16"/>
        <v>1842991.5227465564</v>
      </c>
    </row>
    <row r="139" spans="18:27" x14ac:dyDescent="0.25">
      <c r="R139" s="253">
        <f t="shared" si="17"/>
        <v>110</v>
      </c>
      <c r="S139" s="254"/>
      <c r="T139" s="255">
        <f t="shared" si="9"/>
        <v>146906.74658238384</v>
      </c>
      <c r="U139" s="256">
        <f t="shared" si="10"/>
        <v>200767.5173108202</v>
      </c>
      <c r="V139" s="257">
        <f t="shared" si="11"/>
        <v>280381.56422458548</v>
      </c>
      <c r="W139" s="255">
        <f t="shared" si="12"/>
        <v>852436.04456297378</v>
      </c>
      <c r="X139" s="257">
        <f t="shared" si="13"/>
        <v>1917751.1836564187</v>
      </c>
      <c r="Y139" s="255">
        <f t="shared" si="14"/>
        <v>4477235.5387266949</v>
      </c>
      <c r="Z139" s="257">
        <f t="shared" si="15"/>
        <v>393165952.87172836</v>
      </c>
      <c r="AA139" s="257">
        <f t="shared" si="16"/>
        <v>1917751.1836564187</v>
      </c>
    </row>
    <row r="140" spans="18:27" x14ac:dyDescent="0.25">
      <c r="R140" s="253">
        <f t="shared" si="17"/>
        <v>111</v>
      </c>
      <c r="S140" s="254"/>
      <c r="T140" s="255">
        <f t="shared" si="9"/>
        <v>148646.28031529562</v>
      </c>
      <c r="U140" s="256">
        <f t="shared" si="10"/>
        <v>203785.19248392826</v>
      </c>
      <c r="V140" s="257">
        <f t="shared" si="11"/>
        <v>285602.28768795432</v>
      </c>
      <c r="W140" s="255">
        <f t="shared" si="12"/>
        <v>879039.12589986308</v>
      </c>
      <c r="X140" s="257">
        <f t="shared" si="13"/>
        <v>1995501.2310026756</v>
      </c>
      <c r="Y140" s="255">
        <f t="shared" si="14"/>
        <v>4702147.3156630322</v>
      </c>
      <c r="Z140" s="257">
        <f t="shared" si="15"/>
        <v>432483648.15890121</v>
      </c>
      <c r="AA140" s="257">
        <f t="shared" si="16"/>
        <v>1995501.2310026756</v>
      </c>
    </row>
    <row r="141" spans="18:27" x14ac:dyDescent="0.25">
      <c r="R141" s="253">
        <f t="shared" si="17"/>
        <v>112</v>
      </c>
      <c r="S141" s="254"/>
      <c r="T141" s="255">
        <f t="shared" si="9"/>
        <v>150394.51171687208</v>
      </c>
      <c r="U141" s="256">
        <f t="shared" si="10"/>
        <v>206833.04440876763</v>
      </c>
      <c r="V141" s="257">
        <f t="shared" si="11"/>
        <v>290901.32200327353</v>
      </c>
      <c r="W141" s="255">
        <f t="shared" si="12"/>
        <v>906440.29967685905</v>
      </c>
      <c r="X141" s="257">
        <f t="shared" si="13"/>
        <v>2076361.2802427828</v>
      </c>
      <c r="Y141" s="255">
        <f t="shared" si="14"/>
        <v>4938304.6814461844</v>
      </c>
      <c r="Z141" s="257">
        <f t="shared" si="15"/>
        <v>475733112.97479129</v>
      </c>
      <c r="AA141" s="257">
        <f t="shared" si="16"/>
        <v>2076361.2802427828</v>
      </c>
    </row>
    <row r="142" spans="18:27" x14ac:dyDescent="0.25">
      <c r="R142" s="253">
        <f t="shared" si="17"/>
        <v>113</v>
      </c>
      <c r="S142" s="254"/>
      <c r="T142" s="255">
        <f t="shared" si="9"/>
        <v>152151.48427545652</v>
      </c>
      <c r="U142" s="256">
        <f t="shared" si="10"/>
        <v>209911.37485285534</v>
      </c>
      <c r="V142" s="257">
        <f t="shared" si="11"/>
        <v>296279.84183332254</v>
      </c>
      <c r="W142" s="255">
        <f t="shared" si="12"/>
        <v>934663.50866716448</v>
      </c>
      <c r="X142" s="257">
        <f t="shared" si="13"/>
        <v>2160455.7314524944</v>
      </c>
      <c r="Y142" s="255">
        <f t="shared" si="14"/>
        <v>5186269.9155184925</v>
      </c>
      <c r="Z142" s="257">
        <f t="shared" si="15"/>
        <v>523307524.2722705</v>
      </c>
      <c r="AA142" s="257">
        <f t="shared" si="16"/>
        <v>2160455.7314524944</v>
      </c>
    </row>
    <row r="143" spans="18:27" x14ac:dyDescent="0.25">
      <c r="R143" s="253">
        <f t="shared" si="17"/>
        <v>114</v>
      </c>
      <c r="S143" s="254"/>
      <c r="T143" s="255">
        <f t="shared" si="9"/>
        <v>153917.2416968336</v>
      </c>
      <c r="U143" s="256">
        <f t="shared" si="10"/>
        <v>213020.4886013839</v>
      </c>
      <c r="V143" s="257">
        <f t="shared" si="11"/>
        <v>301739.03946082242</v>
      </c>
      <c r="W143" s="255">
        <f t="shared" si="12"/>
        <v>963733.41392717941</v>
      </c>
      <c r="X143" s="257">
        <f t="shared" si="13"/>
        <v>2247913.9607105944</v>
      </c>
      <c r="Y143" s="255">
        <f t="shared" si="14"/>
        <v>5446633.4112944175</v>
      </c>
      <c r="Z143" s="257">
        <f t="shared" si="15"/>
        <v>575639376.69949758</v>
      </c>
      <c r="AA143" s="257">
        <f t="shared" si="16"/>
        <v>2247913.9607105944</v>
      </c>
    </row>
    <row r="144" spans="18:27" x14ac:dyDescent="0.25">
      <c r="R144" s="253">
        <f t="shared" si="17"/>
        <v>115</v>
      </c>
      <c r="S144" s="254"/>
      <c r="T144" s="255">
        <f t="shared" si="9"/>
        <v>155691.8279053178</v>
      </c>
      <c r="U144" s="256">
        <f t="shared" si="10"/>
        <v>216160.69348739769</v>
      </c>
      <c r="V144" s="257">
        <f t="shared" si="11"/>
        <v>307280.12505273474</v>
      </c>
      <c r="W144" s="255">
        <f t="shared" si="12"/>
        <v>993675.41634499491</v>
      </c>
      <c r="X144" s="257">
        <f t="shared" si="13"/>
        <v>2338870.5191390179</v>
      </c>
      <c r="Y144" s="255">
        <f t="shared" si="14"/>
        <v>5720015.0818591379</v>
      </c>
      <c r="Z144" s="257">
        <f t="shared" si="15"/>
        <v>633204414.36944735</v>
      </c>
      <c r="AA144" s="257">
        <f t="shared" si="16"/>
        <v>2338870.5191390179</v>
      </c>
    </row>
    <row r="145" spans="18:27" x14ac:dyDescent="0.25">
      <c r="R145" s="253">
        <f t="shared" si="17"/>
        <v>116</v>
      </c>
      <c r="S145" s="254"/>
      <c r="T145" s="255">
        <f t="shared" si="9"/>
        <v>157475.28704484427</v>
      </c>
      <c r="U145" s="256">
        <f t="shared" si="10"/>
        <v>219332.30042227168</v>
      </c>
      <c r="V145" s="257">
        <f t="shared" si="11"/>
        <v>312904.3269285257</v>
      </c>
      <c r="W145" s="255">
        <f t="shared" si="12"/>
        <v>1024515.6788353447</v>
      </c>
      <c r="X145" s="257">
        <f t="shared" si="13"/>
        <v>2433465.3399045789</v>
      </c>
      <c r="Y145" s="255">
        <f t="shared" si="14"/>
        <v>6007065.8359520948</v>
      </c>
      <c r="Z145" s="257">
        <f t="shared" si="15"/>
        <v>696525955.80639219</v>
      </c>
      <c r="AA145" s="257">
        <f t="shared" si="16"/>
        <v>2433465.3399045789</v>
      </c>
    </row>
    <row r="146" spans="18:27" x14ac:dyDescent="0.25">
      <c r="R146" s="253">
        <f t="shared" si="17"/>
        <v>117</v>
      </c>
      <c r="S146" s="254"/>
      <c r="T146" s="255">
        <f t="shared" si="9"/>
        <v>159267.66348006847</v>
      </c>
      <c r="U146" s="256">
        <f t="shared" si="10"/>
        <v>222535.62342649436</v>
      </c>
      <c r="V146" s="257">
        <f t="shared" si="11"/>
        <v>318612.89183245343</v>
      </c>
      <c r="W146" s="255">
        <f t="shared" si="12"/>
        <v>1056281.1492004048</v>
      </c>
      <c r="X146" s="257">
        <f t="shared" si="13"/>
        <v>2531843.9535007626</v>
      </c>
      <c r="Y146" s="255">
        <f t="shared" si="14"/>
        <v>6308469.1277496992</v>
      </c>
      <c r="Z146" s="257">
        <f t="shared" si="15"/>
        <v>766179651.38703132</v>
      </c>
      <c r="AA146" s="257">
        <f t="shared" si="16"/>
        <v>2531843.9535007626</v>
      </c>
    </row>
    <row r="147" spans="18:27" x14ac:dyDescent="0.25">
      <c r="R147" s="253">
        <f t="shared" si="17"/>
        <v>118</v>
      </c>
      <c r="S147" s="254"/>
      <c r="T147" s="255">
        <f t="shared" si="9"/>
        <v>161069.00179746866</v>
      </c>
      <c r="U147" s="256">
        <f t="shared" si="10"/>
        <v>225770.97966075939</v>
      </c>
      <c r="V147" s="257">
        <f t="shared" si="11"/>
        <v>324407.08520994009</v>
      </c>
      <c r="W147" s="255">
        <f t="shared" si="12"/>
        <v>1088999.5836764171</v>
      </c>
      <c r="X147" s="257">
        <f t="shared" si="13"/>
        <v>2634157.7116407929</v>
      </c>
      <c r="Y147" s="255">
        <f t="shared" si="14"/>
        <v>6624942.5841371836</v>
      </c>
      <c r="Z147" s="257">
        <f t="shared" si="15"/>
        <v>842798716.52573478</v>
      </c>
      <c r="AA147" s="257">
        <f t="shared" si="16"/>
        <v>2634157.7116407929</v>
      </c>
    </row>
    <row r="148" spans="18:27" x14ac:dyDescent="0.25">
      <c r="R148" s="253">
        <f t="shared" si="17"/>
        <v>119</v>
      </c>
      <c r="S148" s="254"/>
      <c r="T148" s="255">
        <f t="shared" si="9"/>
        <v>162879.34680645604</v>
      </c>
      <c r="U148" s="256">
        <f t="shared" si="10"/>
        <v>229038.68945736688</v>
      </c>
      <c r="V148" s="257">
        <f t="shared" si="11"/>
        <v>330288.19148808927</v>
      </c>
      <c r="W148" s="255">
        <f t="shared" si="12"/>
        <v>1122699.5711867097</v>
      </c>
      <c r="X148" s="257">
        <f t="shared" si="13"/>
        <v>2740564.0201064241</v>
      </c>
      <c r="Y148" s="255">
        <f t="shared" si="14"/>
        <v>6957239.7133440441</v>
      </c>
      <c r="Z148" s="257">
        <f t="shared" si="15"/>
        <v>927079688.17830837</v>
      </c>
      <c r="AA148" s="257">
        <f t="shared" si="16"/>
        <v>2740564.0201064241</v>
      </c>
    </row>
    <row r="149" spans="18:27" x14ac:dyDescent="0.25">
      <c r="R149" s="253">
        <f t="shared" si="17"/>
        <v>120</v>
      </c>
      <c r="S149" s="254"/>
      <c r="T149" s="255">
        <f t="shared" si="9"/>
        <v>164698.7435404883</v>
      </c>
      <c r="U149" s="256">
        <f t="shared" si="10"/>
        <v>232339.07635194063</v>
      </c>
      <c r="V149" s="257">
        <f t="shared" si="11"/>
        <v>336257.51436041051</v>
      </c>
      <c r="W149" s="255">
        <f t="shared" si="12"/>
        <v>1157410.5583223109</v>
      </c>
      <c r="X149" s="257">
        <f t="shared" si="13"/>
        <v>2851226.5809106813</v>
      </c>
      <c r="Y149" s="255">
        <f t="shared" si="14"/>
        <v>7306151.6990112467</v>
      </c>
      <c r="Z149" s="257">
        <f t="shared" si="15"/>
        <v>1019788756.9961389</v>
      </c>
      <c r="AA149" s="257">
        <f t="shared" si="16"/>
        <v>2851226.5809106813</v>
      </c>
    </row>
    <row r="150" spans="18:27" x14ac:dyDescent="0.25">
      <c r="R150" s="253">
        <f t="shared" si="17"/>
        <v>121</v>
      </c>
      <c r="S150" s="254"/>
      <c r="T150" s="255">
        <f t="shared" si="9"/>
        <v>166527.2372581907</v>
      </c>
      <c r="U150" s="256">
        <f t="shared" si="10"/>
        <v>235672.46711546011</v>
      </c>
      <c r="V150" s="257">
        <f t="shared" si="11"/>
        <v>342316.37707581662</v>
      </c>
      <c r="W150" s="255">
        <f t="shared" si="12"/>
        <v>1193162.8750719803</v>
      </c>
      <c r="X150" s="257">
        <f t="shared" si="13"/>
        <v>2966315.6441471097</v>
      </c>
      <c r="Y150" s="255">
        <f t="shared" si="14"/>
        <v>7672509.2839618092</v>
      </c>
      <c r="Z150" s="257">
        <f t="shared" si="15"/>
        <v>1121768732.6957531</v>
      </c>
      <c r="AA150" s="257">
        <f t="shared" si="16"/>
        <v>2966315.6441471097</v>
      </c>
    </row>
    <row r="151" spans="18:27" x14ac:dyDescent="0.25">
      <c r="R151" s="253">
        <f t="shared" si="17"/>
        <v>122</v>
      </c>
      <c r="S151" s="254"/>
      <c r="T151" s="255">
        <f t="shared" si="9"/>
        <v>168364.87344448161</v>
      </c>
      <c r="U151" s="256">
        <f t="shared" si="10"/>
        <v>239039.19178661468</v>
      </c>
      <c r="V151" s="257">
        <f t="shared" si="11"/>
        <v>348466.12273195386</v>
      </c>
      <c r="W151" s="255">
        <f t="shared" si="12"/>
        <v>1229987.7613241398</v>
      </c>
      <c r="X151" s="257">
        <f t="shared" si="13"/>
        <v>3086008.2699129931</v>
      </c>
      <c r="Y151" s="255">
        <f t="shared" si="14"/>
        <v>8057184.7481599003</v>
      </c>
      <c r="Z151" s="257">
        <f t="shared" si="15"/>
        <v>1233946705.9653285</v>
      </c>
      <c r="AA151" s="257">
        <f t="shared" si="16"/>
        <v>3086008.2699129931</v>
      </c>
    </row>
    <row r="152" spans="18:27" x14ac:dyDescent="0.25">
      <c r="R152" s="253">
        <f t="shared" si="17"/>
        <v>123</v>
      </c>
      <c r="S152" s="254"/>
      <c r="T152" s="255">
        <f t="shared" si="9"/>
        <v>170211.6978117039</v>
      </c>
      <c r="U152" s="256">
        <f t="shared" si="10"/>
        <v>242439.58370448078</v>
      </c>
      <c r="V152" s="257">
        <f t="shared" si="11"/>
        <v>354708.11457293306</v>
      </c>
      <c r="W152" s="255">
        <f t="shared" si="12"/>
        <v>1267917.394163864</v>
      </c>
      <c r="X152" s="257">
        <f t="shared" si="13"/>
        <v>3210488.6007095128</v>
      </c>
      <c r="Y152" s="255">
        <f t="shared" si="14"/>
        <v>8461093.9855678938</v>
      </c>
      <c r="Z152" s="257">
        <f t="shared" si="15"/>
        <v>1357342476.5618615</v>
      </c>
      <c r="AA152" s="257">
        <f t="shared" si="16"/>
        <v>3210488.6007095128</v>
      </c>
    </row>
    <row r="153" spans="18:27" x14ac:dyDescent="0.25">
      <c r="R153" s="253">
        <f t="shared" si="17"/>
        <v>124</v>
      </c>
      <c r="S153" s="254"/>
      <c r="T153" s="255">
        <f t="shared" si="9"/>
        <v>172067.75630076238</v>
      </c>
      <c r="U153" s="256">
        <f t="shared" si="10"/>
        <v>245873.97954152556</v>
      </c>
      <c r="V153" s="257">
        <f t="shared" si="11"/>
        <v>361043.73629152687</v>
      </c>
      <c r="W153" s="255">
        <f t="shared" si="12"/>
        <v>1306984.9159887799</v>
      </c>
      <c r="X153" s="257">
        <f t="shared" si="13"/>
        <v>3339948.1447378946</v>
      </c>
      <c r="Y153" s="255">
        <f t="shared" si="14"/>
        <v>8885198.6848462895</v>
      </c>
      <c r="Z153" s="257">
        <f t="shared" si="15"/>
        <v>1493077824.2180474</v>
      </c>
      <c r="AA153" s="257">
        <f t="shared" si="16"/>
        <v>3339948.1447378946</v>
      </c>
    </row>
    <row r="154" spans="18:27" x14ac:dyDescent="0.25">
      <c r="R154" s="253">
        <f t="shared" si="17"/>
        <v>125</v>
      </c>
      <c r="S154" s="254"/>
      <c r="T154" s="255">
        <f t="shared" si="9"/>
        <v>173933.09508226617</v>
      </c>
      <c r="U154" s="256">
        <f t="shared" si="10"/>
        <v>249342.71933694088</v>
      </c>
      <c r="V154" s="257">
        <f t="shared" si="11"/>
        <v>367474.39233589987</v>
      </c>
      <c r="W154" s="255">
        <f t="shared" si="12"/>
        <v>1347224.4634684431</v>
      </c>
      <c r="X154" s="257">
        <f t="shared" si="13"/>
        <v>3474586.0705274101</v>
      </c>
      <c r="Y154" s="255">
        <f t="shared" si="14"/>
        <v>9330508.619088605</v>
      </c>
      <c r="Z154" s="257">
        <f t="shared" si="15"/>
        <v>1642386706.6398525</v>
      </c>
      <c r="AA154" s="257">
        <f t="shared" si="16"/>
        <v>3474586.0705274101</v>
      </c>
    </row>
    <row r="155" spans="18:27" x14ac:dyDescent="0.25">
      <c r="R155" s="253">
        <f t="shared" si="17"/>
        <v>126</v>
      </c>
      <c r="S155" s="254"/>
      <c r="T155" s="255">
        <f t="shared" si="9"/>
        <v>175807.76055767742</v>
      </c>
      <c r="U155" s="256">
        <f t="shared" si="10"/>
        <v>252846.14653031033</v>
      </c>
      <c r="V155" s="257">
        <f t="shared" si="11"/>
        <v>374001.50822093827</v>
      </c>
      <c r="W155" s="255">
        <f t="shared" si="12"/>
        <v>1388671.1973724959</v>
      </c>
      <c r="X155" s="257">
        <f t="shared" si="13"/>
        <v>3614609.5133485063</v>
      </c>
      <c r="Y155" s="255">
        <f t="shared" si="14"/>
        <v>9798084.0500430297</v>
      </c>
      <c r="Z155" s="257">
        <f t="shared" si="15"/>
        <v>1806626477.3038383</v>
      </c>
      <c r="AA155" s="257">
        <f t="shared" si="16"/>
        <v>3614609.5133485063</v>
      </c>
    </row>
    <row r="156" spans="18:27" x14ac:dyDescent="0.25">
      <c r="R156" s="253">
        <f t="shared" si="17"/>
        <v>127</v>
      </c>
      <c r="S156" s="254"/>
      <c r="T156" s="255">
        <f t="shared" si="9"/>
        <v>177691.79936046569</v>
      </c>
      <c r="U156" s="256">
        <f t="shared" si="10"/>
        <v>256384.60799561333</v>
      </c>
      <c r="V156" s="257">
        <f t="shared" si="11"/>
        <v>380626.53084425232</v>
      </c>
      <c r="W156" s="255">
        <f t="shared" si="12"/>
        <v>1431361.3332936713</v>
      </c>
      <c r="X156" s="257">
        <f t="shared" si="13"/>
        <v>3760233.893882446</v>
      </c>
      <c r="Y156" s="255">
        <f t="shared" si="14"/>
        <v>10289038.252545187</v>
      </c>
      <c r="Z156" s="257">
        <f t="shared" si="15"/>
        <v>1987290225.0342216</v>
      </c>
      <c r="AA156" s="257">
        <f t="shared" si="16"/>
        <v>3760233.893882446</v>
      </c>
    </row>
    <row r="157" spans="18:27" x14ac:dyDescent="0.25">
      <c r="R157" s="253">
        <f t="shared" si="17"/>
        <v>128</v>
      </c>
      <c r="S157" s="254"/>
      <c r="T157" s="255">
        <f t="shared" si="9"/>
        <v>179585.258357268</v>
      </c>
      <c r="U157" s="256">
        <f t="shared" si="10"/>
        <v>259958.45407556949</v>
      </c>
      <c r="V157" s="257">
        <f t="shared" si="11"/>
        <v>387350.928806916</v>
      </c>
      <c r="W157" s="255">
        <f t="shared" si="12"/>
        <v>1475332.1732924809</v>
      </c>
      <c r="X157" s="257">
        <f t="shared" si="13"/>
        <v>3911683.2496377453</v>
      </c>
      <c r="Y157" s="255">
        <f t="shared" si="14"/>
        <v>10804540.165172445</v>
      </c>
      <c r="Z157" s="257">
        <f t="shared" si="15"/>
        <v>2186020347.5376439</v>
      </c>
      <c r="AA157" s="257">
        <f t="shared" si="16"/>
        <v>3911683.2496377453</v>
      </c>
    </row>
    <row r="158" spans="18:27" x14ac:dyDescent="0.25">
      <c r="R158" s="253">
        <f t="shared" si="17"/>
        <v>129</v>
      </c>
      <c r="S158" s="254"/>
      <c r="T158" s="255">
        <f t="shared" si="9"/>
        <v>181488.18464905428</v>
      </c>
      <c r="U158" s="256">
        <f t="shared" si="10"/>
        <v>263568.03861632524</v>
      </c>
      <c r="V158" s="257">
        <f t="shared" si="11"/>
        <v>394176.19273901975</v>
      </c>
      <c r="W158" s="255">
        <f t="shared" si="12"/>
        <v>1520622.1384912559</v>
      </c>
      <c r="X158" s="257">
        <f t="shared" si="13"/>
        <v>4069190.5796232554</v>
      </c>
      <c r="Y158" s="255">
        <f t="shared" si="14"/>
        <v>11345817.173431069</v>
      </c>
      <c r="Z158" s="257">
        <f t="shared" si="15"/>
        <v>2404623482.2914085</v>
      </c>
      <c r="AA158" s="257">
        <f t="shared" si="16"/>
        <v>4069190.5796232554</v>
      </c>
    </row>
    <row r="159" spans="18:27" x14ac:dyDescent="0.25">
      <c r="R159" s="253">
        <f t="shared" si="17"/>
        <v>130</v>
      </c>
      <c r="S159" s="254"/>
      <c r="T159" s="255">
        <f t="shared" ref="T159:T222" si="18">IF($M$12="Both(No x value)","Do more",$F$23*(((1+$T$29)^(R159)-1)/$T$29)*(1+$T$29))</f>
        <v>183400.6255722995</v>
      </c>
      <c r="U159" s="256">
        <f t="shared" ref="U159:U222" si="19">IF($M$12="Both(No x value)","Do more",$F$23*(((1+$U$29)^(R159)-1)/$U$29)*(1+$U$29))</f>
        <v>267213.71900248848</v>
      </c>
      <c r="V159" s="257">
        <f t="shared" ref="V159:V222" si="20">IF($M$12="Both(No x value)","Do more",$F$23*(((1+$V$29)^(R159)-1)/$V$29)*(1+$V$29))</f>
        <v>401103.83563010488</v>
      </c>
      <c r="W159" s="255">
        <f t="shared" ref="W159:W222" si="21">IF($M$12="Both(No x value)","Do more",$F$23*(((1+W$29)^(R159)-1)/$W$29)*(1+$W$29))</f>
        <v>1567270.802645993</v>
      </c>
      <c r="X159" s="257">
        <f t="shared" ref="X159:X222" si="22">IF(M141="Both(No x value)","Do more",$F$23*(((1+$X$29)^(R159)-1)/$X$29)*(1+$X$29))</f>
        <v>4232998.2028081855</v>
      </c>
      <c r="Y159" s="255">
        <f t="shared" ref="Y159:Y222" si="23">IF(M141="Both(No x value)","Do more",$F$23*(((1+$Y$29)^(R159)-1)/$Y$29)*(1+$Y$29))</f>
        <v>11914158.03210262</v>
      </c>
      <c r="Z159" s="257">
        <f t="shared" ref="Z159:Z222" si="24">IF(M141="Both(No x value)","Do more",$F$23*(((1+$Z$29)^(R159)-1)/$Z$29)*(1+$Z$29))</f>
        <v>2645086930.5205498</v>
      </c>
      <c r="AA159" s="257">
        <f t="shared" ref="AA159:AA222" si="25">IF(M141="Both(No x value)","Do more",$F$23*(((1+$AA$29)^(R159)-1)/$AA$29)*(1+$AA$29))</f>
        <v>4232998.2028081855</v>
      </c>
    </row>
    <row r="160" spans="18:27" x14ac:dyDescent="0.25">
      <c r="R160" s="253">
        <f t="shared" ref="R160:R223" si="26">1+R159</f>
        <v>131</v>
      </c>
      <c r="S160" s="254"/>
      <c r="T160" s="255">
        <f t="shared" si="18"/>
        <v>185322.62870016097</v>
      </c>
      <c r="U160" s="256">
        <f t="shared" si="19"/>
        <v>270895.85619251331</v>
      </c>
      <c r="V160" s="257">
        <f t="shared" si="20"/>
        <v>408135.39316455647</v>
      </c>
      <c r="W160" s="255">
        <f t="shared" si="21"/>
        <v>1615318.9267253731</v>
      </c>
      <c r="X160" s="257">
        <f t="shared" si="22"/>
        <v>4403358.1309205126</v>
      </c>
      <c r="Y160" s="255">
        <f t="shared" si="23"/>
        <v>12510915.933707753</v>
      </c>
      <c r="Z160" s="257">
        <f t="shared" si="24"/>
        <v>2909596723.5726051</v>
      </c>
      <c r="AA160" s="257">
        <f t="shared" si="25"/>
        <v>4403358.1309205126</v>
      </c>
    </row>
    <row r="161" spans="18:27" x14ac:dyDescent="0.25">
      <c r="R161" s="253">
        <f t="shared" si="26"/>
        <v>132</v>
      </c>
      <c r="S161" s="254"/>
      <c r="T161" s="255">
        <f t="shared" si="18"/>
        <v>187254.2418436617</v>
      </c>
      <c r="U161" s="256">
        <f t="shared" si="19"/>
        <v>274614.81475443853</v>
      </c>
      <c r="V161" s="257">
        <f t="shared" si="20"/>
        <v>415272.42406202474</v>
      </c>
      <c r="W161" s="255">
        <f t="shared" si="21"/>
        <v>1664808.4945271341</v>
      </c>
      <c r="X161" s="257">
        <f t="shared" si="22"/>
        <v>4580532.4561573332</v>
      </c>
      <c r="Y161" s="255">
        <f t="shared" si="23"/>
        <v>13137511.730393142</v>
      </c>
      <c r="Z161" s="257">
        <f t="shared" si="24"/>
        <v>3200557495.9298649</v>
      </c>
      <c r="AA161" s="257">
        <f t="shared" si="25"/>
        <v>4580532.4561573332</v>
      </c>
    </row>
    <row r="162" spans="18:27" x14ac:dyDescent="0.25">
      <c r="R162" s="253">
        <f t="shared" si="26"/>
        <v>133</v>
      </c>
      <c r="S162" s="254"/>
      <c r="T162" s="255">
        <f t="shared" si="18"/>
        <v>189195.51305287992</v>
      </c>
      <c r="U162" s="256">
        <f t="shared" si="19"/>
        <v>278370.96290198289</v>
      </c>
      <c r="V162" s="257">
        <f t="shared" si="20"/>
        <v>422516.51042295503</v>
      </c>
      <c r="W162" s="255">
        <f t="shared" si="21"/>
        <v>1715782.7493629479</v>
      </c>
      <c r="X162" s="257">
        <f t="shared" si="22"/>
        <v>4764793.7544036275</v>
      </c>
      <c r="Y162" s="255">
        <f t="shared" si="23"/>
        <v>13795437.3169128</v>
      </c>
      <c r="Z162" s="257">
        <f t="shared" si="24"/>
        <v>3520614345.5228529</v>
      </c>
      <c r="AA162" s="257">
        <f t="shared" si="25"/>
        <v>4764793.7544036275</v>
      </c>
    </row>
    <row r="163" spans="18:27" x14ac:dyDescent="0.25">
      <c r="R163" s="253">
        <f t="shared" si="26"/>
        <v>134</v>
      </c>
      <c r="S163" s="254"/>
      <c r="T163" s="255">
        <f t="shared" si="18"/>
        <v>191146.49061814428</v>
      </c>
      <c r="U163" s="256">
        <f t="shared" si="19"/>
        <v>282164.67253100273</v>
      </c>
      <c r="V163" s="257">
        <f t="shared" si="20"/>
        <v>429869.25807929924</v>
      </c>
      <c r="W163" s="255">
        <f t="shared" si="21"/>
        <v>1768286.2318438366</v>
      </c>
      <c r="X163" s="257">
        <f t="shared" si="22"/>
        <v>4956425.5045797732</v>
      </c>
      <c r="Y163" s="255">
        <f t="shared" si="23"/>
        <v>14486259.182758439</v>
      </c>
      <c r="Z163" s="257">
        <f t="shared" si="24"/>
        <v>3872676880.0751381</v>
      </c>
      <c r="AA163" s="257">
        <f t="shared" si="25"/>
        <v>4956425.5045797732</v>
      </c>
    </row>
    <row r="164" spans="18:27" x14ac:dyDescent="0.25">
      <c r="R164" s="253">
        <f t="shared" si="26"/>
        <v>135</v>
      </c>
      <c r="S164" s="254"/>
      <c r="T164" s="255">
        <f t="shared" si="18"/>
        <v>193107.22307123491</v>
      </c>
      <c r="U164" s="256">
        <f t="shared" si="19"/>
        <v>285996.31925631262</v>
      </c>
      <c r="V164" s="257">
        <f t="shared" si="20"/>
        <v>437332.2969504887</v>
      </c>
      <c r="W164" s="255">
        <f t="shared" si="21"/>
        <v>1822364.8187991518</v>
      </c>
      <c r="X164" s="257">
        <f t="shared" si="22"/>
        <v>5155722.524762962</v>
      </c>
      <c r="Y164" s="255">
        <f t="shared" si="23"/>
        <v>15211622.14189636</v>
      </c>
      <c r="Z164" s="257">
        <f t="shared" si="24"/>
        <v>4259945668.0826526</v>
      </c>
      <c r="AA164" s="257">
        <f t="shared" si="25"/>
        <v>5155722.524762962</v>
      </c>
    </row>
    <row r="165" spans="18:27" x14ac:dyDescent="0.25">
      <c r="R165" s="253">
        <f t="shared" si="26"/>
        <v>136</v>
      </c>
      <c r="S165" s="254"/>
      <c r="T165" s="255">
        <f t="shared" si="18"/>
        <v>195077.75918659111</v>
      </c>
      <c r="U165" s="256">
        <f t="shared" si="19"/>
        <v>289866.28244887589</v>
      </c>
      <c r="V165" s="257">
        <f t="shared" si="20"/>
        <v>444907.281404746</v>
      </c>
      <c r="W165" s="255">
        <f t="shared" si="21"/>
        <v>1878065.7633631262</v>
      </c>
      <c r="X165" s="257">
        <f t="shared" si="22"/>
        <v>5362991.4257534826</v>
      </c>
      <c r="Y165" s="255">
        <f t="shared" si="23"/>
        <v>15973253.248991178</v>
      </c>
      <c r="Z165" s="257">
        <f t="shared" si="24"/>
        <v>4685941334.8909168</v>
      </c>
      <c r="AA165" s="257">
        <f t="shared" si="25"/>
        <v>5362991.4257534826</v>
      </c>
    </row>
    <row r="166" spans="18:27" x14ac:dyDescent="0.25">
      <c r="R166" s="253">
        <f t="shared" si="26"/>
        <v>137</v>
      </c>
      <c r="S166" s="254"/>
      <c r="T166" s="255">
        <f t="shared" si="18"/>
        <v>197058.14798252401</v>
      </c>
      <c r="U166" s="256">
        <f t="shared" si="19"/>
        <v>293774.94527336466</v>
      </c>
      <c r="V166" s="257">
        <f t="shared" si="20"/>
        <v>452595.890625817</v>
      </c>
      <c r="W166" s="255">
        <f t="shared" si="21"/>
        <v>1935437.7362640197</v>
      </c>
      <c r="X166" s="257">
        <f t="shared" si="22"/>
        <v>5578551.0827836217</v>
      </c>
      <c r="Y166" s="255">
        <f t="shared" si="23"/>
        <v>16772965.911440736</v>
      </c>
      <c r="Z166" s="257">
        <f t="shared" si="24"/>
        <v>5154536568.3800087</v>
      </c>
      <c r="AA166" s="257">
        <f t="shared" si="25"/>
        <v>5578551.0827836217</v>
      </c>
    </row>
    <row r="167" spans="18:27" x14ac:dyDescent="0.25">
      <c r="R167" s="253">
        <f t="shared" si="26"/>
        <v>138</v>
      </c>
      <c r="S167" s="254"/>
      <c r="T167" s="255">
        <f t="shared" si="18"/>
        <v>199048.43872243652</v>
      </c>
      <c r="U167" s="256">
        <f t="shared" si="19"/>
        <v>297722.69472609833</v>
      </c>
      <c r="V167" s="257">
        <f t="shared" si="20"/>
        <v>460399.82898520428</v>
      </c>
      <c r="W167" s="255">
        <f t="shared" si="21"/>
        <v>1994530.8683519403</v>
      </c>
      <c r="X167" s="257">
        <f t="shared" si="22"/>
        <v>5802733.1260949681</v>
      </c>
      <c r="Y167" s="255">
        <f t="shared" si="23"/>
        <v>17612664.207012776</v>
      </c>
      <c r="Z167" s="257">
        <f t="shared" si="24"/>
        <v>5669991325.2180109</v>
      </c>
      <c r="AA167" s="257">
        <f t="shared" si="25"/>
        <v>5802733.1260949681</v>
      </c>
    </row>
    <row r="168" spans="18:27" x14ac:dyDescent="0.25">
      <c r="R168" s="253">
        <f t="shared" si="26"/>
        <v>139</v>
      </c>
      <c r="S168" s="254"/>
      <c r="T168" s="255">
        <f t="shared" si="18"/>
        <v>201048.6809160487</v>
      </c>
      <c r="U168" s="256">
        <f t="shared" si="19"/>
        <v>301709.92167335923</v>
      </c>
      <c r="V168" s="257">
        <f t="shared" si="20"/>
        <v>468320.8264199823</v>
      </c>
      <c r="W168" s="255">
        <f t="shared" si="21"/>
        <v>2055396.7944024988</v>
      </c>
      <c r="X168" s="257">
        <f t="shared" si="22"/>
        <v>6035882.4511387665</v>
      </c>
      <c r="Y168" s="255">
        <f t="shared" si="23"/>
        <v>18494347.417363416</v>
      </c>
      <c r="Z168" s="257">
        <f t="shared" si="24"/>
        <v>6236991557.7398129</v>
      </c>
      <c r="AA168" s="257">
        <f t="shared" si="25"/>
        <v>6035882.4511387665</v>
      </c>
    </row>
    <row r="169" spans="18:27" x14ac:dyDescent="0.25">
      <c r="R169" s="253">
        <f t="shared" si="26"/>
        <v>140</v>
      </c>
      <c r="S169" s="254"/>
      <c r="T169" s="255">
        <f t="shared" si="18"/>
        <v>203058.92432062884</v>
      </c>
      <c r="U169" s="256">
        <f t="shared" si="19"/>
        <v>305737.02089009283</v>
      </c>
      <c r="V169" s="257">
        <f t="shared" si="20"/>
        <v>476360.63881628192</v>
      </c>
      <c r="W169" s="255">
        <f t="shared" si="21"/>
        <v>2118088.6982345735</v>
      </c>
      <c r="X169" s="257">
        <f t="shared" si="22"/>
        <v>6278357.7491843179</v>
      </c>
      <c r="Y169" s="255">
        <f t="shared" si="23"/>
        <v>19420114.788231581</v>
      </c>
      <c r="Z169" s="257">
        <f t="shared" si="24"/>
        <v>6860691813.5137939</v>
      </c>
      <c r="AA169" s="257">
        <f t="shared" si="25"/>
        <v>6278357.7491843179</v>
      </c>
    </row>
    <row r="170" spans="18:27" x14ac:dyDescent="0.25">
      <c r="R170" s="253">
        <f t="shared" si="26"/>
        <v>141</v>
      </c>
      <c r="S170" s="254"/>
      <c r="T170" s="255">
        <f t="shared" si="18"/>
        <v>205079.21894223188</v>
      </c>
      <c r="U170" s="256">
        <f t="shared" si="19"/>
        <v>309804.39109899383</v>
      </c>
      <c r="V170" s="257">
        <f t="shared" si="20"/>
        <v>484521.04839852609</v>
      </c>
      <c r="W170" s="255">
        <f t="shared" si="21"/>
        <v>2182661.3591816109</v>
      </c>
      <c r="X170" s="257">
        <f t="shared" si="22"/>
        <v>6530532.0591516905</v>
      </c>
      <c r="Y170" s="255">
        <f t="shared" si="23"/>
        <v>20392170.527643166</v>
      </c>
      <c r="Z170" s="257">
        <f t="shared" si="24"/>
        <v>7546762094.8651733</v>
      </c>
      <c r="AA170" s="257">
        <f t="shared" si="25"/>
        <v>6530532.0591516905</v>
      </c>
    </row>
    <row r="171" spans="18:27" x14ac:dyDescent="0.25">
      <c r="R171" s="253">
        <f t="shared" si="26"/>
        <v>142</v>
      </c>
      <c r="S171" s="254"/>
      <c r="T171" s="255">
        <f t="shared" si="18"/>
        <v>207109.61503694303</v>
      </c>
      <c r="U171" s="256">
        <f t="shared" si="19"/>
        <v>313912.43500998372</v>
      </c>
      <c r="V171" s="257">
        <f t="shared" si="20"/>
        <v>492803.86412450386</v>
      </c>
      <c r="W171" s="255">
        <f t="shared" si="21"/>
        <v>2249171.1999570592</v>
      </c>
      <c r="X171" s="257">
        <f t="shared" si="22"/>
        <v>6792793.3415177595</v>
      </c>
      <c r="Y171" s="255">
        <f t="shared" si="23"/>
        <v>21412829.054025318</v>
      </c>
      <c r="Z171" s="257">
        <f t="shared" si="24"/>
        <v>8301439404.3516922</v>
      </c>
      <c r="AA171" s="257">
        <f t="shared" si="25"/>
        <v>6792793.3415177595</v>
      </c>
    </row>
    <row r="172" spans="18:27" x14ac:dyDescent="0.25">
      <c r="R172" s="253">
        <f t="shared" si="26"/>
        <v>143</v>
      </c>
      <c r="S172" s="254"/>
      <c r="T172" s="255">
        <f t="shared" si="18"/>
        <v>209150.16311212763</v>
      </c>
      <c r="U172" s="256">
        <f t="shared" si="19"/>
        <v>318061.55936008348</v>
      </c>
      <c r="V172" s="257">
        <f t="shared" si="20"/>
        <v>501210.92208637128</v>
      </c>
      <c r="W172" s="255">
        <f t="shared" si="21"/>
        <v>2317676.3359557712</v>
      </c>
      <c r="X172" s="257">
        <f t="shared" si="22"/>
        <v>7065545.0751784686</v>
      </c>
      <c r="Y172" s="255">
        <f t="shared" si="23"/>
        <v>22484520.506726593</v>
      </c>
      <c r="Z172" s="257">
        <f t="shared" si="24"/>
        <v>9131584444.7868614</v>
      </c>
      <c r="AA172" s="257">
        <f t="shared" si="25"/>
        <v>7065545.0751784686</v>
      </c>
    </row>
    <row r="173" spans="18:27" x14ac:dyDescent="0.25">
      <c r="R173" s="253">
        <f t="shared" si="26"/>
        <v>144</v>
      </c>
      <c r="S173" s="254"/>
      <c r="T173" s="255">
        <f t="shared" si="18"/>
        <v>211200.91392768821</v>
      </c>
      <c r="U173" s="256">
        <f t="shared" si="19"/>
        <v>322252.17495368444</v>
      </c>
      <c r="V173" s="257">
        <f t="shared" si="20"/>
        <v>509744.08591766679</v>
      </c>
      <c r="W173" s="255">
        <f t="shared" si="21"/>
        <v>2388236.6260344437</v>
      </c>
      <c r="X173" s="257">
        <f t="shared" si="22"/>
        <v>7349206.8781856084</v>
      </c>
      <c r="Y173" s="255">
        <f t="shared" si="23"/>
        <v>23609796.532062918</v>
      </c>
      <c r="Z173" s="257">
        <f t="shared" si="24"/>
        <v>10044743989.265549</v>
      </c>
      <c r="AA173" s="257">
        <f t="shared" si="25"/>
        <v>7349206.8781856084</v>
      </c>
    </row>
    <row r="174" spans="18:27" x14ac:dyDescent="0.25">
      <c r="R174" s="253">
        <f t="shared" si="26"/>
        <v>145</v>
      </c>
      <c r="S174" s="254"/>
      <c r="T174" s="255">
        <f t="shared" si="18"/>
        <v>213261.9184973267</v>
      </c>
      <c r="U174" s="256">
        <f t="shared" si="19"/>
        <v>326484.69670322136</v>
      </c>
      <c r="V174" s="257">
        <f t="shared" si="20"/>
        <v>518405.24720643176</v>
      </c>
      <c r="W174" s="255">
        <f t="shared" si="21"/>
        <v>2460913.7248154772</v>
      </c>
      <c r="X174" s="257">
        <f t="shared" si="22"/>
        <v>7644215.1533130324</v>
      </c>
      <c r="Y174" s="255">
        <f t="shared" si="23"/>
        <v>24791336.35866607</v>
      </c>
      <c r="Z174" s="257">
        <f t="shared" si="24"/>
        <v>11049219488.192104</v>
      </c>
      <c r="AA174" s="257">
        <f t="shared" si="25"/>
        <v>7644215.1533130324</v>
      </c>
    </row>
    <row r="175" spans="18:27" x14ac:dyDescent="0.25">
      <c r="R175" s="253">
        <f t="shared" si="26"/>
        <v>146</v>
      </c>
      <c r="S175" s="254"/>
      <c r="T175" s="255">
        <f t="shared" si="18"/>
        <v>215333.22808981311</v>
      </c>
      <c r="U175" s="256">
        <f t="shared" si="19"/>
        <v>330759.5436702536</v>
      </c>
      <c r="V175" s="257">
        <f t="shared" si="20"/>
        <v>527196.32591452822</v>
      </c>
      <c r="W175" s="255">
        <f t="shared" si="21"/>
        <v>2535771.1365599413</v>
      </c>
      <c r="X175" s="257">
        <f t="shared" si="22"/>
        <v>7951023.7594455546</v>
      </c>
      <c r="Y175" s="255">
        <f t="shared" si="23"/>
        <v>26031953.176599365</v>
      </c>
      <c r="Z175" s="257">
        <f t="shared" si="24"/>
        <v>12154142537.011316</v>
      </c>
      <c r="AA175" s="257">
        <f t="shared" si="25"/>
        <v>7951023.7594455546</v>
      </c>
    </row>
    <row r="176" spans="18:27" x14ac:dyDescent="0.25">
      <c r="R176" s="253">
        <f t="shared" si="26"/>
        <v>147</v>
      </c>
      <c r="S176" s="254"/>
      <c r="T176" s="255">
        <f t="shared" si="18"/>
        <v>217414.89423026214</v>
      </c>
      <c r="U176" s="256">
        <f t="shared" si="19"/>
        <v>335077.13910695596</v>
      </c>
      <c r="V176" s="257">
        <f t="shared" si="20"/>
        <v>536119.27080324607</v>
      </c>
      <c r="W176" s="255">
        <f t="shared" si="21"/>
        <v>2612874.2706567398</v>
      </c>
      <c r="X176" s="257">
        <f t="shared" si="22"/>
        <v>8270104.7098233774</v>
      </c>
      <c r="Y176" s="255">
        <f t="shared" si="23"/>
        <v>27334600.835429341</v>
      </c>
      <c r="Z176" s="257">
        <f t="shared" si="24"/>
        <v>13369557890.712448</v>
      </c>
      <c r="AA176" s="257">
        <f t="shared" si="25"/>
        <v>8270104.7098233774</v>
      </c>
    </row>
    <row r="177" spans="18:27" x14ac:dyDescent="0.25">
      <c r="R177" s="253">
        <f t="shared" si="26"/>
        <v>148</v>
      </c>
      <c r="S177" s="254"/>
      <c r="T177" s="255">
        <f t="shared" si="18"/>
        <v>219506.9687014134</v>
      </c>
      <c r="U177" s="256">
        <f t="shared" si="19"/>
        <v>339437.91049802565</v>
      </c>
      <c r="V177" s="257">
        <f t="shared" si="20"/>
        <v>545176.05986529449</v>
      </c>
      <c r="W177" s="255">
        <f t="shared" si="21"/>
        <v>2692290.4987764414</v>
      </c>
      <c r="X177" s="257">
        <f t="shared" si="22"/>
        <v>8601948.8982163109</v>
      </c>
      <c r="Y177" s="255">
        <f t="shared" si="23"/>
        <v>28702380.877200808</v>
      </c>
      <c r="Z177" s="257">
        <f t="shared" si="24"/>
        <v>14706514779.783693</v>
      </c>
      <c r="AA177" s="257">
        <f t="shared" si="25"/>
        <v>8601948.8982163109</v>
      </c>
    </row>
    <row r="178" spans="18:27" x14ac:dyDescent="0.25">
      <c r="R178" s="253">
        <f t="shared" si="26"/>
        <v>149</v>
      </c>
      <c r="S178" s="254"/>
      <c r="T178" s="255">
        <f t="shared" si="18"/>
        <v>221609.50354492039</v>
      </c>
      <c r="U178" s="256">
        <f t="shared" si="19"/>
        <v>343842.2896030058</v>
      </c>
      <c r="V178" s="257">
        <f t="shared" si="20"/>
        <v>554368.70076327387</v>
      </c>
      <c r="W178" s="255">
        <f t="shared" si="21"/>
        <v>2774089.2137397346</v>
      </c>
      <c r="X178" s="257">
        <f t="shared" si="22"/>
        <v>8947066.8541449681</v>
      </c>
      <c r="Y178" s="255">
        <f t="shared" si="23"/>
        <v>30138549.921060845</v>
      </c>
      <c r="Z178" s="257">
        <f t="shared" si="24"/>
        <v>16177167357.762062</v>
      </c>
      <c r="AA178" s="257">
        <f t="shared" si="25"/>
        <v>8947066.8541449681</v>
      </c>
    </row>
    <row r="179" spans="18:27" x14ac:dyDescent="0.25">
      <c r="R179" s="253">
        <f t="shared" si="26"/>
        <v>150</v>
      </c>
      <c r="S179" s="254"/>
      <c r="T179" s="255">
        <f t="shared" si="18"/>
        <v>223722.55106264492</v>
      </c>
      <c r="U179" s="256">
        <f t="shared" si="19"/>
        <v>348290.71249903599</v>
      </c>
      <c r="V179" s="257">
        <f t="shared" si="20"/>
        <v>563699.23127472284</v>
      </c>
      <c r="W179" s="255">
        <f t="shared" si="21"/>
        <v>2858341.8901519272</v>
      </c>
      <c r="X179" s="257">
        <f t="shared" si="22"/>
        <v>9305989.5283107627</v>
      </c>
      <c r="Y179" s="255">
        <f t="shared" si="23"/>
        <v>31646527.417113885</v>
      </c>
      <c r="Z179" s="257">
        <f t="shared" si="24"/>
        <v>17794885193.538273</v>
      </c>
      <c r="AA179" s="257">
        <f t="shared" si="25"/>
        <v>9305989.5283107627</v>
      </c>
    </row>
    <row r="180" spans="18:27" x14ac:dyDescent="0.25">
      <c r="R180" s="253">
        <f t="shared" si="26"/>
        <v>151</v>
      </c>
      <c r="S180" s="254"/>
      <c r="T180" s="255">
        <f t="shared" si="18"/>
        <v>225846.16381795809</v>
      </c>
      <c r="U180" s="256">
        <f t="shared" si="19"/>
        <v>352783.61962402629</v>
      </c>
      <c r="V180" s="257">
        <f t="shared" si="20"/>
        <v>573169.71974384377</v>
      </c>
      <c r="W180" s="255">
        <f t="shared" si="21"/>
        <v>2945122.1468564849</v>
      </c>
      <c r="X180" s="257">
        <f t="shared" si="22"/>
        <v>9679269.1094431933</v>
      </c>
      <c r="Y180" s="255">
        <f t="shared" si="23"/>
        <v>33229903.787969589</v>
      </c>
      <c r="Z180" s="257">
        <f t="shared" si="24"/>
        <v>19574374812.892097</v>
      </c>
      <c r="AA180" s="257">
        <f t="shared" si="25"/>
        <v>9679269.1094431933</v>
      </c>
    </row>
    <row r="181" spans="18:27" x14ac:dyDescent="0.25">
      <c r="R181" s="253">
        <f t="shared" si="26"/>
        <v>152</v>
      </c>
      <c r="S181" s="254"/>
      <c r="T181" s="255">
        <f t="shared" si="18"/>
        <v>227980.39463704792</v>
      </c>
      <c r="U181" s="256">
        <f t="shared" si="19"/>
        <v>357321.45582026662</v>
      </c>
      <c r="V181" s="257">
        <f t="shared" si="20"/>
        <v>582782.26554000122</v>
      </c>
      <c r="W181" s="255">
        <f t="shared" si="21"/>
        <v>3034505.8112621792</v>
      </c>
      <c r="X181" s="257">
        <f t="shared" si="22"/>
        <v>10067479.873820921</v>
      </c>
      <c r="Y181" s="255">
        <f t="shared" si="23"/>
        <v>34892448.977368064</v>
      </c>
      <c r="Z181" s="257">
        <f t="shared" si="24"/>
        <v>21531813394.181309</v>
      </c>
      <c r="AA181" s="257">
        <f t="shared" si="25"/>
        <v>10067479.873820921</v>
      </c>
    </row>
    <row r="182" spans="18:27" x14ac:dyDescent="0.25">
      <c r="R182" s="253">
        <f t="shared" si="26"/>
        <v>153</v>
      </c>
      <c r="S182" s="254"/>
      <c r="T182" s="255">
        <f t="shared" si="18"/>
        <v>230125.29661023302</v>
      </c>
      <c r="U182" s="256">
        <f t="shared" si="19"/>
        <v>361904.67037846934</v>
      </c>
      <c r="V182" s="257">
        <f t="shared" si="20"/>
        <v>592538.99952310137</v>
      </c>
      <c r="W182" s="255">
        <f t="shared" si="21"/>
        <v>3126570.985600044</v>
      </c>
      <c r="X182" s="257">
        <f t="shared" si="22"/>
        <v>10471219.068773763</v>
      </c>
      <c r="Y182" s="255">
        <f t="shared" si="23"/>
        <v>36638121.426236466</v>
      </c>
      <c r="Z182" s="257">
        <f t="shared" si="24"/>
        <v>23684995833.599442</v>
      </c>
      <c r="AA182" s="257">
        <f t="shared" si="25"/>
        <v>10471219.068773763</v>
      </c>
    </row>
    <row r="183" spans="18:27" x14ac:dyDescent="0.25">
      <c r="R183" s="253">
        <f t="shared" si="26"/>
        <v>154</v>
      </c>
      <c r="S183" s="254"/>
      <c r="T183" s="255">
        <f t="shared" si="18"/>
        <v>232280.92309328416</v>
      </c>
      <c r="U183" s="256">
        <f t="shared" si="19"/>
        <v>366533.71708225401</v>
      </c>
      <c r="V183" s="257">
        <f t="shared" si="20"/>
        <v>602442.08451594773</v>
      </c>
      <c r="W183" s="255">
        <f t="shared" si="21"/>
        <v>3221398.1151680462</v>
      </c>
      <c r="X183" s="257">
        <f t="shared" si="22"/>
        <v>10891107.831524711</v>
      </c>
      <c r="Y183" s="255">
        <f t="shared" si="23"/>
        <v>38471077.49754829</v>
      </c>
      <c r="Z183" s="257">
        <f t="shared" si="24"/>
        <v>26053496516.959389</v>
      </c>
      <c r="AA183" s="257">
        <f t="shared" si="25"/>
        <v>10891107.831524711</v>
      </c>
    </row>
    <row r="184" spans="18:27" x14ac:dyDescent="0.25">
      <c r="R184" s="253">
        <f t="shared" si="26"/>
        <v>155</v>
      </c>
      <c r="S184" s="254"/>
      <c r="T184" s="255">
        <f t="shared" si="18"/>
        <v>234447.3277087505</v>
      </c>
      <c r="U184" s="256">
        <f t="shared" si="19"/>
        <v>371209.05425307644</v>
      </c>
      <c r="V184" s="257">
        <f t="shared" si="20"/>
        <v>612493.71578368673</v>
      </c>
      <c r="W184" s="255">
        <f t="shared" si="21"/>
        <v>3319070.0586230871</v>
      </c>
      <c r="X184" s="257">
        <f t="shared" si="22"/>
        <v>11327792.1447857</v>
      </c>
      <c r="Y184" s="255">
        <f t="shared" si="23"/>
        <v>40395681.372425705</v>
      </c>
      <c r="Z184" s="257">
        <f t="shared" si="24"/>
        <v>28658847268.655334</v>
      </c>
      <c r="AA184" s="257">
        <f t="shared" si="25"/>
        <v>11327792.1447857</v>
      </c>
    </row>
    <row r="185" spans="18:27" x14ac:dyDescent="0.25">
      <c r="R185" s="253">
        <f t="shared" si="26"/>
        <v>156</v>
      </c>
      <c r="S185" s="254"/>
      <c r="T185" s="255">
        <f t="shared" si="18"/>
        <v>236624.56434729416</v>
      </c>
      <c r="U185" s="256">
        <f t="shared" si="19"/>
        <v>375931.14479560714</v>
      </c>
      <c r="V185" s="257">
        <f t="shared" si="20"/>
        <v>622696.12152044184</v>
      </c>
      <c r="W185" s="255">
        <f t="shared" si="21"/>
        <v>3419672.16038178</v>
      </c>
      <c r="X185" s="257">
        <f t="shared" si="22"/>
        <v>11781943.830577131</v>
      </c>
      <c r="Y185" s="255">
        <f t="shared" si="23"/>
        <v>42416515.441046983</v>
      </c>
      <c r="Z185" s="257">
        <f t="shared" si="24"/>
        <v>31524733095.52087</v>
      </c>
      <c r="AA185" s="257">
        <f t="shared" si="25"/>
        <v>11781943.830577131</v>
      </c>
    </row>
    <row r="186" spans="18:27" x14ac:dyDescent="0.25">
      <c r="R186" s="253">
        <f t="shared" si="26"/>
        <v>157</v>
      </c>
      <c r="S186" s="254"/>
      <c r="T186" s="255">
        <f t="shared" si="18"/>
        <v>238812.6871690306</v>
      </c>
      <c r="U186" s="256">
        <f t="shared" si="19"/>
        <v>380700.45624356333</v>
      </c>
      <c r="V186" s="257">
        <f t="shared" si="20"/>
        <v>633051.56334324856</v>
      </c>
      <c r="W186" s="255">
        <f t="shared" si="21"/>
        <v>3523292.3251932329</v>
      </c>
      <c r="X186" s="257">
        <f t="shared" si="22"/>
        <v>12254261.583800217</v>
      </c>
      <c r="Y186" s="255">
        <f t="shared" si="23"/>
        <v>44538391.213099353</v>
      </c>
      <c r="Z186" s="257">
        <f t="shared" si="24"/>
        <v>34677207505.072952</v>
      </c>
      <c r="AA186" s="257">
        <f t="shared" si="25"/>
        <v>12254261.583800217</v>
      </c>
    </row>
    <row r="187" spans="18:27" x14ac:dyDescent="0.25">
      <c r="R187" s="253">
        <f t="shared" si="26"/>
        <v>158</v>
      </c>
      <c r="S187" s="254"/>
      <c r="T187" s="255">
        <f t="shared" si="18"/>
        <v>241011.75060487565</v>
      </c>
      <c r="U187" s="256">
        <f t="shared" si="19"/>
        <v>385517.460805999</v>
      </c>
      <c r="V187" s="257">
        <f t="shared" si="20"/>
        <v>643562.33679339709</v>
      </c>
      <c r="W187" s="255">
        <f t="shared" si="21"/>
        <v>3630021.0949490294</v>
      </c>
      <c r="X187" s="257">
        <f t="shared" si="22"/>
        <v>12745472.047152225</v>
      </c>
      <c r="Y187" s="255">
        <f t="shared" si="23"/>
        <v>46766360.773754299</v>
      </c>
      <c r="Z187" s="257">
        <f t="shared" si="24"/>
        <v>38144929355.580261</v>
      </c>
      <c r="AA187" s="257">
        <f t="shared" si="25"/>
        <v>12745472.047152225</v>
      </c>
    </row>
    <row r="188" spans="18:27" x14ac:dyDescent="0.25">
      <c r="R188" s="253">
        <f t="shared" si="26"/>
        <v>159</v>
      </c>
      <c r="S188" s="254"/>
      <c r="T188" s="255">
        <f t="shared" si="18"/>
        <v>243221.80935789994</v>
      </c>
      <c r="U188" s="256">
        <f t="shared" si="19"/>
        <v>390382.63541405881</v>
      </c>
      <c r="V188" s="257">
        <f t="shared" si="20"/>
        <v>654230.771845298</v>
      </c>
      <c r="W188" s="255">
        <f t="shared" si="21"/>
        <v>3739951.7277975013</v>
      </c>
      <c r="X188" s="257">
        <f t="shared" si="22"/>
        <v>13256330.929038312</v>
      </c>
      <c r="Y188" s="255">
        <f t="shared" si="23"/>
        <v>49105728.812442034</v>
      </c>
      <c r="Z188" s="257">
        <f t="shared" si="24"/>
        <v>41959423391.138275</v>
      </c>
      <c r="AA188" s="257">
        <f t="shared" si="25"/>
        <v>13256330.929038312</v>
      </c>
    </row>
    <row r="189" spans="18:27" x14ac:dyDescent="0.25">
      <c r="R189" s="253">
        <f t="shared" si="26"/>
        <v>160</v>
      </c>
      <c r="S189" s="254"/>
      <c r="T189" s="255">
        <f t="shared" si="18"/>
        <v>245442.91840468941</v>
      </c>
      <c r="U189" s="256">
        <f t="shared" si="19"/>
        <v>395296.46176819957</v>
      </c>
      <c r="V189" s="257">
        <f t="shared" si="20"/>
        <v>665059.23342297727</v>
      </c>
      <c r="W189" s="255">
        <f t="shared" si="21"/>
        <v>3853180.2796314256</v>
      </c>
      <c r="X189" s="257">
        <f t="shared" si="22"/>
        <v>13787624.166199848</v>
      </c>
      <c r="Y189" s="255">
        <f t="shared" si="23"/>
        <v>51562065.253064126</v>
      </c>
      <c r="Z189" s="257">
        <f t="shared" si="24"/>
        <v>46155366830.252106</v>
      </c>
      <c r="AA189" s="257">
        <f t="shared" si="25"/>
        <v>13787624.166199848</v>
      </c>
    </row>
    <row r="190" spans="18:27" x14ac:dyDescent="0.25">
      <c r="R190" s="253">
        <f t="shared" si="26"/>
        <v>161</v>
      </c>
      <c r="S190" s="254"/>
      <c r="T190" s="255">
        <f t="shared" si="18"/>
        <v>247675.13299671275</v>
      </c>
      <c r="U190" s="256">
        <f t="shared" si="19"/>
        <v>400259.42638588155</v>
      </c>
      <c r="V190" s="257">
        <f t="shared" si="20"/>
        <v>676050.12192432187</v>
      </c>
      <c r="W190" s="255">
        <f t="shared" si="21"/>
        <v>3969805.6880203686</v>
      </c>
      <c r="X190" s="257">
        <f t="shared" si="22"/>
        <v>14340169.13284784</v>
      </c>
      <c r="Y190" s="255">
        <f t="shared" si="23"/>
        <v>54141218.515717342</v>
      </c>
      <c r="Z190" s="257">
        <f t="shared" si="24"/>
        <v>50770904613.277328</v>
      </c>
      <c r="AA190" s="257">
        <f t="shared" si="25"/>
        <v>14340169.13284784</v>
      </c>
    </row>
    <row r="191" spans="18:27" x14ac:dyDescent="0.25">
      <c r="R191" s="253">
        <f t="shared" si="26"/>
        <v>162</v>
      </c>
      <c r="S191" s="254"/>
      <c r="T191" s="255">
        <f t="shared" si="18"/>
        <v>249918.50866169625</v>
      </c>
      <c r="U191" s="256">
        <f t="shared" si="19"/>
        <v>405272.02064974036</v>
      </c>
      <c r="V191" s="257">
        <f t="shared" si="20"/>
        <v>687205.87375318655</v>
      </c>
      <c r="W191" s="255">
        <f t="shared" si="21"/>
        <v>4089929.8586609787</v>
      </c>
      <c r="X191" s="257">
        <f t="shared" si="22"/>
        <v>14914815.898161756</v>
      </c>
      <c r="Y191" s="255">
        <f t="shared" si="23"/>
        <v>56849329.441503197</v>
      </c>
      <c r="Z191" s="257">
        <f t="shared" si="24"/>
        <v>55847996174.605064</v>
      </c>
      <c r="AA191" s="257">
        <f t="shared" si="25"/>
        <v>14914815.898161756</v>
      </c>
    </row>
    <row r="192" spans="18:27" x14ac:dyDescent="0.25">
      <c r="R192" s="253">
        <f t="shared" si="26"/>
        <v>163</v>
      </c>
      <c r="S192" s="254"/>
      <c r="T192" s="255">
        <f t="shared" si="18"/>
        <v>252173.10120500473</v>
      </c>
      <c r="U192" s="256">
        <f t="shared" si="19"/>
        <v>410334.74085623771</v>
      </c>
      <c r="V192" s="257">
        <f t="shared" si="20"/>
        <v>698528.96185948444</v>
      </c>
      <c r="W192" s="255">
        <f t="shared" si="21"/>
        <v>4213657.7544208085</v>
      </c>
      <c r="X192" s="257">
        <f t="shared" si="22"/>
        <v>15512448.534088226</v>
      </c>
      <c r="Y192" s="255">
        <f t="shared" si="23"/>
        <v>59692845.913578369</v>
      </c>
      <c r="Z192" s="257">
        <f t="shared" si="24"/>
        <v>61432796892.065582</v>
      </c>
      <c r="AA192" s="257">
        <f t="shared" si="25"/>
        <v>15512448.534088226</v>
      </c>
    </row>
    <row r="193" spans="18:27" x14ac:dyDescent="0.25">
      <c r="R193" s="253">
        <f t="shared" si="26"/>
        <v>164</v>
      </c>
      <c r="S193" s="254"/>
      <c r="T193" s="255">
        <f t="shared" si="18"/>
        <v>254438.96671102961</v>
      </c>
      <c r="U193" s="256">
        <f t="shared" si="19"/>
        <v>415448.08826480014</v>
      </c>
      <c r="V193" s="257">
        <f t="shared" si="20"/>
        <v>710021.89628737653</v>
      </c>
      <c r="W193" s="255">
        <f t="shared" si="21"/>
        <v>4341097.4870534325</v>
      </c>
      <c r="X193" s="257">
        <f t="shared" si="22"/>
        <v>16133986.475451756</v>
      </c>
      <c r="Y193" s="255">
        <f t="shared" si="23"/>
        <v>62678538.209257275</v>
      </c>
      <c r="Z193" s="257">
        <f t="shared" si="24"/>
        <v>67576077681.272141</v>
      </c>
      <c r="AA193" s="257">
        <f t="shared" si="25"/>
        <v>16133986.475451756</v>
      </c>
    </row>
    <row r="194" spans="18:27" x14ac:dyDescent="0.25">
      <c r="R194" s="253">
        <f t="shared" si="26"/>
        <v>165</v>
      </c>
      <c r="S194" s="254"/>
      <c r="T194" s="255">
        <f t="shared" si="18"/>
        <v>256716.16154458464</v>
      </c>
      <c r="U194" s="256">
        <f t="shared" si="19"/>
        <v>420612.56914744817</v>
      </c>
      <c r="V194" s="257">
        <f t="shared" si="20"/>
        <v>721687.22473168699</v>
      </c>
      <c r="W194" s="255">
        <f t="shared" si="21"/>
        <v>4472360.4116650345</v>
      </c>
      <c r="X194" s="257">
        <f t="shared" si="22"/>
        <v>16780385.93446983</v>
      </c>
      <c r="Y194" s="255">
        <f t="shared" si="23"/>
        <v>65813515.119720146</v>
      </c>
      <c r="Z194" s="257">
        <f t="shared" si="24"/>
        <v>74333686549.399353</v>
      </c>
      <c r="AA194" s="257">
        <f t="shared" si="25"/>
        <v>16780385.93446983</v>
      </c>
    </row>
    <row r="195" spans="18:27" x14ac:dyDescent="0.25">
      <c r="R195" s="253">
        <f t="shared" si="26"/>
        <v>166</v>
      </c>
      <c r="S195" s="254"/>
      <c r="T195" s="255">
        <f t="shared" si="18"/>
        <v>259004.74235230751</v>
      </c>
      <c r="U195" s="256">
        <f t="shared" si="19"/>
        <v>425828.69483892265</v>
      </c>
      <c r="V195" s="257">
        <f t="shared" si="20"/>
        <v>733527.53310266207</v>
      </c>
      <c r="W195" s="255">
        <f t="shared" si="21"/>
        <v>4607561.2240149863</v>
      </c>
      <c r="X195" s="257">
        <f t="shared" si="22"/>
        <v>17452641.371848624</v>
      </c>
      <c r="Y195" s="255">
        <f t="shared" si="23"/>
        <v>69105240.875706136</v>
      </c>
      <c r="Z195" s="257">
        <f t="shared" si="24"/>
        <v>81767056304.33931</v>
      </c>
      <c r="AA195" s="257">
        <f t="shared" si="25"/>
        <v>17452641.371848624</v>
      </c>
    </row>
    <row r="196" spans="18:27" x14ac:dyDescent="0.25">
      <c r="R196" s="253">
        <f t="shared" si="26"/>
        <v>167</v>
      </c>
      <c r="S196" s="254"/>
      <c r="T196" s="255">
        <f t="shared" si="18"/>
        <v>261304.76606406903</v>
      </c>
      <c r="U196" s="256">
        <f t="shared" si="19"/>
        <v>431096.98178731184</v>
      </c>
      <c r="V196" s="257">
        <f t="shared" si="20"/>
        <v>745545.4460992018</v>
      </c>
      <c r="W196" s="255">
        <f t="shared" si="21"/>
        <v>4746818.0607354362</v>
      </c>
      <c r="X196" s="257">
        <f t="shared" si="22"/>
        <v>18151787.026722562</v>
      </c>
      <c r="Y196" s="255">
        <f t="shared" si="23"/>
        <v>72561552.919491485</v>
      </c>
      <c r="Z196" s="257">
        <f t="shared" si="24"/>
        <v>89943763034.773254</v>
      </c>
      <c r="AA196" s="257">
        <f t="shared" si="25"/>
        <v>18151787.026722562</v>
      </c>
    </row>
    <row r="197" spans="18:27" x14ac:dyDescent="0.25">
      <c r="R197" s="253">
        <f t="shared" si="26"/>
        <v>168</v>
      </c>
      <c r="S197" s="254"/>
      <c r="T197" s="255">
        <f t="shared" si="18"/>
        <v>263616.2898943894</v>
      </c>
      <c r="U197" s="256">
        <f t="shared" si="19"/>
        <v>436417.95160518505</v>
      </c>
      <c r="V197" s="257">
        <f t="shared" si="20"/>
        <v>757743.62779068982</v>
      </c>
      <c r="W197" s="255">
        <f t="shared" si="21"/>
        <v>4890252.602557499</v>
      </c>
      <c r="X197" s="257">
        <f t="shared" si="22"/>
        <v>18878898.507791471</v>
      </c>
      <c r="Y197" s="255">
        <f t="shared" si="23"/>
        <v>76190680.565466031</v>
      </c>
      <c r="Z197" s="257">
        <f t="shared" si="24"/>
        <v>98938140438.250534</v>
      </c>
      <c r="AA197" s="257">
        <f t="shared" si="25"/>
        <v>18878898.507791471</v>
      </c>
    </row>
    <row r="198" spans="18:27" x14ac:dyDescent="0.25">
      <c r="R198" s="253">
        <f t="shared" si="26"/>
        <v>169</v>
      </c>
      <c r="S198" s="254"/>
      <c r="T198" s="255">
        <f t="shared" si="18"/>
        <v>265939.37134386122</v>
      </c>
      <c r="U198" s="256">
        <f t="shared" si="19"/>
        <v>441792.13112123689</v>
      </c>
      <c r="V198" s="257">
        <f t="shared" si="20"/>
        <v>770124.78220755025</v>
      </c>
      <c r="W198" s="255">
        <f t="shared" si="21"/>
        <v>5037990.1806342239</v>
      </c>
      <c r="X198" s="257">
        <f t="shared" si="22"/>
        <v>19635094.448103134</v>
      </c>
      <c r="Y198" s="255">
        <f t="shared" si="23"/>
        <v>80001264.593739346</v>
      </c>
      <c r="Z198" s="257">
        <f t="shared" si="24"/>
        <v>108831955582.07561</v>
      </c>
      <c r="AA198" s="257">
        <f t="shared" si="25"/>
        <v>19635094.448103134</v>
      </c>
    </row>
    <row r="199" spans="18:27" x14ac:dyDescent="0.25">
      <c r="R199" s="253">
        <f t="shared" si="26"/>
        <v>170</v>
      </c>
      <c r="S199" s="254"/>
      <c r="T199" s="255">
        <f t="shared" si="18"/>
        <v>268274.06820058043</v>
      </c>
      <c r="U199" s="256">
        <f t="shared" si="19"/>
        <v>447220.05243244936</v>
      </c>
      <c r="V199" s="257">
        <f t="shared" si="20"/>
        <v>782691.65394066344</v>
      </c>
      <c r="W199" s="255">
        <f t="shared" si="21"/>
        <v>5190159.886053252</v>
      </c>
      <c r="X199" s="257">
        <f t="shared" si="22"/>
        <v>20421538.226027254</v>
      </c>
      <c r="Y199" s="255">
        <f t="shared" si="23"/>
        <v>84002377.823426321</v>
      </c>
      <c r="Z199" s="257">
        <f t="shared" si="24"/>
        <v>119715152240.28317</v>
      </c>
      <c r="AA199" s="257">
        <f t="shared" si="25"/>
        <v>20421538.226027254</v>
      </c>
    </row>
    <row r="200" spans="18:27" x14ac:dyDescent="0.25">
      <c r="R200" s="253">
        <f t="shared" si="26"/>
        <v>171</v>
      </c>
      <c r="S200" s="254"/>
      <c r="T200" s="255">
        <f t="shared" si="18"/>
        <v>270620.43854158331</v>
      </c>
      <c r="U200" s="256">
        <f t="shared" si="19"/>
        <v>452702.25295677368</v>
      </c>
      <c r="V200" s="257">
        <f t="shared" si="20"/>
        <v>795447.02874977328</v>
      </c>
      <c r="W200" s="255">
        <f t="shared" si="21"/>
        <v>5346894.6826348491</v>
      </c>
      <c r="X200" s="257">
        <f t="shared" si="22"/>
        <v>21239439.755068351</v>
      </c>
      <c r="Y200" s="255">
        <f t="shared" si="23"/>
        <v>88203546.714597628</v>
      </c>
      <c r="Z200" s="257">
        <f t="shared" si="24"/>
        <v>131686668564.31154</v>
      </c>
      <c r="AA200" s="257">
        <f t="shared" si="25"/>
        <v>21239439.755068351</v>
      </c>
    </row>
    <row r="201" spans="18:27" x14ac:dyDescent="0.25">
      <c r="R201" s="253">
        <f t="shared" si="26"/>
        <v>172</v>
      </c>
      <c r="S201" s="254"/>
      <c r="T201" s="255">
        <f t="shared" si="18"/>
        <v>272978.54073429108</v>
      </c>
      <c r="U201" s="256">
        <f t="shared" si="19"/>
        <v>458239.2754863415</v>
      </c>
      <c r="V201" s="257">
        <f t="shared" si="20"/>
        <v>808393.73418101959</v>
      </c>
      <c r="W201" s="255">
        <f t="shared" si="21"/>
        <v>5508331.5231138924</v>
      </c>
      <c r="X201" s="257">
        <f t="shared" si="22"/>
        <v>22090057.345271084</v>
      </c>
      <c r="Y201" s="255">
        <f t="shared" si="23"/>
        <v>92614774.050327495</v>
      </c>
      <c r="Z201" s="257">
        <f t="shared" si="24"/>
        <v>144855336520.74268</v>
      </c>
      <c r="AA201" s="257">
        <f t="shared" si="25"/>
        <v>22090057.345271084</v>
      </c>
    </row>
    <row r="202" spans="18:27" x14ac:dyDescent="0.25">
      <c r="R202" s="253">
        <f t="shared" si="26"/>
        <v>173</v>
      </c>
      <c r="S202" s="254"/>
      <c r="T202" s="255">
        <f t="shared" si="18"/>
        <v>275348.43343796243</v>
      </c>
      <c r="U202" s="256">
        <f t="shared" si="19"/>
        <v>463831.66824120487</v>
      </c>
      <c r="V202" s="257">
        <f t="shared" si="20"/>
        <v>821534.6401937349</v>
      </c>
      <c r="W202" s="255">
        <f t="shared" si="21"/>
        <v>5674611.4688073099</v>
      </c>
      <c r="X202" s="257">
        <f t="shared" si="22"/>
        <v>22974699.639081929</v>
      </c>
      <c r="Y202" s="255">
        <f t="shared" si="23"/>
        <v>97246562.752843902</v>
      </c>
      <c r="Z202" s="257">
        <f t="shared" si="24"/>
        <v>159340871272.81696</v>
      </c>
      <c r="AA202" s="257">
        <f t="shared" si="25"/>
        <v>22974699.639081929</v>
      </c>
    </row>
    <row r="203" spans="18:27" x14ac:dyDescent="0.25">
      <c r="R203" s="253">
        <f t="shared" si="26"/>
        <v>174</v>
      </c>
      <c r="S203" s="254"/>
      <c r="T203" s="255">
        <f t="shared" si="18"/>
        <v>277730.17560515221</v>
      </c>
      <c r="U203" s="256">
        <f t="shared" si="19"/>
        <v>469479.98492361704</v>
      </c>
      <c r="V203" s="257">
        <f t="shared" si="20"/>
        <v>834872.65979664063</v>
      </c>
      <c r="W203" s="255">
        <f t="shared" si="21"/>
        <v>5845879.8128715297</v>
      </c>
      <c r="X203" s="257">
        <f t="shared" si="22"/>
        <v>23894727.624645203</v>
      </c>
      <c r="Y203" s="255">
        <f t="shared" si="23"/>
        <v>102109940.89048608</v>
      </c>
      <c r="Z203" s="257">
        <f t="shared" si="24"/>
        <v>175274959500.09866</v>
      </c>
      <c r="AA203" s="257">
        <f t="shared" si="25"/>
        <v>23894727.624645203</v>
      </c>
    </row>
    <row r="204" spans="18:27" x14ac:dyDescent="0.25">
      <c r="R204" s="253">
        <f t="shared" si="26"/>
        <v>175</v>
      </c>
      <c r="S204" s="254"/>
      <c r="T204" s="255">
        <f t="shared" si="18"/>
        <v>280123.82648317784</v>
      </c>
      <c r="U204" s="256">
        <f t="shared" si="19"/>
        <v>475184.7847728529</v>
      </c>
      <c r="V204" s="257">
        <f t="shared" si="20"/>
        <v>848410.7496935901</v>
      </c>
      <c r="W204" s="255">
        <f t="shared" si="21"/>
        <v>6022286.2072576769</v>
      </c>
      <c r="X204" s="257">
        <f t="shared" si="22"/>
        <v>24851556.729631014</v>
      </c>
      <c r="Y204" s="255">
        <f t="shared" si="23"/>
        <v>107216487.9350104</v>
      </c>
      <c r="Z204" s="257">
        <f t="shared" si="24"/>
        <v>192802456550.10855</v>
      </c>
      <c r="AA204" s="257">
        <f t="shared" si="25"/>
        <v>24851556.729631014</v>
      </c>
    </row>
    <row r="205" spans="18:27" x14ac:dyDescent="0.25">
      <c r="R205" s="253">
        <f t="shared" si="26"/>
        <v>176</v>
      </c>
      <c r="S205" s="254"/>
      <c r="T205" s="255">
        <f t="shared" si="18"/>
        <v>282529.44561559369</v>
      </c>
      <c r="U205" s="256">
        <f t="shared" si="19"/>
        <v>480946.63262058172</v>
      </c>
      <c r="V205" s="257">
        <f t="shared" si="20"/>
        <v>862151.91093899391</v>
      </c>
      <c r="W205" s="255">
        <f t="shared" si="21"/>
        <v>6203984.7934754053</v>
      </c>
      <c r="X205" s="257">
        <f t="shared" si="22"/>
        <v>25846658.998816255</v>
      </c>
      <c r="Y205" s="255">
        <f t="shared" si="23"/>
        <v>112578362.33176091</v>
      </c>
      <c r="Z205" s="257">
        <f t="shared" si="24"/>
        <v>212082703305.11938</v>
      </c>
      <c r="AA205" s="257">
        <f t="shared" si="25"/>
        <v>25846658.998816255</v>
      </c>
    </row>
    <row r="206" spans="18:27" x14ac:dyDescent="0.25">
      <c r="R206" s="253">
        <f t="shared" si="26"/>
        <v>177</v>
      </c>
      <c r="S206" s="254"/>
      <c r="T206" s="255">
        <f t="shared" si="18"/>
        <v>284947.09284367162</v>
      </c>
      <c r="U206" s="256">
        <f t="shared" si="19"/>
        <v>486766.09894678753</v>
      </c>
      <c r="V206" s="257">
        <f t="shared" si="20"/>
        <v>876099.18960307864</v>
      </c>
      <c r="W206" s="255">
        <f t="shared" si="21"/>
        <v>6391134.3372796681</v>
      </c>
      <c r="X206" s="257">
        <f t="shared" si="22"/>
        <v>26881565.358768906</v>
      </c>
      <c r="Y206" s="255">
        <f t="shared" si="23"/>
        <v>118208330.44834898</v>
      </c>
      <c r="Z206" s="257">
        <f t="shared" si="24"/>
        <v>233290974735.63138</v>
      </c>
      <c r="AA206" s="257">
        <f t="shared" si="25"/>
        <v>26881565.358768906</v>
      </c>
    </row>
    <row r="207" spans="18:27" x14ac:dyDescent="0.25">
      <c r="R207" s="253">
        <f t="shared" si="26"/>
        <v>178</v>
      </c>
      <c r="S207" s="254"/>
      <c r="T207" s="255">
        <f t="shared" si="18"/>
        <v>287376.82830788981</v>
      </c>
      <c r="U207" s="256">
        <f t="shared" si="19"/>
        <v>492643.75993625552</v>
      </c>
      <c r="V207" s="257">
        <f t="shared" si="20"/>
        <v>890255.67744712485</v>
      </c>
      <c r="W207" s="255">
        <f t="shared" si="21"/>
        <v>6583898.3673980562</v>
      </c>
      <c r="X207" s="257">
        <f t="shared" si="22"/>
        <v>27957867.973119669</v>
      </c>
      <c r="Y207" s="255">
        <f t="shared" si="23"/>
        <v>124119796.97076643</v>
      </c>
      <c r="Z207" s="257">
        <f t="shared" si="24"/>
        <v>256620073309.19455</v>
      </c>
      <c r="AA207" s="257">
        <f t="shared" si="25"/>
        <v>27957867.973119669</v>
      </c>
    </row>
    <row r="208" spans="18:27" x14ac:dyDescent="0.25">
      <c r="R208" s="253">
        <f t="shared" si="26"/>
        <v>179</v>
      </c>
      <c r="S208" s="254"/>
      <c r="T208" s="255">
        <f t="shared" si="18"/>
        <v>289818.71244942921</v>
      </c>
      <c r="U208" s="256">
        <f t="shared" si="19"/>
        <v>498580.19753561798</v>
      </c>
      <c r="V208" s="257">
        <f t="shared" si="20"/>
        <v>904624.51260883163</v>
      </c>
      <c r="W208" s="255">
        <f t="shared" si="21"/>
        <v>6782445.3184199994</v>
      </c>
      <c r="X208" s="257">
        <f t="shared" si="22"/>
        <v>29077222.692044456</v>
      </c>
      <c r="Y208" s="255">
        <f t="shared" si="23"/>
        <v>130326836.81930473</v>
      </c>
      <c r="Z208" s="257">
        <f t="shared" si="24"/>
        <v>282282081740.11407</v>
      </c>
      <c r="AA208" s="257">
        <f t="shared" si="25"/>
        <v>29077222.692044456</v>
      </c>
    </row>
    <row r="209" spans="18:27" x14ac:dyDescent="0.25">
      <c r="R209" s="253">
        <f t="shared" si="26"/>
        <v>180</v>
      </c>
      <c r="S209" s="254"/>
      <c r="T209" s="255">
        <f t="shared" si="18"/>
        <v>292272.80601167632</v>
      </c>
      <c r="U209" s="256">
        <f t="shared" si="19"/>
        <v>504575.99951097416</v>
      </c>
      <c r="V209" s="257">
        <f t="shared" si="20"/>
        <v>919208.88029796362</v>
      </c>
      <c r="W209" s="255">
        <f t="shared" si="21"/>
        <v>6986948.6779725999</v>
      </c>
      <c r="X209" s="257">
        <f t="shared" si="22"/>
        <v>30241351.599726234</v>
      </c>
      <c r="Y209" s="255">
        <f t="shared" si="23"/>
        <v>136844228.66026998</v>
      </c>
      <c r="Z209" s="257">
        <f t="shared" si="24"/>
        <v>310510291014.12543</v>
      </c>
      <c r="AA209" s="257">
        <f t="shared" si="25"/>
        <v>30241351.599726234</v>
      </c>
    </row>
    <row r="210" spans="18:27" x14ac:dyDescent="0.25">
      <c r="R210" s="253">
        <f t="shared" si="26"/>
        <v>181</v>
      </c>
      <c r="S210" s="254"/>
      <c r="T210" s="255">
        <f t="shared" si="18"/>
        <v>294739.1700417347</v>
      </c>
      <c r="U210" s="256">
        <f t="shared" si="19"/>
        <v>510631.75950608379</v>
      </c>
      <c r="V210" s="257">
        <f t="shared" si="20"/>
        <v>934012.01350243308</v>
      </c>
      <c r="W210" s="255">
        <f t="shared" si="21"/>
        <v>7197587.1383117763</v>
      </c>
      <c r="X210" s="257">
        <f t="shared" si="22"/>
        <v>31452045.663715288</v>
      </c>
      <c r="Y210" s="255">
        <f t="shared" si="23"/>
        <v>143687490.09328344</v>
      </c>
      <c r="Z210" s="257">
        <f t="shared" si="24"/>
        <v>341561321215.53809</v>
      </c>
      <c r="AA210" s="257">
        <f t="shared" si="25"/>
        <v>31452045.663715288</v>
      </c>
    </row>
    <row r="211" spans="18:27" x14ac:dyDescent="0.25">
      <c r="R211" s="253">
        <f t="shared" si="26"/>
        <v>182</v>
      </c>
      <c r="S211" s="254"/>
      <c r="T211" s="255">
        <f t="shared" si="18"/>
        <v>297217.86589194316</v>
      </c>
      <c r="U211" s="256">
        <f t="shared" si="19"/>
        <v>516748.07710114482</v>
      </c>
      <c r="V211" s="257">
        <f t="shared" si="20"/>
        <v>949037.19370496913</v>
      </c>
      <c r="W211" s="255">
        <f t="shared" si="21"/>
        <v>7414544.7524611298</v>
      </c>
      <c r="X211" s="257">
        <f t="shared" si="22"/>
        <v>32711167.490263902</v>
      </c>
      <c r="Y211" s="255">
        <f t="shared" si="23"/>
        <v>150872914.59794763</v>
      </c>
      <c r="Z211" s="257">
        <f t="shared" si="24"/>
        <v>375717454437.09186</v>
      </c>
      <c r="AA211" s="257">
        <f t="shared" si="25"/>
        <v>32711167.490263902</v>
      </c>
    </row>
    <row r="212" spans="18:27" x14ac:dyDescent="0.25">
      <c r="R212" s="253">
        <f t="shared" si="26"/>
        <v>183</v>
      </c>
      <c r="S212" s="254"/>
      <c r="T212" s="255">
        <f t="shared" si="18"/>
        <v>299708.95522140292</v>
      </c>
      <c r="U212" s="256">
        <f t="shared" si="19"/>
        <v>522925.55787215609</v>
      </c>
      <c r="V212" s="257">
        <f t="shared" si="20"/>
        <v>964287.75161054381</v>
      </c>
      <c r="W212" s="255">
        <f t="shared" si="21"/>
        <v>7638011.0950349635</v>
      </c>
      <c r="X212" s="257">
        <f t="shared" si="22"/>
        <v>34020654.189874448</v>
      </c>
      <c r="Y212" s="255">
        <f t="shared" si="23"/>
        <v>158417610.32784504</v>
      </c>
      <c r="Z212" s="257">
        <f t="shared" si="24"/>
        <v>413289200980.80109</v>
      </c>
      <c r="AA212" s="257">
        <f t="shared" si="25"/>
        <v>34020654.189874448</v>
      </c>
    </row>
    <row r="213" spans="18:27" x14ac:dyDescent="0.25">
      <c r="R213" s="253">
        <f t="shared" si="26"/>
        <v>184</v>
      </c>
      <c r="S213" s="254"/>
      <c r="T213" s="255">
        <f t="shared" si="18"/>
        <v>302212.49999750993</v>
      </c>
      <c r="U213" s="256">
        <f t="shared" si="19"/>
        <v>529164.8134508779</v>
      </c>
      <c r="V213" s="257">
        <f t="shared" si="20"/>
        <v>979767.06788470177</v>
      </c>
      <c r="W213" s="255">
        <f t="shared" si="21"/>
        <v>7868181.427886012</v>
      </c>
      <c r="X213" s="257">
        <f t="shared" si="22"/>
        <v>35382520.357469432</v>
      </c>
      <c r="Y213" s="255">
        <f t="shared" si="23"/>
        <v>166339540.84423727</v>
      </c>
      <c r="Z213" s="257">
        <f t="shared" si="24"/>
        <v>454618122178.8811</v>
      </c>
      <c r="AA213" s="257">
        <f t="shared" si="25"/>
        <v>35382520.357469432</v>
      </c>
    </row>
    <row r="214" spans="18:27" x14ac:dyDescent="0.25">
      <c r="R214" s="253">
        <f t="shared" si="26"/>
        <v>185</v>
      </c>
      <c r="S214" s="254"/>
      <c r="T214" s="255">
        <f t="shared" si="18"/>
        <v>304728.5624974973</v>
      </c>
      <c r="U214" s="256">
        <f t="shared" si="19"/>
        <v>535466.46158538666</v>
      </c>
      <c r="V214" s="257">
        <f t="shared" si="20"/>
        <v>995478.57390297216</v>
      </c>
      <c r="W214" s="255">
        <f t="shared" si="21"/>
        <v>8105256.8707225928</v>
      </c>
      <c r="X214" s="257">
        <f t="shared" si="22"/>
        <v>36798861.171768226</v>
      </c>
      <c r="Y214" s="255">
        <f t="shared" si="23"/>
        <v>174657567.88644916</v>
      </c>
      <c r="Z214" s="257">
        <f t="shared" si="24"/>
        <v>500079935496.76935</v>
      </c>
      <c r="AA214" s="257">
        <f t="shared" si="25"/>
        <v>36798861.171768226</v>
      </c>
    </row>
    <row r="215" spans="18:27" x14ac:dyDescent="0.25">
      <c r="R215" s="253">
        <f t="shared" si="26"/>
        <v>186</v>
      </c>
      <c r="S215" s="254"/>
      <c r="T215" s="255">
        <f t="shared" si="18"/>
        <v>307257.20530998468</v>
      </c>
      <c r="U215" s="256">
        <f t="shared" si="19"/>
        <v>541831.12620124058</v>
      </c>
      <c r="V215" s="257">
        <f t="shared" si="20"/>
        <v>1011425.7525115168</v>
      </c>
      <c r="W215" s="255">
        <f t="shared" si="21"/>
        <v>8349444.5768442713</v>
      </c>
      <c r="X215" s="257">
        <f t="shared" si="22"/>
        <v>38271855.618638933</v>
      </c>
      <c r="Y215" s="255">
        <f t="shared" si="23"/>
        <v>183391496.28077161</v>
      </c>
      <c r="Z215" s="257">
        <f t="shared" si="24"/>
        <v>550087930146.44629</v>
      </c>
      <c r="AA215" s="257">
        <f t="shared" si="25"/>
        <v>38271855.618638933</v>
      </c>
    </row>
    <row r="216" spans="18:27" x14ac:dyDescent="0.25">
      <c r="R216" s="253">
        <f t="shared" si="26"/>
        <v>187</v>
      </c>
      <c r="S216" s="254"/>
      <c r="T216" s="255">
        <f t="shared" si="18"/>
        <v>309798.49133653461</v>
      </c>
      <c r="U216" s="256">
        <f t="shared" si="19"/>
        <v>548259.43746325292</v>
      </c>
      <c r="V216" s="257">
        <f t="shared" si="20"/>
        <v>1027612.1387991895</v>
      </c>
      <c r="W216" s="255">
        <f t="shared" si="21"/>
        <v>8600957.9141495991</v>
      </c>
      <c r="X216" s="257">
        <f t="shared" si="22"/>
        <v>39803769.843384497</v>
      </c>
      <c r="Y216" s="255">
        <f t="shared" si="23"/>
        <v>192562121.09481019</v>
      </c>
      <c r="Z216" s="257">
        <f t="shared" si="24"/>
        <v>605096724261.09094</v>
      </c>
      <c r="AA216" s="257">
        <f t="shared" si="25"/>
        <v>39803769.843384497</v>
      </c>
    </row>
    <row r="217" spans="18:27" x14ac:dyDescent="0.25">
      <c r="R217" s="253">
        <f t="shared" si="26"/>
        <v>188</v>
      </c>
      <c r="S217" s="254"/>
      <c r="T217" s="255">
        <f t="shared" si="18"/>
        <v>312352.48379321722</v>
      </c>
      <c r="U217" s="256">
        <f t="shared" si="19"/>
        <v>554752.03183788538</v>
      </c>
      <c r="V217" s="257">
        <f t="shared" si="20"/>
        <v>1044041.3208811769</v>
      </c>
      <c r="W217" s="255">
        <f t="shared" si="21"/>
        <v>8860016.6515740883</v>
      </c>
      <c r="X217" s="257">
        <f t="shared" si="22"/>
        <v>41396960.637119889</v>
      </c>
      <c r="Y217" s="255">
        <f t="shared" si="23"/>
        <v>202191277.14955071</v>
      </c>
      <c r="Z217" s="257">
        <f t="shared" si="24"/>
        <v>665606397787.19995</v>
      </c>
      <c r="AA217" s="257">
        <f t="shared" si="25"/>
        <v>41396960.637119889</v>
      </c>
    </row>
    <row r="218" spans="18:27" x14ac:dyDescent="0.25">
      <c r="R218" s="253">
        <f t="shared" si="26"/>
        <v>189</v>
      </c>
      <c r="S218" s="254"/>
      <c r="T218" s="255">
        <f t="shared" si="18"/>
        <v>314919.24621218315</v>
      </c>
      <c r="U218" s="256">
        <f t="shared" si="19"/>
        <v>561309.55215626408</v>
      </c>
      <c r="V218" s="257">
        <f t="shared" si="20"/>
        <v>1060716.9406943945</v>
      </c>
      <c r="W218" s="255">
        <f t="shared" si="21"/>
        <v>9126847.1511213072</v>
      </c>
      <c r="X218" s="257">
        <f t="shared" si="22"/>
        <v>43053879.062604688</v>
      </c>
      <c r="Y218" s="255">
        <f t="shared" si="23"/>
        <v>212301891.00702825</v>
      </c>
      <c r="Z218" s="257">
        <f t="shared" si="24"/>
        <v>732167038665.92017</v>
      </c>
      <c r="AA218" s="257">
        <f t="shared" si="25"/>
        <v>43053879.062604688</v>
      </c>
    </row>
    <row r="219" spans="18:27" x14ac:dyDescent="0.25">
      <c r="R219" s="253">
        <f t="shared" si="26"/>
        <v>190</v>
      </c>
      <c r="S219" s="254"/>
      <c r="T219" s="255">
        <f t="shared" si="18"/>
        <v>317498.84244324389</v>
      </c>
      <c r="U219" s="256">
        <f t="shared" si="19"/>
        <v>567932.64767782693</v>
      </c>
      <c r="V219" s="257">
        <f t="shared" si="20"/>
        <v>1077642.6948048102</v>
      </c>
      <c r="W219" s="255">
        <f t="shared" si="21"/>
        <v>9401682.5656549465</v>
      </c>
      <c r="X219" s="257">
        <f t="shared" si="22"/>
        <v>44777074.225108869</v>
      </c>
      <c r="Y219" s="255">
        <f t="shared" si="23"/>
        <v>222918035.55737957</v>
      </c>
      <c r="Z219" s="257">
        <f t="shared" si="24"/>
        <v>805383743632.51233</v>
      </c>
      <c r="AA219" s="257">
        <f t="shared" si="25"/>
        <v>44777074.225108869</v>
      </c>
    </row>
    <row r="220" spans="18:27" x14ac:dyDescent="0.25">
      <c r="R220" s="253">
        <f t="shared" si="26"/>
        <v>191</v>
      </c>
      <c r="S220" s="254"/>
      <c r="T220" s="255">
        <f t="shared" si="18"/>
        <v>320091.33665546007</v>
      </c>
      <c r="U220" s="256">
        <f t="shared" si="19"/>
        <v>574621.97415460506</v>
      </c>
      <c r="V220" s="257">
        <f t="shared" si="20"/>
        <v>1094822.3352268822</v>
      </c>
      <c r="W220" s="255">
        <f t="shared" si="21"/>
        <v>9684763.0426245965</v>
      </c>
      <c r="X220" s="257">
        <f t="shared" si="22"/>
        <v>46569197.194113225</v>
      </c>
      <c r="Y220" s="255">
        <f t="shared" si="23"/>
        <v>234064987.33524868</v>
      </c>
      <c r="Z220" s="257">
        <f t="shared" si="24"/>
        <v>885922119095.76331</v>
      </c>
      <c r="AA220" s="257">
        <f t="shared" si="25"/>
        <v>46569197.194113225</v>
      </c>
    </row>
    <row r="221" spans="18:27" x14ac:dyDescent="0.25">
      <c r="R221" s="253">
        <f t="shared" si="26"/>
        <v>192</v>
      </c>
      <c r="S221" s="254"/>
      <c r="T221" s="255">
        <f t="shared" si="18"/>
        <v>322696.79333873733</v>
      </c>
      <c r="U221" s="256">
        <f t="shared" si="19"/>
        <v>581378.19389615126</v>
      </c>
      <c r="V221" s="257">
        <f t="shared" si="20"/>
        <v>1112259.6702552855</v>
      </c>
      <c r="W221" s="255">
        <f t="shared" si="21"/>
        <v>9976335.9339033328</v>
      </c>
      <c r="X221" s="257">
        <f t="shared" si="22"/>
        <v>48433005.081877761</v>
      </c>
      <c r="Y221" s="255">
        <f t="shared" si="23"/>
        <v>245769286.70201108</v>
      </c>
      <c r="Z221" s="257">
        <f t="shared" si="24"/>
        <v>974514332105.33984</v>
      </c>
      <c r="AA221" s="257">
        <f t="shared" si="25"/>
        <v>48433005.081877761</v>
      </c>
    </row>
    <row r="222" spans="18:27" x14ac:dyDescent="0.25">
      <c r="R222" s="253">
        <f t="shared" si="26"/>
        <v>193</v>
      </c>
      <c r="S222" s="254"/>
      <c r="T222" s="255">
        <f t="shared" si="18"/>
        <v>325315.27730543097</v>
      </c>
      <c r="U222" s="256">
        <f t="shared" si="19"/>
        <v>588201.97583511262</v>
      </c>
      <c r="V222" s="257">
        <f t="shared" si="20"/>
        <v>1129958.5653091143</v>
      </c>
      <c r="W222" s="255">
        <f t="shared" si="21"/>
        <v>10276656.011920433</v>
      </c>
      <c r="X222" s="257">
        <f t="shared" si="22"/>
        <v>50371365.285152875</v>
      </c>
      <c r="Y222" s="255">
        <f t="shared" si="23"/>
        <v>258058801.03711167</v>
      </c>
      <c r="Z222" s="257">
        <f t="shared" si="24"/>
        <v>1071965766415.874</v>
      </c>
      <c r="AA222" s="257">
        <f t="shared" si="25"/>
        <v>50371365.285152875</v>
      </c>
    </row>
    <row r="223" spans="18:27" x14ac:dyDescent="0.25">
      <c r="R223" s="253">
        <f t="shared" si="26"/>
        <v>194</v>
      </c>
      <c r="S223" s="254"/>
      <c r="T223" s="255">
        <f t="shared" ref="T223:T286" si="27">IF($M$12="Both(No x value)","Do more",$F$23*(((1+$T$29)^(R223)-1)/$T$29)*(1+$T$29))</f>
        <v>327946.85369195801</v>
      </c>
      <c r="U223" s="256">
        <f t="shared" ref="U223:U286" si="28">IF($M$12="Both(No x value)","Do more",$F$23*(((1+$U$29)^(R223)-1)/$U$29)*(1+$U$29))</f>
        <v>595093.99559346389</v>
      </c>
      <c r="V223" s="257">
        <f t="shared" ref="V223:V286" si="29">IF($M$12="Both(No x value)","Do more",$F$23*(((1+$V$29)^(R223)-1)/$V$29)*(1+$V$29))</f>
        <v>1147922.943788751</v>
      </c>
      <c r="W223" s="255">
        <f t="shared" ref="W223:W286" si="30">IF($M$12="Both(No x value)","Do more",$F$23*(((1+W$29)^(R223)-1)/$W$29)*(1+$W$29))</f>
        <v>10585985.692278046</v>
      </c>
      <c r="X223" s="257">
        <f t="shared" ref="X223:X286" si="31">IF(M205="Both(No x value)","Do more",$F$23*(((1+$X$29)^(R223)-1)/$X$29)*(1+$X$29))</f>
        <v>52387259.896558993</v>
      </c>
      <c r="Y223" s="255">
        <f t="shared" ref="Y223:Y286" si="32">IF(M205="Both(No x value)","Do more",$F$23*(((1+$Y$29)^(R223)-1)/$Y$29)*(1+$Y$29))</f>
        <v>270962791.0889672</v>
      </c>
      <c r="Z223" s="257">
        <f t="shared" ref="Z223:Z286" si="33">IF(M205="Both(No x value)","Do more",$F$23*(((1+$Z$29)^(R223)-1)/$Z$29)*(1+$Z$29))</f>
        <v>1179162344157.4614</v>
      </c>
      <c r="AA223" s="257">
        <f t="shared" ref="AA223:AA286" si="34">IF(M205="Both(No x value)","Do more",$F$23*(((1+$AA$29)^(R223)-1)/$AA$29)*(1+$AA$29))</f>
        <v>52387259.896558993</v>
      </c>
    </row>
    <row r="224" spans="18:27" x14ac:dyDescent="0.25">
      <c r="R224" s="253">
        <f t="shared" ref="R224:R287" si="35">1+R223</f>
        <v>195</v>
      </c>
      <c r="S224" s="254"/>
      <c r="T224" s="255">
        <f t="shared" si="27"/>
        <v>330591.58796041791</v>
      </c>
      <c r="U224" s="256">
        <f t="shared" si="28"/>
        <v>602054.93554939842</v>
      </c>
      <c r="V224" s="257">
        <f t="shared" si="29"/>
        <v>1166156.7879455818</v>
      </c>
      <c r="W224" s="255">
        <f t="shared" si="30"/>
        <v>10904595.263046388</v>
      </c>
      <c r="X224" s="257">
        <f t="shared" si="31"/>
        <v>54483790.292421348</v>
      </c>
      <c r="Y224" s="255">
        <f t="shared" si="32"/>
        <v>284511980.64341563</v>
      </c>
      <c r="Z224" s="257">
        <f t="shared" si="33"/>
        <v>1297078579673.208</v>
      </c>
      <c r="AA224" s="257">
        <f t="shared" si="34"/>
        <v>54483790.292421348</v>
      </c>
    </row>
    <row r="225" spans="18:27" x14ac:dyDescent="0.25">
      <c r="R225" s="253">
        <f t="shared" si="35"/>
        <v>196</v>
      </c>
      <c r="S225" s="254"/>
      <c r="T225" s="255">
        <f t="shared" si="27"/>
        <v>333249.54590021976</v>
      </c>
      <c r="U225" s="256">
        <f t="shared" si="28"/>
        <v>609085.48490489239</v>
      </c>
      <c r="V225" s="257">
        <f t="shared" si="29"/>
        <v>1184664.1397647657</v>
      </c>
      <c r="W225" s="255">
        <f t="shared" si="30"/>
        <v>11232763.12093778</v>
      </c>
      <c r="X225" s="257">
        <f t="shared" si="31"/>
        <v>56664181.904118203</v>
      </c>
      <c r="Y225" s="255">
        <f t="shared" si="32"/>
        <v>298738629.67558634</v>
      </c>
      <c r="Z225" s="257">
        <f t="shared" si="33"/>
        <v>1426786438740.5286</v>
      </c>
      <c r="AA225" s="257">
        <f t="shared" si="34"/>
        <v>56664181.904118203</v>
      </c>
    </row>
    <row r="226" spans="18:27" x14ac:dyDescent="0.25">
      <c r="R226" s="253">
        <f t="shared" si="35"/>
        <v>197</v>
      </c>
      <c r="S226" s="254"/>
      <c r="T226" s="255">
        <f t="shared" si="27"/>
        <v>335920.79362972075</v>
      </c>
      <c r="U226" s="256">
        <f t="shared" si="28"/>
        <v>616186.33975394128</v>
      </c>
      <c r="V226" s="257">
        <f t="shared" si="29"/>
        <v>1203449.1018612371</v>
      </c>
      <c r="W226" s="255">
        <f t="shared" si="30"/>
        <v>11570776.014565909</v>
      </c>
      <c r="X226" s="257">
        <f t="shared" si="31"/>
        <v>58931789.180282943</v>
      </c>
      <c r="Y226" s="255">
        <f t="shared" si="32"/>
        <v>313676611.15936565</v>
      </c>
      <c r="Z226" s="257">
        <f t="shared" si="33"/>
        <v>1569465083714.5815</v>
      </c>
      <c r="AA226" s="257">
        <f t="shared" si="34"/>
        <v>58931789.180282943</v>
      </c>
    </row>
    <row r="227" spans="18:27" x14ac:dyDescent="0.25">
      <c r="R227" s="253">
        <f t="shared" si="35"/>
        <v>198</v>
      </c>
      <c r="S227" s="254"/>
      <c r="T227" s="255">
        <f t="shared" si="27"/>
        <v>338605.39759786928</v>
      </c>
      <c r="U227" s="256">
        <f t="shared" si="28"/>
        <v>623358.20315148099</v>
      </c>
      <c r="V227" s="257">
        <f t="shared" si="29"/>
        <v>1222515.8383891555</v>
      </c>
      <c r="W227" s="255">
        <f t="shared" si="30"/>
        <v>11918929.295002889</v>
      </c>
      <c r="X227" s="257">
        <f t="shared" si="31"/>
        <v>61290100.747494265</v>
      </c>
      <c r="Y227" s="255">
        <f t="shared" si="32"/>
        <v>329361491.71733397</v>
      </c>
      <c r="Z227" s="257">
        <f t="shared" si="33"/>
        <v>1726411593186.0398</v>
      </c>
      <c r="AA227" s="257">
        <f t="shared" si="34"/>
        <v>61290100.747494265</v>
      </c>
    </row>
    <row r="228" spans="18:27" x14ac:dyDescent="0.25">
      <c r="R228" s="253">
        <f t="shared" si="35"/>
        <v>199</v>
      </c>
      <c r="S228" s="254"/>
      <c r="T228" s="255">
        <f t="shared" si="27"/>
        <v>341303.42458585859</v>
      </c>
      <c r="U228" s="256">
        <f t="shared" si="28"/>
        <v>630601.78518299549</v>
      </c>
      <c r="V228" s="257">
        <f t="shared" si="29"/>
        <v>1241868.5759649924</v>
      </c>
      <c r="W228" s="255">
        <f t="shared" si="30"/>
        <v>12277527.173852976</v>
      </c>
      <c r="X228" s="257">
        <f t="shared" si="31"/>
        <v>63742744.777394012</v>
      </c>
      <c r="Y228" s="255">
        <f t="shared" si="32"/>
        <v>345830616.30320072</v>
      </c>
      <c r="Z228" s="257">
        <f t="shared" si="33"/>
        <v>1899052753604.6445</v>
      </c>
      <c r="AA228" s="257">
        <f t="shared" si="34"/>
        <v>63742744.777394012</v>
      </c>
    </row>
    <row r="229" spans="18:27" x14ac:dyDescent="0.25">
      <c r="R229" s="253">
        <f t="shared" si="35"/>
        <v>200</v>
      </c>
      <c r="S229" s="254"/>
      <c r="T229" s="255">
        <f t="shared" si="27"/>
        <v>344014.94170878781</v>
      </c>
      <c r="U229" s="256">
        <f t="shared" si="28"/>
        <v>637917.80303482572</v>
      </c>
      <c r="V229" s="257">
        <f t="shared" si="29"/>
        <v>1261511.6046044668</v>
      </c>
      <c r="W229" s="255">
        <f t="shared" si="30"/>
        <v>12646882.989068564</v>
      </c>
      <c r="X229" s="257">
        <f t="shared" si="31"/>
        <v>66293494.56848979</v>
      </c>
      <c r="Y229" s="255">
        <f t="shared" si="32"/>
        <v>363123197.11836076</v>
      </c>
      <c r="Z229" s="257">
        <f t="shared" si="33"/>
        <v>2088958030065.1086</v>
      </c>
      <c r="AA229" s="257">
        <f t="shared" si="34"/>
        <v>66293494.56848979</v>
      </c>
    </row>
    <row r="230" spans="18:27" x14ac:dyDescent="0.25">
      <c r="R230" s="253">
        <f t="shared" si="35"/>
        <v>201</v>
      </c>
      <c r="S230" s="254"/>
      <c r="T230" s="255">
        <f t="shared" si="27"/>
        <v>346740.0164173317</v>
      </c>
      <c r="U230" s="256">
        <f t="shared" si="28"/>
        <v>645306.98106517387</v>
      </c>
      <c r="V230" s="257">
        <f t="shared" si="29"/>
        <v>1281449.2786735343</v>
      </c>
      <c r="W230" s="255">
        <f t="shared" si="30"/>
        <v>13027319.478740619</v>
      </c>
      <c r="X230" s="257">
        <f t="shared" si="31"/>
        <v>68946274.351229385</v>
      </c>
      <c r="Y230" s="255">
        <f t="shared" si="32"/>
        <v>381280406.97427875</v>
      </c>
      <c r="Z230" s="257">
        <f t="shared" si="33"/>
        <v>2297853834171.6201</v>
      </c>
      <c r="AA230" s="257">
        <f t="shared" si="34"/>
        <v>68946274.351229385</v>
      </c>
    </row>
    <row r="231" spans="18:27" x14ac:dyDescent="0.25">
      <c r="R231" s="253">
        <f t="shared" si="35"/>
        <v>202</v>
      </c>
      <c r="S231" s="254"/>
      <c r="T231" s="255">
        <f t="shared" si="27"/>
        <v>349478.71649941825</v>
      </c>
      <c r="U231" s="256">
        <f t="shared" si="28"/>
        <v>652770.05087582557</v>
      </c>
      <c r="V231" s="257">
        <f t="shared" si="29"/>
        <v>1301686.0178536368</v>
      </c>
      <c r="W231" s="255">
        <f t="shared" si="30"/>
        <v>13419169.06310284</v>
      </c>
      <c r="X231" s="257">
        <f t="shared" si="31"/>
        <v>71705165.32527858</v>
      </c>
      <c r="Y231" s="255">
        <f t="shared" si="32"/>
        <v>400345477.32299262</v>
      </c>
      <c r="Z231" s="257">
        <f t="shared" si="33"/>
        <v>2527639218688.7817</v>
      </c>
      <c r="AA231" s="257">
        <f t="shared" si="34"/>
        <v>71705165.32527858</v>
      </c>
    </row>
    <row r="232" spans="18:27" x14ac:dyDescent="0.25">
      <c r="R232" s="253">
        <f t="shared" si="35"/>
        <v>203</v>
      </c>
      <c r="S232" s="254"/>
      <c r="T232" s="255">
        <f t="shared" si="27"/>
        <v>352231.11008191528</v>
      </c>
      <c r="U232" s="256">
        <f t="shared" si="28"/>
        <v>660307.75138458388</v>
      </c>
      <c r="V232" s="257">
        <f t="shared" si="29"/>
        <v>1322226.3081214412</v>
      </c>
      <c r="W232" s="255">
        <f t="shared" si="30"/>
        <v>13822774.134995924</v>
      </c>
      <c r="X232" s="257">
        <f t="shared" si="31"/>
        <v>74574411.938289717</v>
      </c>
      <c r="Y232" s="255">
        <f t="shared" si="32"/>
        <v>420363801.18914235</v>
      </c>
      <c r="Z232" s="257">
        <f t="shared" si="33"/>
        <v>2780403141657.6602</v>
      </c>
      <c r="AA232" s="257">
        <f t="shared" si="34"/>
        <v>74574411.938289717</v>
      </c>
    </row>
    <row r="233" spans="18:27" x14ac:dyDescent="0.25">
      <c r="R233" s="253">
        <f t="shared" si="35"/>
        <v>204</v>
      </c>
      <c r="S233" s="254"/>
      <c r="T233" s="255">
        <f t="shared" si="27"/>
        <v>354997.26563232462</v>
      </c>
      <c r="U233" s="256">
        <f t="shared" si="28"/>
        <v>667920.82889842975</v>
      </c>
      <c r="V233" s="257">
        <f t="shared" si="29"/>
        <v>1343074.7027432625</v>
      </c>
      <c r="W233" s="255">
        <f t="shared" si="30"/>
        <v>14238487.3590458</v>
      </c>
      <c r="X233" s="257">
        <f t="shared" si="31"/>
        <v>77558428.415821299</v>
      </c>
      <c r="Y233" s="255">
        <f t="shared" si="32"/>
        <v>441383041.24859941</v>
      </c>
      <c r="Z233" s="257">
        <f t="shared" si="33"/>
        <v>3058443456923.4258</v>
      </c>
      <c r="AA233" s="257">
        <f t="shared" si="34"/>
        <v>77558428.415821299</v>
      </c>
    </row>
    <row r="234" spans="18:27" x14ac:dyDescent="0.25">
      <c r="R234" s="253">
        <f t="shared" si="35"/>
        <v>205</v>
      </c>
      <c r="S234" s="254"/>
      <c r="T234" s="255">
        <f t="shared" si="27"/>
        <v>357777.25196048635</v>
      </c>
      <c r="U234" s="256">
        <f t="shared" si="28"/>
        <v>675610.03718741401</v>
      </c>
      <c r="V234" s="257">
        <f t="shared" si="29"/>
        <v>1364235.8232844113</v>
      </c>
      <c r="W234" s="255">
        <f t="shared" si="30"/>
        <v>14666671.979817174</v>
      </c>
      <c r="X234" s="257">
        <f t="shared" si="31"/>
        <v>80661805.552454174</v>
      </c>
      <c r="Y234" s="255">
        <f t="shared" si="32"/>
        <v>463453243.31102955</v>
      </c>
      <c r="Z234" s="257">
        <f t="shared" si="33"/>
        <v>3364287803715.7686</v>
      </c>
      <c r="AA234" s="257">
        <f t="shared" si="34"/>
        <v>80661805.552454174</v>
      </c>
    </row>
    <row r="235" spans="18:27" x14ac:dyDescent="0.25">
      <c r="R235" s="253">
        <f t="shared" si="35"/>
        <v>206</v>
      </c>
      <c r="S235" s="254"/>
      <c r="T235" s="255">
        <f t="shared" si="27"/>
        <v>360571.1382202885</v>
      </c>
      <c r="U235" s="256">
        <f t="shared" si="28"/>
        <v>683376.13755928818</v>
      </c>
      <c r="V235" s="257">
        <f t="shared" si="29"/>
        <v>1385714.3606336773</v>
      </c>
      <c r="W235" s="255">
        <f t="shared" si="30"/>
        <v>15107702.139211692</v>
      </c>
      <c r="X235" s="257">
        <f t="shared" si="31"/>
        <v>83889317.774552345</v>
      </c>
      <c r="Y235" s="255">
        <f t="shared" si="32"/>
        <v>486626955.4765808</v>
      </c>
      <c r="Z235" s="257">
        <f t="shared" si="33"/>
        <v>3700716585187.3467</v>
      </c>
      <c r="AA235" s="257">
        <f t="shared" si="34"/>
        <v>83889317.774552345</v>
      </c>
    </row>
    <row r="236" spans="18:27" x14ac:dyDescent="0.25">
      <c r="R236" s="253">
        <f t="shared" si="35"/>
        <v>207</v>
      </c>
      <c r="S236" s="254"/>
      <c r="T236" s="255">
        <f t="shared" si="27"/>
        <v>363378.99391138984</v>
      </c>
      <c r="U236" s="256">
        <f t="shared" si="28"/>
        <v>691219.89893488085</v>
      </c>
      <c r="V236" s="257">
        <f t="shared" si="29"/>
        <v>1407515.0760431821</v>
      </c>
      <c r="W236" s="255">
        <f t="shared" si="30"/>
        <v>15561963.203388043</v>
      </c>
      <c r="X236" s="257">
        <f t="shared" si="31"/>
        <v>87245930.48553443</v>
      </c>
      <c r="Y236" s="255">
        <f t="shared" si="32"/>
        <v>510959353.25040996</v>
      </c>
      <c r="Z236" s="257">
        <f t="shared" si="33"/>
        <v>4070788244806.0811</v>
      </c>
      <c r="AA236" s="257">
        <f t="shared" si="34"/>
        <v>87245930.48553443</v>
      </c>
    </row>
    <row r="237" spans="18:27" x14ac:dyDescent="0.25">
      <c r="R237" s="253">
        <f t="shared" si="35"/>
        <v>208</v>
      </c>
      <c r="S237" s="254"/>
      <c r="T237" s="255">
        <f t="shared" si="27"/>
        <v>366200.88888094673</v>
      </c>
      <c r="U237" s="256">
        <f t="shared" si="28"/>
        <v>699142.09792422992</v>
      </c>
      <c r="V237" s="257">
        <f t="shared" si="29"/>
        <v>1429642.8021838297</v>
      </c>
      <c r="W237" s="255">
        <f t="shared" si="30"/>
        <v>16029852.099489681</v>
      </c>
      <c r="X237" s="257">
        <f t="shared" si="31"/>
        <v>90736807.704955831</v>
      </c>
      <c r="Y237" s="255">
        <f t="shared" si="32"/>
        <v>536508370.91293055</v>
      </c>
      <c r="Z237" s="257">
        <f t="shared" si="33"/>
        <v>4477867070386.6895</v>
      </c>
      <c r="AA237" s="257">
        <f t="shared" si="34"/>
        <v>90736807.704955831</v>
      </c>
    </row>
    <row r="238" spans="18:27" x14ac:dyDescent="0.25">
      <c r="R238" s="253">
        <f t="shared" si="35"/>
        <v>209</v>
      </c>
      <c r="S238" s="254"/>
      <c r="T238" s="255">
        <f t="shared" si="27"/>
        <v>369036.89332535147</v>
      </c>
      <c r="U238" s="256">
        <f t="shared" si="28"/>
        <v>707143.51890347223</v>
      </c>
      <c r="V238" s="257">
        <f t="shared" si="29"/>
        <v>1452102.4442165873</v>
      </c>
      <c r="W238" s="255">
        <f t="shared" si="30"/>
        <v>16511777.662474371</v>
      </c>
      <c r="X238" s="257">
        <f t="shared" si="31"/>
        <v>94367320.01315403</v>
      </c>
      <c r="Y238" s="255">
        <f t="shared" si="32"/>
        <v>563334839.45857716</v>
      </c>
      <c r="Z238" s="257">
        <f t="shared" si="33"/>
        <v>4925653778525.3574</v>
      </c>
      <c r="AA238" s="257">
        <f t="shared" si="34"/>
        <v>94367320.01315403</v>
      </c>
    </row>
    <row r="239" spans="18:27" x14ac:dyDescent="0.25">
      <c r="R239" s="253">
        <f t="shared" si="35"/>
        <v>210</v>
      </c>
      <c r="S239" s="254"/>
      <c r="T239" s="255">
        <f t="shared" si="27"/>
        <v>371887.07779197808</v>
      </c>
      <c r="U239" s="256">
        <f t="shared" si="28"/>
        <v>715224.95409250713</v>
      </c>
      <c r="V239" s="257">
        <f t="shared" si="29"/>
        <v>1474898.9808798356</v>
      </c>
      <c r="W239" s="255">
        <f t="shared" si="30"/>
        <v>17008160.992348604</v>
      </c>
      <c r="X239" s="257">
        <f t="shared" si="31"/>
        <v>98143052.813680217</v>
      </c>
      <c r="Y239" s="255">
        <f t="shared" si="32"/>
        <v>591502631.43150604</v>
      </c>
      <c r="Z239" s="257">
        <f t="shared" si="33"/>
        <v>5418219157477.8945</v>
      </c>
      <c r="AA239" s="257">
        <f t="shared" si="34"/>
        <v>98143052.813680217</v>
      </c>
    </row>
    <row r="240" spans="18:27" x14ac:dyDescent="0.25">
      <c r="R240" s="253">
        <f t="shared" si="35"/>
        <v>211</v>
      </c>
      <c r="S240" s="254"/>
      <c r="T240" s="255">
        <f t="shared" si="27"/>
        <v>374751.51318093797</v>
      </c>
      <c r="U240" s="256">
        <f t="shared" si="28"/>
        <v>723387.20363343193</v>
      </c>
      <c r="V240" s="257">
        <f t="shared" si="29"/>
        <v>1498037.465593033</v>
      </c>
      <c r="W240" s="255">
        <f t="shared" si="30"/>
        <v>17519435.822119061</v>
      </c>
      <c r="X240" s="257">
        <f t="shared" si="31"/>
        <v>102069814.92622744</v>
      </c>
      <c r="Y240" s="255">
        <f t="shared" si="32"/>
        <v>621078813.0030812</v>
      </c>
      <c r="Z240" s="257">
        <f t="shared" si="33"/>
        <v>5960041074325.6855</v>
      </c>
      <c r="AA240" s="257">
        <f t="shared" si="34"/>
        <v>102069814.92622744</v>
      </c>
    </row>
    <row r="241" spans="18:27" x14ac:dyDescent="0.25">
      <c r="R241" s="253">
        <f t="shared" si="35"/>
        <v>212</v>
      </c>
      <c r="S241" s="254"/>
      <c r="T241" s="255">
        <f t="shared" si="27"/>
        <v>377630.27074684249</v>
      </c>
      <c r="U241" s="256">
        <f t="shared" si="28"/>
        <v>731631.07566976652</v>
      </c>
      <c r="V241" s="257">
        <f t="shared" si="29"/>
        <v>1521523.027576928</v>
      </c>
      <c r="W241" s="255">
        <f t="shared" si="30"/>
        <v>18046048.896782633</v>
      </c>
      <c r="X241" s="257">
        <f t="shared" si="31"/>
        <v>106153647.52327654</v>
      </c>
      <c r="Y241" s="255">
        <f t="shared" si="32"/>
        <v>652133803.6532352</v>
      </c>
      <c r="Z241" s="257">
        <f t="shared" si="33"/>
        <v>6556045182858.2539</v>
      </c>
      <c r="AA241" s="257">
        <f t="shared" si="34"/>
        <v>106153647.52327654</v>
      </c>
    </row>
    <row r="242" spans="18:27" x14ac:dyDescent="0.25">
      <c r="R242" s="253">
        <f t="shared" si="35"/>
        <v>213</v>
      </c>
      <c r="S242" s="254"/>
      <c r="T242" s="255">
        <f t="shared" si="27"/>
        <v>380523.42210057663</v>
      </c>
      <c r="U242" s="256">
        <f t="shared" si="28"/>
        <v>739957.38642646396</v>
      </c>
      <c r="V242" s="257">
        <f t="shared" si="29"/>
        <v>1545360.8729905819</v>
      </c>
      <c r="W242" s="255">
        <f t="shared" si="30"/>
        <v>18588460.363686111</v>
      </c>
      <c r="X242" s="257">
        <f t="shared" si="31"/>
        <v>110400833.42420761</v>
      </c>
      <c r="Y242" s="255">
        <f t="shared" si="32"/>
        <v>684741543.83589697</v>
      </c>
      <c r="Z242" s="257">
        <f t="shared" si="33"/>
        <v>7211649702244.0801</v>
      </c>
      <c r="AA242" s="257">
        <f t="shared" si="34"/>
        <v>110400833.42420761</v>
      </c>
    </row>
    <row r="243" spans="18:27" x14ac:dyDescent="0.25">
      <c r="R243" s="253">
        <f t="shared" si="35"/>
        <v>214</v>
      </c>
      <c r="S243" s="254"/>
      <c r="T243" s="255">
        <f t="shared" si="27"/>
        <v>383431.03921107936</v>
      </c>
      <c r="U243" s="256">
        <f t="shared" si="28"/>
        <v>748366.96029072884</v>
      </c>
      <c r="V243" s="257">
        <f t="shared" si="29"/>
        <v>1569556.2860854405</v>
      </c>
      <c r="W243" s="255">
        <f t="shared" si="30"/>
        <v>19147144.174596693</v>
      </c>
      <c r="X243" s="257">
        <f t="shared" si="31"/>
        <v>114817906.76117593</v>
      </c>
      <c r="Y243" s="255">
        <f t="shared" si="32"/>
        <v>718979671.02769172</v>
      </c>
      <c r="Z243" s="257">
        <f t="shared" si="33"/>
        <v>7932814673568.4883</v>
      </c>
      <c r="AA243" s="257">
        <f t="shared" si="34"/>
        <v>114817906.76117593</v>
      </c>
    </row>
    <row r="244" spans="18:27" x14ac:dyDescent="0.25">
      <c r="R244" s="253">
        <f t="shared" si="35"/>
        <v>215</v>
      </c>
      <c r="S244" s="254"/>
      <c r="T244" s="255">
        <f t="shared" si="27"/>
        <v>386353.19440713467</v>
      </c>
      <c r="U244" s="256">
        <f t="shared" si="28"/>
        <v>756860.62989363587</v>
      </c>
      <c r="V244" s="257">
        <f t="shared" si="29"/>
        <v>1594114.6303767217</v>
      </c>
      <c r="W244" s="255">
        <f t="shared" si="30"/>
        <v>19722588.499834593</v>
      </c>
      <c r="X244" s="257">
        <f t="shared" si="31"/>
        <v>119411663.03162295</v>
      </c>
      <c r="Y244" s="255">
        <f t="shared" si="32"/>
        <v>754929704.57907665</v>
      </c>
      <c r="Z244" s="257">
        <f t="shared" si="33"/>
        <v>8726096142025.3379</v>
      </c>
      <c r="AA244" s="257">
        <f t="shared" si="34"/>
        <v>119411663.03162295</v>
      </c>
    </row>
    <row r="245" spans="18:27" x14ac:dyDescent="0.25">
      <c r="R245" s="253">
        <f t="shared" si="35"/>
        <v>216</v>
      </c>
      <c r="S245" s="254"/>
      <c r="T245" s="255">
        <f t="shared" si="27"/>
        <v>389289.96037917049</v>
      </c>
      <c r="U245" s="256">
        <f t="shared" si="28"/>
        <v>765439.23619257251</v>
      </c>
      <c r="V245" s="257">
        <f t="shared" si="29"/>
        <v>1619041.3498323723</v>
      </c>
      <c r="W245" s="255">
        <f t="shared" si="30"/>
        <v>20315296.154829629</v>
      </c>
      <c r="X245" s="257">
        <f t="shared" si="31"/>
        <v>124189169.55288787</v>
      </c>
      <c r="Y245" s="255">
        <f t="shared" si="32"/>
        <v>792677239.80803025</v>
      </c>
      <c r="Z245" s="257">
        <f t="shared" si="33"/>
        <v>9598705757327.8711</v>
      </c>
      <c r="AA245" s="257">
        <f t="shared" si="34"/>
        <v>124189169.55288787</v>
      </c>
    </row>
    <row r="246" spans="18:27" x14ac:dyDescent="0.25">
      <c r="R246" s="253">
        <f t="shared" si="35"/>
        <v>217</v>
      </c>
      <c r="S246" s="254"/>
      <c r="T246" s="255">
        <f t="shared" si="27"/>
        <v>392241.41018106614</v>
      </c>
      <c r="U246" s="256">
        <f t="shared" si="28"/>
        <v>774103.62855449831</v>
      </c>
      <c r="V246" s="257">
        <f t="shared" si="29"/>
        <v>1644341.9700798574</v>
      </c>
      <c r="W246" s="255">
        <f t="shared" si="30"/>
        <v>20925785.039474513</v>
      </c>
      <c r="X246" s="257">
        <f t="shared" si="31"/>
        <v>129157776.33500341</v>
      </c>
      <c r="Y246" s="255">
        <f t="shared" si="32"/>
        <v>832312151.79843187</v>
      </c>
      <c r="Z246" s="257">
        <f t="shared" si="33"/>
        <v>10558576334160.658</v>
      </c>
      <c r="AA246" s="257">
        <f t="shared" si="34"/>
        <v>129157776.33500341</v>
      </c>
    </row>
    <row r="247" spans="18:27" x14ac:dyDescent="0.25">
      <c r="R247" s="253">
        <f t="shared" si="35"/>
        <v>218</v>
      </c>
      <c r="S247" s="254"/>
      <c r="T247" s="255">
        <f t="shared" si="27"/>
        <v>395207.61723197135</v>
      </c>
      <c r="U247" s="256">
        <f t="shared" si="28"/>
        <v>782854.66484004341</v>
      </c>
      <c r="V247" s="257">
        <f t="shared" si="29"/>
        <v>1670022.0996310553</v>
      </c>
      <c r="W247" s="255">
        <f t="shared" si="30"/>
        <v>21554588.590658758</v>
      </c>
      <c r="X247" s="257">
        <f t="shared" si="31"/>
        <v>134325127.38840351</v>
      </c>
      <c r="Y247" s="255">
        <f t="shared" si="32"/>
        <v>873928809.38835335</v>
      </c>
      <c r="Z247" s="257">
        <f t="shared" si="33"/>
        <v>11614433968676.727</v>
      </c>
      <c r="AA247" s="257">
        <f t="shared" si="34"/>
        <v>134325127.38840351</v>
      </c>
    </row>
    <row r="248" spans="18:27" x14ac:dyDescent="0.25">
      <c r="R248" s="253">
        <f t="shared" si="35"/>
        <v>219</v>
      </c>
      <c r="S248" s="254"/>
      <c r="T248" s="255">
        <f t="shared" si="27"/>
        <v>398188.65531813115</v>
      </c>
      <c r="U248" s="256">
        <f t="shared" si="28"/>
        <v>791693.21148844366</v>
      </c>
      <c r="V248" s="257">
        <f t="shared" si="29"/>
        <v>1696087.4311255212</v>
      </c>
      <c r="W248" s="255">
        <f t="shared" si="30"/>
        <v>22202256.248378519</v>
      </c>
      <c r="X248" s="257">
        <f t="shared" si="31"/>
        <v>139699172.48393965</v>
      </c>
      <c r="Y248" s="255">
        <f t="shared" si="32"/>
        <v>917626299.85777128</v>
      </c>
      <c r="Z248" s="257">
        <f t="shared" si="33"/>
        <v>12775877366644.4</v>
      </c>
      <c r="AA248" s="257">
        <f t="shared" si="34"/>
        <v>139699172.48393965</v>
      </c>
    </row>
    <row r="249" spans="18:27" x14ac:dyDescent="0.25">
      <c r="R249" s="253">
        <f t="shared" si="35"/>
        <v>220</v>
      </c>
      <c r="S249" s="254"/>
      <c r="T249" s="255">
        <f t="shared" si="27"/>
        <v>401184.59859472164</v>
      </c>
      <c r="U249" s="256">
        <f t="shared" si="28"/>
        <v>800620.14360332792</v>
      </c>
      <c r="V249" s="257">
        <f t="shared" si="29"/>
        <v>1722543.7425924034</v>
      </c>
      <c r="W249" s="255">
        <f t="shared" si="30"/>
        <v>22869353.93582987</v>
      </c>
      <c r="X249" s="257">
        <f t="shared" si="31"/>
        <v>145288179.38329729</v>
      </c>
      <c r="Y249" s="255">
        <f t="shared" si="32"/>
        <v>963508664.85065973</v>
      </c>
      <c r="Z249" s="257">
        <f t="shared" si="33"/>
        <v>14053465104408.842</v>
      </c>
      <c r="AA249" s="257">
        <f t="shared" si="34"/>
        <v>145288179.38329729</v>
      </c>
    </row>
    <row r="250" spans="18:27" x14ac:dyDescent="0.25">
      <c r="R250" s="253">
        <f t="shared" si="35"/>
        <v>221</v>
      </c>
      <c r="S250" s="254"/>
      <c r="T250" s="255">
        <f t="shared" si="27"/>
        <v>404195.52158769517</v>
      </c>
      <c r="U250" s="256">
        <f t="shared" si="28"/>
        <v>809636.34503936116</v>
      </c>
      <c r="V250" s="257">
        <f t="shared" si="29"/>
        <v>1749396.8987312894</v>
      </c>
      <c r="W250" s="255">
        <f t="shared" si="30"/>
        <v>23556464.553904772</v>
      </c>
      <c r="X250" s="257">
        <f t="shared" si="31"/>
        <v>151100746.55862918</v>
      </c>
      <c r="Y250" s="255">
        <f t="shared" si="32"/>
        <v>1011685148.0931929</v>
      </c>
      <c r="Z250" s="257">
        <f t="shared" si="33"/>
        <v>15458811615949.725</v>
      </c>
      <c r="AA250" s="257">
        <f t="shared" si="34"/>
        <v>151100746.55862918</v>
      </c>
    </row>
    <row r="251" spans="18:27" x14ac:dyDescent="0.25">
      <c r="R251" s="253">
        <f t="shared" si="35"/>
        <v>222</v>
      </c>
      <c r="S251" s="254"/>
      <c r="T251" s="255">
        <f t="shared" si="27"/>
        <v>407221.49919563357</v>
      </c>
      <c r="U251" s="256">
        <f t="shared" si="28"/>
        <v>818742.70848975505</v>
      </c>
      <c r="V251" s="257">
        <f t="shared" si="29"/>
        <v>1776652.8522122584</v>
      </c>
      <c r="W251" s="255">
        <f t="shared" si="30"/>
        <v>24264188.490521915</v>
      </c>
      <c r="X251" s="257">
        <f t="shared" si="31"/>
        <v>157145816.42097431</v>
      </c>
      <c r="Y251" s="255">
        <f t="shared" si="32"/>
        <v>1062270455.497852</v>
      </c>
      <c r="Z251" s="257">
        <f t="shared" si="33"/>
        <v>17004692778644.705</v>
      </c>
      <c r="AA251" s="257">
        <f t="shared" si="34"/>
        <v>157145816.42097431</v>
      </c>
    </row>
    <row r="252" spans="18:27" x14ac:dyDescent="0.25">
      <c r="R252" s="253">
        <f t="shared" si="35"/>
        <v>223</v>
      </c>
      <c r="S252" s="254"/>
      <c r="T252" s="255">
        <f t="shared" si="27"/>
        <v>410262.60669161158</v>
      </c>
      <c r="U252" s="256">
        <f t="shared" si="28"/>
        <v>827940.13557465235</v>
      </c>
      <c r="V252" s="257">
        <f t="shared" si="29"/>
        <v>1804317.6449954421</v>
      </c>
      <c r="W252" s="255">
        <f t="shared" si="30"/>
        <v>24993144.145237569</v>
      </c>
      <c r="X252" s="257">
        <f t="shared" si="31"/>
        <v>163432689.07781333</v>
      </c>
      <c r="Y252" s="255">
        <f t="shared" si="32"/>
        <v>1115385028.2727451</v>
      </c>
      <c r="Z252" s="257">
        <f t="shared" si="33"/>
        <v>18705162057609.172</v>
      </c>
      <c r="AA252" s="257">
        <f t="shared" si="34"/>
        <v>163432689.07781333</v>
      </c>
    </row>
    <row r="253" spans="18:27" x14ac:dyDescent="0.25">
      <c r="R253" s="253">
        <f t="shared" si="35"/>
        <v>224</v>
      </c>
      <c r="S253" s="254"/>
      <c r="T253" s="255">
        <f t="shared" si="27"/>
        <v>413318.91972506954</v>
      </c>
      <c r="U253" s="256">
        <f t="shared" si="28"/>
        <v>837229.53693039913</v>
      </c>
      <c r="V253" s="257">
        <f t="shared" si="29"/>
        <v>1832397.4096703734</v>
      </c>
      <c r="W253" s="255">
        <f t="shared" si="30"/>
        <v>25743968.469594695</v>
      </c>
      <c r="X253" s="257">
        <f t="shared" si="31"/>
        <v>169971036.64092588</v>
      </c>
      <c r="Y253" s="255">
        <f t="shared" si="32"/>
        <v>1171155329.6863823</v>
      </c>
      <c r="Z253" s="257">
        <f t="shared" si="33"/>
        <v>20575678264470.09</v>
      </c>
      <c r="AA253" s="257">
        <f t="shared" si="34"/>
        <v>169971036.64092588</v>
      </c>
    </row>
    <row r="254" spans="18:27" x14ac:dyDescent="0.25">
      <c r="R254" s="253">
        <f t="shared" si="35"/>
        <v>225</v>
      </c>
      <c r="S254" s="254"/>
      <c r="T254" s="255">
        <f t="shared" si="27"/>
        <v>416390.51432369486</v>
      </c>
      <c r="U254" s="256">
        <f t="shared" si="28"/>
        <v>846611.83229970303</v>
      </c>
      <c r="V254" s="257">
        <f t="shared" si="29"/>
        <v>1860898.3708154284</v>
      </c>
      <c r="W254" s="255">
        <f t="shared" si="30"/>
        <v>26517317.523682535</v>
      </c>
      <c r="X254" s="257">
        <f t="shared" si="31"/>
        <v>176770918.10656291</v>
      </c>
      <c r="Y254" s="255">
        <f t="shared" si="32"/>
        <v>1229714146.1707015</v>
      </c>
      <c r="Z254" s="257">
        <f t="shared" si="33"/>
        <v>22633246092017.102</v>
      </c>
      <c r="AA254" s="257">
        <f t="shared" si="34"/>
        <v>176770918.10656291</v>
      </c>
    </row>
    <row r="255" spans="18:27" x14ac:dyDescent="0.25">
      <c r="R255" s="253">
        <f t="shared" si="35"/>
        <v>226</v>
      </c>
      <c r="S255" s="254"/>
      <c r="T255" s="255">
        <f t="shared" si="27"/>
        <v>419477.46689531323</v>
      </c>
      <c r="U255" s="256">
        <f t="shared" si="28"/>
        <v>856087.95062270004</v>
      </c>
      <c r="V255" s="257">
        <f t="shared" si="29"/>
        <v>1889826.8463776596</v>
      </c>
      <c r="W255" s="255">
        <f t="shared" si="30"/>
        <v>27313867.049393002</v>
      </c>
      <c r="X255" s="257">
        <f t="shared" si="31"/>
        <v>183842794.83082542</v>
      </c>
      <c r="Y255" s="255">
        <f t="shared" si="32"/>
        <v>1291200903.4792364</v>
      </c>
      <c r="Z255" s="257">
        <f t="shared" si="33"/>
        <v>24896570702318.813</v>
      </c>
      <c r="AA255" s="257">
        <f t="shared" si="34"/>
        <v>183842794.83082542</v>
      </c>
    </row>
    <row r="256" spans="18:27" x14ac:dyDescent="0.25">
      <c r="R256" s="253">
        <f t="shared" si="35"/>
        <v>227</v>
      </c>
      <c r="S256" s="254"/>
      <c r="T256" s="255">
        <f t="shared" si="27"/>
        <v>422579.85422978987</v>
      </c>
      <c r="U256" s="256">
        <f t="shared" si="28"/>
        <v>865658.8301289269</v>
      </c>
      <c r="V256" s="257">
        <f t="shared" si="29"/>
        <v>1919189.2490733245</v>
      </c>
      <c r="W256" s="255">
        <f t="shared" si="30"/>
        <v>28134313.060874805</v>
      </c>
      <c r="X256" s="257">
        <f t="shared" si="31"/>
        <v>191197546.62405849</v>
      </c>
      <c r="Y256" s="255">
        <f t="shared" si="32"/>
        <v>1355761998.6531985</v>
      </c>
      <c r="Z256" s="257">
        <f t="shared" si="33"/>
        <v>27386227773650.695</v>
      </c>
      <c r="AA256" s="257">
        <f t="shared" si="34"/>
        <v>191197546.62405849</v>
      </c>
    </row>
    <row r="257" spans="18:27" x14ac:dyDescent="0.25">
      <c r="R257" s="253">
        <f t="shared" si="35"/>
        <v>228</v>
      </c>
      <c r="S257" s="254"/>
      <c r="T257" s="255">
        <f t="shared" si="27"/>
        <v>425697.75350093853</v>
      </c>
      <c r="U257" s="256">
        <f t="shared" si="28"/>
        <v>875325.41843021626</v>
      </c>
      <c r="V257" s="257">
        <f t="shared" si="29"/>
        <v>1948992.0878094241</v>
      </c>
      <c r="W257" s="255">
        <f t="shared" si="30"/>
        <v>28979372.452701047</v>
      </c>
      <c r="X257" s="257">
        <f t="shared" si="31"/>
        <v>198846488.48902079</v>
      </c>
      <c r="Y257" s="255">
        <f t="shared" si="32"/>
        <v>1423551148.5858581</v>
      </c>
      <c r="Z257" s="257">
        <f t="shared" si="33"/>
        <v>30124850552115.766</v>
      </c>
      <c r="AA257" s="257">
        <f t="shared" si="34"/>
        <v>198846488.48902079</v>
      </c>
    </row>
    <row r="258" spans="18:27" x14ac:dyDescent="0.25">
      <c r="R258" s="253">
        <f t="shared" si="35"/>
        <v>229</v>
      </c>
      <c r="S258" s="254"/>
      <c r="T258" s="255">
        <f t="shared" si="27"/>
        <v>428831.24226844305</v>
      </c>
      <c r="U258" s="256">
        <f t="shared" si="28"/>
        <v>885088.67261451844</v>
      </c>
      <c r="V258" s="257">
        <f t="shared" si="29"/>
        <v>1979241.9691265651</v>
      </c>
      <c r="W258" s="255">
        <f t="shared" si="30"/>
        <v>29849783.62628207</v>
      </c>
      <c r="X258" s="257">
        <f t="shared" si="31"/>
        <v>206801388.02858171</v>
      </c>
      <c r="Y258" s="255">
        <f t="shared" si="32"/>
        <v>1494729756.015151</v>
      </c>
      <c r="Z258" s="257">
        <f t="shared" si="33"/>
        <v>33137335608427.348</v>
      </c>
      <c r="AA258" s="257">
        <f t="shared" si="34"/>
        <v>206801388.02858171</v>
      </c>
    </row>
    <row r="259" spans="18:27" x14ac:dyDescent="0.25">
      <c r="R259" s="253">
        <f t="shared" si="35"/>
        <v>230</v>
      </c>
      <c r="S259" s="254"/>
      <c r="T259" s="255">
        <f t="shared" si="27"/>
        <v>431980.39847978525</v>
      </c>
      <c r="U259" s="256">
        <f t="shared" si="28"/>
        <v>894949.5593406636</v>
      </c>
      <c r="V259" s="257">
        <f t="shared" si="29"/>
        <v>2009945.598663463</v>
      </c>
      <c r="W259" s="255">
        <f t="shared" si="30"/>
        <v>30746307.135070533</v>
      </c>
      <c r="X259" s="257">
        <f t="shared" si="31"/>
        <v>215074483.54972488</v>
      </c>
      <c r="Y259" s="255">
        <f t="shared" si="32"/>
        <v>1569467293.8159084</v>
      </c>
      <c r="Z259" s="257">
        <f t="shared" si="33"/>
        <v>36451069170370.078</v>
      </c>
      <c r="AA259" s="257">
        <f t="shared" si="34"/>
        <v>215074483.54972488</v>
      </c>
    </row>
    <row r="260" spans="18:27" x14ac:dyDescent="0.25">
      <c r="R260" s="253">
        <f t="shared" si="35"/>
        <v>231</v>
      </c>
      <c r="S260" s="254"/>
      <c r="T260" s="255">
        <f t="shared" si="27"/>
        <v>435145.30047218408</v>
      </c>
      <c r="U260" s="256">
        <f t="shared" si="28"/>
        <v>904909.05493406998</v>
      </c>
      <c r="V260" s="257">
        <f t="shared" si="29"/>
        <v>2041109.782643415</v>
      </c>
      <c r="W260" s="255">
        <f t="shared" si="30"/>
        <v>31669726.349122658</v>
      </c>
      <c r="X260" s="257">
        <f t="shared" si="31"/>
        <v>223678502.89171392</v>
      </c>
      <c r="Y260" s="255">
        <f t="shared" si="32"/>
        <v>1647941708.5067041</v>
      </c>
      <c r="Z260" s="257">
        <f t="shared" si="33"/>
        <v>40096176088507.102</v>
      </c>
      <c r="AA260" s="257">
        <f t="shared" si="34"/>
        <v>223678502.89171392</v>
      </c>
    </row>
    <row r="261" spans="18:27" x14ac:dyDescent="0.25">
      <c r="R261" s="253">
        <f t="shared" si="35"/>
        <v>232</v>
      </c>
      <c r="S261" s="254"/>
      <c r="T261" s="255">
        <f t="shared" si="27"/>
        <v>438326.02697454504</v>
      </c>
      <c r="U261" s="256">
        <f t="shared" si="28"/>
        <v>914968.14548341103</v>
      </c>
      <c r="V261" s="257">
        <f t="shared" si="29"/>
        <v>2072741.429383066</v>
      </c>
      <c r="W261" s="255">
        <f t="shared" si="30"/>
        <v>32620848.139596328</v>
      </c>
      <c r="X261" s="257">
        <f t="shared" si="31"/>
        <v>232626683.00738254</v>
      </c>
      <c r="Y261" s="255">
        <f t="shared" si="32"/>
        <v>1730339843.9320393</v>
      </c>
      <c r="Z261" s="257">
        <f t="shared" si="33"/>
        <v>44105793698457.805</v>
      </c>
      <c r="AA261" s="257">
        <f t="shared" si="34"/>
        <v>232626683.00738254</v>
      </c>
    </row>
    <row r="262" spans="18:27" x14ac:dyDescent="0.25">
      <c r="R262" s="253">
        <f t="shared" si="35"/>
        <v>233</v>
      </c>
      <c r="S262" s="254"/>
      <c r="T262" s="255">
        <f t="shared" si="27"/>
        <v>441522.65710941755</v>
      </c>
      <c r="U262" s="256">
        <f t="shared" si="28"/>
        <v>925127.8269382451</v>
      </c>
      <c r="V262" s="257">
        <f t="shared" si="29"/>
        <v>2104847.5508238114</v>
      </c>
      <c r="W262" s="255">
        <f t="shared" si="30"/>
        <v>33600503.583784223</v>
      </c>
      <c r="X262" s="257">
        <f t="shared" si="31"/>
        <v>241932790.32767782</v>
      </c>
      <c r="Y262" s="255">
        <f t="shared" si="32"/>
        <v>1816857886.1286416</v>
      </c>
      <c r="Z262" s="257">
        <f t="shared" si="33"/>
        <v>48516373069403.586</v>
      </c>
      <c r="AA262" s="257">
        <f t="shared" si="34"/>
        <v>241932790.32767782</v>
      </c>
    </row>
    <row r="263" spans="18:27" x14ac:dyDescent="0.25">
      <c r="R263" s="253">
        <f t="shared" si="35"/>
        <v>234</v>
      </c>
      <c r="S263" s="254"/>
      <c r="T263" s="255">
        <f t="shared" si="27"/>
        <v>444735.27039496455</v>
      </c>
      <c r="U263" s="256">
        <f t="shared" si="28"/>
        <v>935389.10520762787</v>
      </c>
      <c r="V263" s="257">
        <f t="shared" si="29"/>
        <v>2137435.2640861683</v>
      </c>
      <c r="W263" s="255">
        <f t="shared" si="30"/>
        <v>34609548.691297747</v>
      </c>
      <c r="X263" s="257">
        <f t="shared" si="31"/>
        <v>251611141.9407849</v>
      </c>
      <c r="Y263" s="255">
        <f t="shared" si="32"/>
        <v>1907701830.4350736</v>
      </c>
      <c r="Z263" s="257">
        <f t="shared" si="33"/>
        <v>53368010377443.961</v>
      </c>
      <c r="AA263" s="257">
        <f t="shared" si="34"/>
        <v>251611141.9407849</v>
      </c>
    </row>
    <row r="264" spans="18:27" x14ac:dyDescent="0.25">
      <c r="R264" s="253">
        <f t="shared" si="35"/>
        <v>235</v>
      </c>
      <c r="S264" s="254"/>
      <c r="T264" s="255">
        <f t="shared" si="27"/>
        <v>447963.94674693927</v>
      </c>
      <c r="U264" s="256">
        <f t="shared" si="28"/>
        <v>945752.99625970377</v>
      </c>
      <c r="V264" s="257">
        <f t="shared" si="29"/>
        <v>2170511.7930474607</v>
      </c>
      <c r="W264" s="255">
        <f t="shared" si="30"/>
        <v>35648865.152036682</v>
      </c>
      <c r="X264" s="257">
        <f t="shared" si="31"/>
        <v>261676627.61841634</v>
      </c>
      <c r="Y264" s="255">
        <f t="shared" si="32"/>
        <v>2003087971.9568274</v>
      </c>
      <c r="Z264" s="257">
        <f t="shared" si="33"/>
        <v>58704811416288.352</v>
      </c>
      <c r="AA264" s="257">
        <f t="shared" si="34"/>
        <v>261676627.61841634</v>
      </c>
    </row>
    <row r="265" spans="18:27" x14ac:dyDescent="0.25">
      <c r="R265" s="253">
        <f t="shared" si="35"/>
        <v>236</v>
      </c>
      <c r="S265" s="254"/>
      <c r="T265" s="255">
        <f t="shared" si="27"/>
        <v>451208.76648067392</v>
      </c>
      <c r="U265" s="256">
        <f t="shared" si="28"/>
        <v>956220.52622230095</v>
      </c>
      <c r="V265" s="257">
        <f t="shared" si="29"/>
        <v>2204084.4699431723</v>
      </c>
      <c r="W265" s="255">
        <f t="shared" si="30"/>
        <v>36719361.106597774</v>
      </c>
      <c r="X265" s="257">
        <f t="shared" si="31"/>
        <v>272144732.72315305</v>
      </c>
      <c r="Y265" s="255">
        <f t="shared" si="32"/>
        <v>2103243420.5546684</v>
      </c>
      <c r="Z265" s="257">
        <f t="shared" si="33"/>
        <v>64575292559017.18</v>
      </c>
      <c r="AA265" s="257">
        <f t="shared" si="34"/>
        <v>272144732.72315305</v>
      </c>
    </row>
    <row r="266" spans="18:27" x14ac:dyDescent="0.25">
      <c r="R266" s="253">
        <f t="shared" si="35"/>
        <v>237</v>
      </c>
      <c r="S266" s="254"/>
      <c r="T266" s="255">
        <f t="shared" si="27"/>
        <v>454469.81031307706</v>
      </c>
      <c r="U266" s="256">
        <f t="shared" si="28"/>
        <v>966792.73148452421</v>
      </c>
      <c r="V266" s="257">
        <f t="shared" si="29"/>
        <v>2238160.7369923196</v>
      </c>
      <c r="W266" s="255">
        <f t="shared" si="30"/>
        <v>37821971.93979571</v>
      </c>
      <c r="X266" s="257">
        <f t="shared" si="31"/>
        <v>283031562.0320791</v>
      </c>
      <c r="Y266" s="255">
        <f t="shared" si="32"/>
        <v>2208406641.5824027</v>
      </c>
      <c r="Z266" s="257">
        <f t="shared" si="33"/>
        <v>71032821816018.906</v>
      </c>
      <c r="AA266" s="257">
        <f t="shared" si="34"/>
        <v>283031562.0320791</v>
      </c>
    </row>
    <row r="267" spans="18:27" x14ac:dyDescent="0.25">
      <c r="R267" s="253">
        <f t="shared" si="35"/>
        <v>238</v>
      </c>
      <c r="S267" s="254"/>
      <c r="T267" s="255">
        <f t="shared" si="27"/>
        <v>457747.1593646424</v>
      </c>
      <c r="U267" s="256">
        <f t="shared" si="28"/>
        <v>977470.65879936947</v>
      </c>
      <c r="V267" s="257">
        <f t="shared" si="29"/>
        <v>2272748.1480472041</v>
      </c>
      <c r="W267" s="255">
        <f t="shared" si="30"/>
        <v>38957661.097989582</v>
      </c>
      <c r="X267" s="257">
        <f t="shared" si="31"/>
        <v>294353864.51336235</v>
      </c>
      <c r="Y267" s="255">
        <f t="shared" si="32"/>
        <v>2318828023.6615214</v>
      </c>
      <c r="Z267" s="257">
        <f t="shared" si="33"/>
        <v>78136103998720.828</v>
      </c>
      <c r="AA267" s="257">
        <f t="shared" si="34"/>
        <v>294353864.51336235</v>
      </c>
    </row>
    <row r="268" spans="18:27" x14ac:dyDescent="0.25">
      <c r="R268" s="253">
        <f t="shared" si="35"/>
        <v>239</v>
      </c>
      <c r="S268" s="254"/>
      <c r="T268" s="255">
        <f t="shared" si="27"/>
        <v>461040.89516146539</v>
      </c>
      <c r="U268" s="256">
        <f t="shared" si="28"/>
        <v>988255.36538736266</v>
      </c>
      <c r="V268" s="257">
        <f t="shared" si="29"/>
        <v>2307854.3702679113</v>
      </c>
      <c r="W268" s="255">
        <f t="shared" si="30"/>
        <v>40127420.930929266</v>
      </c>
      <c r="X268" s="257">
        <f t="shared" si="31"/>
        <v>306129059.09389681</v>
      </c>
      <c r="Y268" s="255">
        <f t="shared" si="32"/>
        <v>2434770474.8445992</v>
      </c>
      <c r="Z268" s="257">
        <f t="shared" si="33"/>
        <v>85949714399692.906</v>
      </c>
      <c r="AA268" s="257">
        <f t="shared" si="34"/>
        <v>306129059.09389681</v>
      </c>
    </row>
    <row r="269" spans="18:27" x14ac:dyDescent="0.25">
      <c r="R269" s="253">
        <f t="shared" si="35"/>
        <v>240</v>
      </c>
      <c r="S269" s="254"/>
      <c r="T269" s="255">
        <f t="shared" si="27"/>
        <v>464351.09963727265</v>
      </c>
      <c r="U269" s="256">
        <f t="shared" si="28"/>
        <v>999147.91904123663</v>
      </c>
      <c r="V269" s="257">
        <f t="shared" si="29"/>
        <v>2343487.1858219299</v>
      </c>
      <c r="W269" s="255">
        <f t="shared" si="30"/>
        <v>41332273.55885715</v>
      </c>
      <c r="X269" s="257">
        <f t="shared" si="31"/>
        <v>318375261.45765269</v>
      </c>
      <c r="Y269" s="255">
        <f t="shared" si="32"/>
        <v>2556510048.5868287</v>
      </c>
      <c r="Z269" s="257">
        <f t="shared" si="33"/>
        <v>94544685840762.203</v>
      </c>
      <c r="AA269" s="257">
        <f t="shared" si="34"/>
        <v>318375261.45765269</v>
      </c>
    </row>
    <row r="270" spans="18:27" x14ac:dyDescent="0.25">
      <c r="R270" s="253">
        <f t="shared" si="35"/>
        <v>241</v>
      </c>
      <c r="S270" s="254"/>
      <c r="T270" s="255">
        <f t="shared" si="27"/>
        <v>467677.8551354591</v>
      </c>
      <c r="U270" s="256">
        <f t="shared" si="28"/>
        <v>1010149.3982316492</v>
      </c>
      <c r="V270" s="257">
        <f t="shared" si="29"/>
        <v>2379654.4936092584</v>
      </c>
      <c r="W270" s="255">
        <f t="shared" si="30"/>
        <v>42573271.765622854</v>
      </c>
      <c r="X270" s="257">
        <f t="shared" si="31"/>
        <v>331111311.91595888</v>
      </c>
      <c r="Y270" s="255">
        <f t="shared" si="32"/>
        <v>2684336601.01617</v>
      </c>
      <c r="Z270" s="257">
        <f t="shared" si="33"/>
        <v>103999154425938.42</v>
      </c>
      <c r="AA270" s="257">
        <f t="shared" si="34"/>
        <v>331111311.91595888</v>
      </c>
    </row>
    <row r="271" spans="18:27" x14ac:dyDescent="0.25">
      <c r="R271" s="253">
        <f t="shared" si="35"/>
        <v>242</v>
      </c>
      <c r="S271" s="254"/>
      <c r="T271" s="255">
        <f t="shared" si="27"/>
        <v>471021.2444111362</v>
      </c>
      <c r="U271" s="256">
        <f t="shared" si="28"/>
        <v>1021260.8922139656</v>
      </c>
      <c r="V271" s="257">
        <f t="shared" si="29"/>
        <v>2416364.3110133978</v>
      </c>
      <c r="W271" s="255">
        <f t="shared" si="30"/>
        <v>43851499.918591544</v>
      </c>
      <c r="X271" s="257">
        <f t="shared" si="31"/>
        <v>344356804.39259726</v>
      </c>
      <c r="Y271" s="255">
        <f t="shared" si="32"/>
        <v>2818554481.0669785</v>
      </c>
      <c r="Z271" s="257">
        <f t="shared" si="33"/>
        <v>114399069869632.27</v>
      </c>
      <c r="AA271" s="257">
        <f t="shared" si="34"/>
        <v>344356804.39259726</v>
      </c>
    </row>
    <row r="272" spans="18:27" x14ac:dyDescent="0.25">
      <c r="R272" s="253">
        <f t="shared" si="35"/>
        <v>243</v>
      </c>
      <c r="S272" s="254"/>
      <c r="T272" s="255">
        <f t="shared" si="27"/>
        <v>474381.35063319182</v>
      </c>
      <c r="U272" s="256">
        <f t="shared" si="28"/>
        <v>1032483.501136105</v>
      </c>
      <c r="V272" s="257">
        <f t="shared" si="29"/>
        <v>2453624.7756785979</v>
      </c>
      <c r="W272" s="255">
        <f t="shared" si="30"/>
        <v>45168074.916149288</v>
      </c>
      <c r="X272" s="257">
        <f t="shared" si="31"/>
        <v>358132116.56830108</v>
      </c>
      <c r="Y272" s="255">
        <f t="shared" si="32"/>
        <v>2959483255.1203275</v>
      </c>
      <c r="Z272" s="257">
        <f t="shared" si="33"/>
        <v>125838976857695.5</v>
      </c>
      <c r="AA272" s="257">
        <f t="shared" si="34"/>
        <v>358132116.56830108</v>
      </c>
    </row>
    <row r="273" spans="18:27" x14ac:dyDescent="0.25">
      <c r="R273" s="253">
        <f t="shared" si="35"/>
        <v>244</v>
      </c>
      <c r="S273" s="254"/>
      <c r="T273" s="255">
        <f t="shared" si="27"/>
        <v>477758.25738635758</v>
      </c>
      <c r="U273" s="256">
        <f t="shared" si="28"/>
        <v>1043818.3361474662</v>
      </c>
      <c r="V273" s="257">
        <f t="shared" si="29"/>
        <v>2491444.147313776</v>
      </c>
      <c r="W273" s="255">
        <f t="shared" si="30"/>
        <v>46524147.163633779</v>
      </c>
      <c r="X273" s="257">
        <f t="shared" si="31"/>
        <v>372458441.23103315</v>
      </c>
      <c r="Y273" s="255">
        <f t="shared" si="32"/>
        <v>3107458467.8763447</v>
      </c>
      <c r="Z273" s="257">
        <f t="shared" si="33"/>
        <v>138422874544565.09</v>
      </c>
      <c r="AA273" s="257">
        <f t="shared" si="34"/>
        <v>372458441.23103315</v>
      </c>
    </row>
    <row r="274" spans="18:27" x14ac:dyDescent="0.25">
      <c r="R274" s="253">
        <f t="shared" si="35"/>
        <v>245</v>
      </c>
      <c r="S274" s="254"/>
      <c r="T274" s="255">
        <f t="shared" si="27"/>
        <v>481152.0486732893</v>
      </c>
      <c r="U274" s="256">
        <f t="shared" si="28"/>
        <v>1055266.5195089409</v>
      </c>
      <c r="V274" s="257">
        <f t="shared" si="29"/>
        <v>2529830.8095234828</v>
      </c>
      <c r="W274" s="255">
        <f t="shared" si="30"/>
        <v>47920901.578542769</v>
      </c>
      <c r="X274" s="257">
        <f t="shared" si="31"/>
        <v>387357818.88027459</v>
      </c>
      <c r="Y274" s="255">
        <f t="shared" si="32"/>
        <v>3262832441.2701607</v>
      </c>
      <c r="Z274" s="257">
        <f t="shared" si="33"/>
        <v>152265162000121.59</v>
      </c>
      <c r="AA274" s="257">
        <f t="shared" si="34"/>
        <v>387357818.88027459</v>
      </c>
    </row>
    <row r="275" spans="18:27" x14ac:dyDescent="0.25">
      <c r="R275" s="253">
        <f t="shared" si="35"/>
        <v>246</v>
      </c>
      <c r="S275" s="254"/>
      <c r="T275" s="255">
        <f t="shared" si="27"/>
        <v>484562.8089166556</v>
      </c>
      <c r="U275" s="256">
        <f t="shared" si="28"/>
        <v>1066829.1847040306</v>
      </c>
      <c r="V275" s="257">
        <f t="shared" si="29"/>
        <v>2568793.2716663335</v>
      </c>
      <c r="W275" s="255">
        <f t="shared" si="30"/>
        <v>49359558.625899062</v>
      </c>
      <c r="X275" s="257">
        <f t="shared" si="31"/>
        <v>402853171.63548553</v>
      </c>
      <c r="Y275" s="255">
        <f t="shared" si="32"/>
        <v>3425975113.3336682</v>
      </c>
      <c r="Z275" s="257">
        <f t="shared" si="33"/>
        <v>167491678201233.81</v>
      </c>
      <c r="AA275" s="257">
        <f t="shared" si="34"/>
        <v>402853171.63548553</v>
      </c>
    </row>
    <row r="276" spans="18:27" x14ac:dyDescent="0.25">
      <c r="R276" s="253">
        <f t="shared" si="35"/>
        <v>247</v>
      </c>
      <c r="S276" s="254"/>
      <c r="T276" s="255">
        <f t="shared" si="27"/>
        <v>487990.62296123884</v>
      </c>
      <c r="U276" s="256">
        <f t="shared" si="28"/>
        <v>1078507.4765510706</v>
      </c>
      <c r="V276" s="257">
        <f t="shared" si="29"/>
        <v>2608340.1707413294</v>
      </c>
      <c r="W276" s="255">
        <f t="shared" si="30"/>
        <v>50841375.384676039</v>
      </c>
      <c r="X276" s="257">
        <f t="shared" si="31"/>
        <v>418968338.50090492</v>
      </c>
      <c r="Y276" s="255">
        <f t="shared" si="32"/>
        <v>3597274919.0003533</v>
      </c>
      <c r="Z276" s="257">
        <f t="shared" si="33"/>
        <v>184240846022457.19</v>
      </c>
      <c r="AA276" s="257">
        <f t="shared" si="34"/>
        <v>418968338.50090492</v>
      </c>
    </row>
    <row r="277" spans="18:27" x14ac:dyDescent="0.25">
      <c r="R277" s="253">
        <f t="shared" si="35"/>
        <v>248</v>
      </c>
      <c r="S277" s="254"/>
      <c r="T277" s="255">
        <f t="shared" si="27"/>
        <v>491435.57607604499</v>
      </c>
      <c r="U277" s="256">
        <f t="shared" si="28"/>
        <v>1090302.5513165814</v>
      </c>
      <c r="V277" s="257">
        <f t="shared" si="29"/>
        <v>2648480.2733024489</v>
      </c>
      <c r="W277" s="255">
        <f t="shared" si="30"/>
        <v>52367646.646216311</v>
      </c>
      <c r="X277" s="257">
        <f t="shared" si="31"/>
        <v>435728112.04094112</v>
      </c>
      <c r="Y277" s="255">
        <f t="shared" si="32"/>
        <v>3777139714.9503708</v>
      </c>
      <c r="Z277" s="257">
        <f t="shared" si="33"/>
        <v>202664930625802.81</v>
      </c>
      <c r="AA277" s="257">
        <f t="shared" si="34"/>
        <v>435728112.04094112</v>
      </c>
    </row>
    <row r="278" spans="18:27" x14ac:dyDescent="0.25">
      <c r="R278" s="253">
        <f t="shared" si="35"/>
        <v>249</v>
      </c>
      <c r="S278" s="254"/>
      <c r="T278" s="255">
        <f t="shared" si="27"/>
        <v>494897.75395642512</v>
      </c>
      <c r="U278" s="256">
        <f t="shared" si="28"/>
        <v>1102215.5768297475</v>
      </c>
      <c r="V278" s="257">
        <f t="shared" si="29"/>
        <v>2689222.4774019849</v>
      </c>
      <c r="W278" s="255">
        <f t="shared" si="30"/>
        <v>53939706.045602806</v>
      </c>
      <c r="X278" s="257">
        <f t="shared" si="31"/>
        <v>453158276.52257895</v>
      </c>
      <c r="Y278" s="255">
        <f t="shared" si="32"/>
        <v>3965997750.6978893</v>
      </c>
      <c r="Z278" s="257">
        <f t="shared" si="33"/>
        <v>222931423689483.19</v>
      </c>
      <c r="AA278" s="257">
        <f t="shared" si="34"/>
        <v>453158276.52257895</v>
      </c>
    </row>
    <row r="279" spans="18:27" x14ac:dyDescent="0.25">
      <c r="R279" s="253">
        <f t="shared" si="35"/>
        <v>250</v>
      </c>
      <c r="S279" s="254"/>
      <c r="T279" s="255">
        <f t="shared" si="27"/>
        <v>498377.24272620719</v>
      </c>
      <c r="U279" s="256">
        <f t="shared" si="28"/>
        <v>1114247.7325980447</v>
      </c>
      <c r="V279" s="257">
        <f t="shared" si="29"/>
        <v>2730575.8145630145</v>
      </c>
      <c r="W279" s="255">
        <f t="shared" si="30"/>
        <v>55558927.226970896</v>
      </c>
      <c r="X279" s="257">
        <f t="shared" si="31"/>
        <v>471285647.58348197</v>
      </c>
      <c r="Y279" s="255">
        <f t="shared" si="32"/>
        <v>4164298688.2327838</v>
      </c>
      <c r="Z279" s="257">
        <f t="shared" si="33"/>
        <v>245224566059531.5</v>
      </c>
      <c r="AA279" s="257">
        <f t="shared" si="34"/>
        <v>471285647.58348197</v>
      </c>
    </row>
    <row r="280" spans="18:27" x14ac:dyDescent="0.25">
      <c r="R280" s="253">
        <f t="shared" si="35"/>
        <v>251</v>
      </c>
      <c r="S280" s="254"/>
      <c r="T280" s="255">
        <f t="shared" si="27"/>
        <v>501874.12893983797</v>
      </c>
      <c r="U280" s="256">
        <f t="shared" si="28"/>
        <v>1126400.209924025</v>
      </c>
      <c r="V280" s="257">
        <f t="shared" si="29"/>
        <v>2772549.4517814596</v>
      </c>
      <c r="W280" s="255">
        <f t="shared" si="30"/>
        <v>57226725.043780021</v>
      </c>
      <c r="X280" s="257">
        <f t="shared" si="31"/>
        <v>490138113.48682123</v>
      </c>
      <c r="Y280" s="255">
        <f t="shared" si="32"/>
        <v>4372514672.6444235</v>
      </c>
      <c r="Z280" s="257">
        <f t="shared" si="33"/>
        <v>269747022666584.72</v>
      </c>
      <c r="AA280" s="257">
        <f t="shared" si="34"/>
        <v>490138113.48682123</v>
      </c>
    </row>
    <row r="281" spans="18:27" x14ac:dyDescent="0.25">
      <c r="R281" s="253">
        <f t="shared" si="35"/>
        <v>252</v>
      </c>
      <c r="S281" s="254"/>
      <c r="T281" s="255">
        <f t="shared" si="27"/>
        <v>505388.49958453712</v>
      </c>
      <c r="U281" s="256">
        <f t="shared" si="28"/>
        <v>1138674.2120232654</v>
      </c>
      <c r="V281" s="257">
        <f t="shared" si="29"/>
        <v>2815152.6935581802</v>
      </c>
      <c r="W281" s="255">
        <f t="shared" si="30"/>
        <v>58944556.795093417</v>
      </c>
      <c r="X281" s="257">
        <f t="shared" si="31"/>
        <v>509744678.02629429</v>
      </c>
      <c r="Y281" s="255">
        <f t="shared" si="32"/>
        <v>4591141456.2766438</v>
      </c>
      <c r="Z281" s="257">
        <f t="shared" si="33"/>
        <v>296721724934343.13</v>
      </c>
      <c r="AA281" s="257">
        <f t="shared" si="34"/>
        <v>509744678.02629429</v>
      </c>
    </row>
    <row r="282" spans="18:27" x14ac:dyDescent="0.25">
      <c r="R282" s="253">
        <f t="shared" si="35"/>
        <v>253</v>
      </c>
      <c r="S282" s="254"/>
      <c r="T282" s="255">
        <f t="shared" si="27"/>
        <v>508920.44208245975</v>
      </c>
      <c r="U282" s="256">
        <f t="shared" si="28"/>
        <v>1151070.9541434981</v>
      </c>
      <c r="V282" s="257">
        <f t="shared" si="29"/>
        <v>2858394.9839615538</v>
      </c>
      <c r="W282" s="255">
        <f t="shared" si="30"/>
        <v>60713923.498946205</v>
      </c>
      <c r="X282" s="257">
        <f t="shared" si="31"/>
        <v>530135505.14734608</v>
      </c>
      <c r="Y282" s="255">
        <f t="shared" si="32"/>
        <v>4820699579.090476</v>
      </c>
      <c r="Z282" s="257">
        <f t="shared" si="33"/>
        <v>326393897428877.44</v>
      </c>
      <c r="AA282" s="257">
        <f t="shared" si="34"/>
        <v>530135505.14734608</v>
      </c>
    </row>
    <row r="283" spans="18:27" x14ac:dyDescent="0.25">
      <c r="R283" s="253">
        <f t="shared" si="35"/>
        <v>254</v>
      </c>
      <c r="S283" s="254"/>
      <c r="T283" s="255">
        <f t="shared" si="27"/>
        <v>512470.0442928719</v>
      </c>
      <c r="U283" s="256">
        <f t="shared" si="28"/>
        <v>1163591.6636849332</v>
      </c>
      <c r="V283" s="257">
        <f t="shared" si="29"/>
        <v>2902285.9087209757</v>
      </c>
      <c r="W283" s="255">
        <f t="shared" si="30"/>
        <v>62536371.20391459</v>
      </c>
      <c r="X283" s="257">
        <f t="shared" si="31"/>
        <v>551341965.35323977</v>
      </c>
      <c r="Y283" s="255">
        <f t="shared" si="32"/>
        <v>5061735608.0449982</v>
      </c>
      <c r="Z283" s="257">
        <f t="shared" si="33"/>
        <v>359033287172865.38</v>
      </c>
      <c r="AA283" s="257">
        <f t="shared" si="34"/>
        <v>551341965.35323977</v>
      </c>
    </row>
    <row r="284" spans="18:27" x14ac:dyDescent="0.25">
      <c r="R284" s="253">
        <f t="shared" si="35"/>
        <v>255</v>
      </c>
      <c r="S284" s="254"/>
      <c r="T284" s="255">
        <f t="shared" si="27"/>
        <v>516037.39451433608</v>
      </c>
      <c r="U284" s="256">
        <f t="shared" si="28"/>
        <v>1176237.5803217823</v>
      </c>
      <c r="V284" s="257">
        <f t="shared" si="29"/>
        <v>2946835.19735179</v>
      </c>
      <c r="W284" s="255">
        <f t="shared" si="30"/>
        <v>64413492.340032049</v>
      </c>
      <c r="X284" s="257">
        <f t="shared" si="31"/>
        <v>573396683.96736944</v>
      </c>
      <c r="Y284" s="255">
        <f t="shared" si="32"/>
        <v>5314823438.4472513</v>
      </c>
      <c r="Z284" s="257">
        <f t="shared" si="33"/>
        <v>394936615891251.81</v>
      </c>
      <c r="AA284" s="257">
        <f t="shared" si="34"/>
        <v>573396683.96736944</v>
      </c>
    </row>
    <row r="285" spans="18:27" x14ac:dyDescent="0.25">
      <c r="R285" s="253">
        <f t="shared" si="35"/>
        <v>256</v>
      </c>
      <c r="S285" s="254"/>
      <c r="T285" s="255">
        <f t="shared" si="27"/>
        <v>519622.58148690767</v>
      </c>
      <c r="U285" s="256">
        <f t="shared" si="28"/>
        <v>1189009.9561250003</v>
      </c>
      <c r="V285" s="257">
        <f t="shared" si="29"/>
        <v>2992052.7253120663</v>
      </c>
      <c r="W285" s="255">
        <f t="shared" si="30"/>
        <v>66346927.110232987</v>
      </c>
      <c r="X285" s="257">
        <f t="shared" si="31"/>
        <v>596333591.32606423</v>
      </c>
      <c r="Y285" s="255">
        <f t="shared" si="32"/>
        <v>5580565660.3696127</v>
      </c>
      <c r="Z285" s="257">
        <f t="shared" si="33"/>
        <v>434430277481476.94</v>
      </c>
      <c r="AA285" s="257">
        <f t="shared" si="34"/>
        <v>596333591.32606423</v>
      </c>
    </row>
    <row r="286" spans="18:27" x14ac:dyDescent="0.25">
      <c r="R286" s="253">
        <f t="shared" si="35"/>
        <v>257</v>
      </c>
      <c r="S286" s="254"/>
      <c r="T286" s="255">
        <f t="shared" si="27"/>
        <v>523225.69439434219</v>
      </c>
      <c r="U286" s="256">
        <f t="shared" si="28"/>
        <v>1201910.0556862503</v>
      </c>
      <c r="V286" s="257">
        <f t="shared" si="29"/>
        <v>3037948.516191747</v>
      </c>
      <c r="W286" s="255">
        <f t="shared" si="30"/>
        <v>68338364.923539966</v>
      </c>
      <c r="X286" s="257">
        <f t="shared" si="31"/>
        <v>620187974.9791069</v>
      </c>
      <c r="Y286" s="255">
        <f t="shared" si="32"/>
        <v>5859594993.3880939</v>
      </c>
      <c r="Z286" s="257">
        <f t="shared" si="33"/>
        <v>477873305230724.75</v>
      </c>
      <c r="AA286" s="257">
        <f t="shared" si="34"/>
        <v>620187974.9791069</v>
      </c>
    </row>
    <row r="287" spans="18:27" x14ac:dyDescent="0.25">
      <c r="R287" s="253">
        <f t="shared" si="35"/>
        <v>258</v>
      </c>
      <c r="S287" s="254"/>
      <c r="T287" s="255">
        <f t="shared" ref="T287:T350" si="36">IF($M$12="Both(No x value)","Do more",$F$23*(((1+$T$29)^(R287)-1)/$T$29)*(1+$T$29))</f>
        <v>526846.82286631374</v>
      </c>
      <c r="U287" s="256">
        <f t="shared" ref="U287:U350" si="37">IF($M$12="Both(No x value)","Do more",$F$23*(((1+$U$29)^(R287)-1)/$U$29)*(1+$U$29))</f>
        <v>1214939.1562431126</v>
      </c>
      <c r="V287" s="257">
        <f t="shared" ref="V287:V350" si="38">IF($M$12="Both(No x value)","Do more",$F$23*(((1+$V$29)^(R287)-1)/$V$29)*(1+$V$29))</f>
        <v>3084532.743934623</v>
      </c>
      <c r="W287" s="255">
        <f t="shared" ref="W287:W350" si="39">IF($M$12="Both(No x value)","Do more",$F$23*(((1+W$29)^(R287)-1)/$W$29)*(1+$W$29))</f>
        <v>70389545.871246189</v>
      </c>
      <c r="X287" s="257">
        <f t="shared" ref="X287:X350" si="40">IF(M269="Both(No x value)","Do more",$F$23*(((1+$X$29)^(R287)-1)/$X$29)*(1+$X$29))</f>
        <v>644996533.97827125</v>
      </c>
      <c r="Y287" s="255">
        <f t="shared" ref="Y287:Y350" si="41">IF(M269="Both(No x value)","Do more",$F$23*(((1+$Y$29)^(R287)-1)/$Y$29)*(1+$Y$29))</f>
        <v>6152575793.057498</v>
      </c>
      <c r="Z287" s="257">
        <f t="shared" ref="Z287:Z350" si="42">IF(M269="Both(No x value)","Do more",$F$23*(((1+$Z$29)^(R287)-1)/$Z$29)*(1+$Z$29))</f>
        <v>525660635754897.25</v>
      </c>
      <c r="AA287" s="257">
        <f t="shared" ref="AA287:AA350" si="43">IF(M269="Both(No x value)","Do more",$F$23*(((1+$AA$29)^(R287)-1)/$AA$29)*(1+$AA$29))</f>
        <v>644996533.97827125</v>
      </c>
    </row>
    <row r="288" spans="18:27" x14ac:dyDescent="0.25">
      <c r="R288" s="253">
        <f t="shared" ref="R288:R351" si="44">1+R287</f>
        <v>259</v>
      </c>
      <c r="S288" s="254"/>
      <c r="T288" s="255">
        <f t="shared" si="36"/>
        <v>530486.05698064528</v>
      </c>
      <c r="U288" s="256">
        <f t="shared" si="37"/>
        <v>1228098.5478055438</v>
      </c>
      <c r="V288" s="257">
        <f t="shared" si="38"/>
        <v>3131815.735093642</v>
      </c>
      <c r="W288" s="255">
        <f t="shared" si="39"/>
        <v>72502262.247383565</v>
      </c>
      <c r="X288" s="257">
        <f t="shared" si="40"/>
        <v>670797435.33740211</v>
      </c>
      <c r="Y288" s="255">
        <f t="shared" si="41"/>
        <v>6460205632.7103729</v>
      </c>
      <c r="Z288" s="257">
        <f t="shared" si="42"/>
        <v>578226699331487</v>
      </c>
      <c r="AA288" s="257">
        <f t="shared" si="43"/>
        <v>670797435.33740211</v>
      </c>
    </row>
    <row r="289" spans="18:27" x14ac:dyDescent="0.25">
      <c r="R289" s="253">
        <f t="shared" si="44"/>
        <v>260</v>
      </c>
      <c r="S289" s="254"/>
      <c r="T289" s="255">
        <f t="shared" si="36"/>
        <v>534143.48726554832</v>
      </c>
      <c r="U289" s="256">
        <f t="shared" si="37"/>
        <v>1241389.5332835994</v>
      </c>
      <c r="V289" s="257">
        <f t="shared" si="38"/>
        <v>3179807.9711200455</v>
      </c>
      <c r="W289" s="255">
        <f t="shared" si="39"/>
        <v>74678360.114805058</v>
      </c>
      <c r="X289" s="257">
        <f t="shared" si="40"/>
        <v>697630372.75089824</v>
      </c>
      <c r="Y289" s="255">
        <f t="shared" si="41"/>
        <v>6783216964.345891</v>
      </c>
      <c r="Z289" s="257">
        <f t="shared" si="42"/>
        <v>636049369265735.75</v>
      </c>
      <c r="AA289" s="257">
        <f t="shared" si="43"/>
        <v>697630372.75089824</v>
      </c>
    </row>
    <row r="290" spans="18:27" x14ac:dyDescent="0.25">
      <c r="R290" s="253">
        <f t="shared" si="44"/>
        <v>261</v>
      </c>
      <c r="S290" s="254"/>
      <c r="T290" s="255">
        <f t="shared" si="36"/>
        <v>537819.20470187592</v>
      </c>
      <c r="U290" s="256">
        <f t="shared" si="37"/>
        <v>1254813.4286164355</v>
      </c>
      <c r="V290" s="257">
        <f t="shared" si="38"/>
        <v>3228520.0906868461</v>
      </c>
      <c r="W290" s="255">
        <f t="shared" si="39"/>
        <v>76919740.91824922</v>
      </c>
      <c r="X290" s="257">
        <f t="shared" si="40"/>
        <v>725536627.66093421</v>
      </c>
      <c r="Y290" s="255">
        <f t="shared" si="41"/>
        <v>7122378862.5631866</v>
      </c>
      <c r="Z290" s="257">
        <f t="shared" si="42"/>
        <v>699654306193409.38</v>
      </c>
      <c r="AA290" s="257">
        <f t="shared" si="43"/>
        <v>725536627.66093421</v>
      </c>
    </row>
    <row r="291" spans="18:27" x14ac:dyDescent="0.25">
      <c r="R291" s="253">
        <f t="shared" si="44"/>
        <v>262</v>
      </c>
      <c r="S291" s="254"/>
      <c r="T291" s="255">
        <f t="shared" si="36"/>
        <v>541513.30072538496</v>
      </c>
      <c r="U291" s="256">
        <f t="shared" si="37"/>
        <v>1268371.5629025998</v>
      </c>
      <c r="V291" s="257">
        <f t="shared" si="38"/>
        <v>3277962.8920471487</v>
      </c>
      <c r="W291" s="255">
        <f t="shared" si="39"/>
        <v>79228363.145796686</v>
      </c>
      <c r="X291" s="257">
        <f t="shared" si="40"/>
        <v>754559132.76737165</v>
      </c>
      <c r="Y291" s="255">
        <f t="shared" si="41"/>
        <v>7478498855.6913462</v>
      </c>
      <c r="Z291" s="257">
        <f t="shared" si="42"/>
        <v>769619736813850.38</v>
      </c>
      <c r="AA291" s="257">
        <f t="shared" si="43"/>
        <v>754559132.76737165</v>
      </c>
    </row>
    <row r="292" spans="18:27" x14ac:dyDescent="0.25">
      <c r="R292" s="253">
        <f t="shared" si="44"/>
        <v>263</v>
      </c>
      <c r="S292" s="254"/>
      <c r="T292" s="255">
        <f t="shared" si="36"/>
        <v>545225.86722901196</v>
      </c>
      <c r="U292" s="256">
        <f t="shared" si="37"/>
        <v>1282065.2785316254</v>
      </c>
      <c r="V292" s="257">
        <f t="shared" si="38"/>
        <v>3328147.3354278551</v>
      </c>
      <c r="W292" s="255">
        <f t="shared" si="39"/>
        <v>81606244.04017061</v>
      </c>
      <c r="X292" s="257">
        <f t="shared" si="40"/>
        <v>784742538.07806647</v>
      </c>
      <c r="Y292" s="255">
        <f t="shared" si="41"/>
        <v>7852424848.475914</v>
      </c>
      <c r="Z292" s="257">
        <f t="shared" si="42"/>
        <v>846581710496335.63</v>
      </c>
      <c r="AA292" s="257">
        <f t="shared" si="43"/>
        <v>784742538.07806647</v>
      </c>
    </row>
    <row r="293" spans="18:27" x14ac:dyDescent="0.25">
      <c r="R293" s="253">
        <f t="shared" si="44"/>
        <v>264</v>
      </c>
      <c r="S293" s="254"/>
      <c r="T293" s="255">
        <f t="shared" si="36"/>
        <v>548956.99656515697</v>
      </c>
      <c r="U293" s="256">
        <f t="shared" si="37"/>
        <v>1295895.9313169422</v>
      </c>
      <c r="V293" s="257">
        <f t="shared" si="38"/>
        <v>3379084.5454592723</v>
      </c>
      <c r="W293" s="255">
        <f t="shared" si="39"/>
        <v>84055461.361375704</v>
      </c>
      <c r="X293" s="257">
        <f t="shared" si="40"/>
        <v>816133279.60118926</v>
      </c>
      <c r="Y293" s="255">
        <f t="shared" si="41"/>
        <v>8245047140.8997087</v>
      </c>
      <c r="Z293" s="257">
        <f t="shared" si="42"/>
        <v>931239881547069.13</v>
      </c>
      <c r="AA293" s="257">
        <f t="shared" si="43"/>
        <v>816133279.60118926</v>
      </c>
    </row>
    <row r="294" spans="18:27" x14ac:dyDescent="0.25">
      <c r="R294" s="253">
        <f t="shared" si="44"/>
        <v>265</v>
      </c>
      <c r="S294" s="254"/>
      <c r="T294" s="255">
        <f t="shared" si="36"/>
        <v>552706.78154798271</v>
      </c>
      <c r="U294" s="256">
        <f t="shared" si="37"/>
        <v>1309864.8906301116</v>
      </c>
      <c r="V294" s="257">
        <f t="shared" si="38"/>
        <v>3430785.8136411612</v>
      </c>
      <c r="W294" s="255">
        <f t="shared" si="39"/>
        <v>86578155.202216983</v>
      </c>
      <c r="X294" s="257">
        <f t="shared" si="40"/>
        <v>848779650.78523672</v>
      </c>
      <c r="Y294" s="255">
        <f t="shared" si="41"/>
        <v>8657300547.9446945</v>
      </c>
      <c r="Z294" s="257">
        <f t="shared" si="42"/>
        <v>1024363869702876.1</v>
      </c>
      <c r="AA294" s="257">
        <f t="shared" si="43"/>
        <v>848779650.78523672</v>
      </c>
    </row>
    <row r="295" spans="18:27" x14ac:dyDescent="0.25">
      <c r="R295" s="253">
        <f t="shared" si="44"/>
        <v>266</v>
      </c>
      <c r="S295" s="254"/>
      <c r="T295" s="255">
        <f t="shared" si="36"/>
        <v>556475.31545572251</v>
      </c>
      <c r="U295" s="256">
        <f t="shared" si="37"/>
        <v>1323973.5395364128</v>
      </c>
      <c r="V295" s="257">
        <f t="shared" si="38"/>
        <v>3483262.6008457784</v>
      </c>
      <c r="W295" s="255">
        <f t="shared" si="39"/>
        <v>89176529.85828349</v>
      </c>
      <c r="X295" s="257">
        <f t="shared" si="40"/>
        <v>882731876.81664634</v>
      </c>
      <c r="Y295" s="255">
        <f t="shared" si="41"/>
        <v>9090166625.3419304</v>
      </c>
      <c r="Z295" s="257">
        <f t="shared" si="42"/>
        <v>1126800256674263.8</v>
      </c>
      <c r="AA295" s="257">
        <f t="shared" si="43"/>
        <v>882731876.81664634</v>
      </c>
    </row>
    <row r="296" spans="18:27" x14ac:dyDescent="0.25">
      <c r="R296" s="253">
        <f t="shared" si="44"/>
        <v>267</v>
      </c>
      <c r="S296" s="254"/>
      <c r="T296" s="255">
        <f t="shared" si="36"/>
        <v>560262.69203300111</v>
      </c>
      <c r="U296" s="256">
        <f t="shared" si="37"/>
        <v>1338223.2749317768</v>
      </c>
      <c r="V296" s="257">
        <f t="shared" si="38"/>
        <v>3536526.5398584646</v>
      </c>
      <c r="W296" s="255">
        <f t="shared" si="39"/>
        <v>91852855.754032001</v>
      </c>
      <c r="X296" s="257">
        <f t="shared" si="40"/>
        <v>918042191.88931215</v>
      </c>
      <c r="Y296" s="255">
        <f t="shared" si="41"/>
        <v>9544676006.6090279</v>
      </c>
      <c r="Z296" s="257">
        <f t="shared" si="42"/>
        <v>1239480282342790.5</v>
      </c>
      <c r="AA296" s="257">
        <f t="shared" si="43"/>
        <v>918042191.88931215</v>
      </c>
    </row>
    <row r="297" spans="18:27" x14ac:dyDescent="0.25">
      <c r="R297" s="253">
        <f t="shared" si="44"/>
        <v>268</v>
      </c>
      <c r="S297" s="254"/>
      <c r="T297" s="255">
        <f t="shared" si="36"/>
        <v>564069.00549316569</v>
      </c>
      <c r="U297" s="256">
        <f t="shared" si="37"/>
        <v>1352615.5076810943</v>
      </c>
      <c r="V297" s="257">
        <f t="shared" si="38"/>
        <v>3590589.4379563406</v>
      </c>
      <c r="W297" s="255">
        <f t="shared" si="39"/>
        <v>94609471.426652938</v>
      </c>
      <c r="X297" s="257">
        <f t="shared" si="40"/>
        <v>954764919.56488478</v>
      </c>
      <c r="Y297" s="255">
        <f t="shared" si="41"/>
        <v>10021910856.939476</v>
      </c>
      <c r="Z297" s="257">
        <f t="shared" si="42"/>
        <v>1363428310578169.5</v>
      </c>
      <c r="AA297" s="257">
        <f t="shared" si="43"/>
        <v>954764919.56488478</v>
      </c>
    </row>
    <row r="298" spans="18:27" x14ac:dyDescent="0.25">
      <c r="R298" s="253">
        <f t="shared" si="44"/>
        <v>269</v>
      </c>
      <c r="S298" s="254"/>
      <c r="T298" s="255">
        <f t="shared" si="36"/>
        <v>567894.35052063141</v>
      </c>
      <c r="U298" s="256">
        <f t="shared" si="37"/>
        <v>1367151.6627579054</v>
      </c>
      <c r="V298" s="257">
        <f t="shared" si="38"/>
        <v>3645463.2795256861</v>
      </c>
      <c r="W298" s="255">
        <f t="shared" si="39"/>
        <v>97448785.569452524</v>
      </c>
      <c r="X298" s="257">
        <f t="shared" si="40"/>
        <v>992956556.3474803</v>
      </c>
      <c r="Y298" s="255">
        <f t="shared" si="41"/>
        <v>10523007449.786451</v>
      </c>
      <c r="Z298" s="257">
        <f t="shared" si="42"/>
        <v>1499771141637086.3</v>
      </c>
      <c r="AA298" s="257">
        <f t="shared" si="43"/>
        <v>992956556.3474803</v>
      </c>
    </row>
    <row r="299" spans="18:27" x14ac:dyDescent="0.25">
      <c r="R299" s="253">
        <f t="shared" si="44"/>
        <v>270</v>
      </c>
      <c r="S299" s="254"/>
      <c r="T299" s="255">
        <f t="shared" si="36"/>
        <v>571738.82227323449</v>
      </c>
      <c r="U299" s="256">
        <f t="shared" si="37"/>
        <v>1381833.1793854849</v>
      </c>
      <c r="V299" s="257">
        <f t="shared" si="38"/>
        <v>3701160.2287185695</v>
      </c>
      <c r="W299" s="255">
        <f t="shared" si="39"/>
        <v>100373279.13653611</v>
      </c>
      <c r="X299" s="257">
        <f t="shared" si="40"/>
        <v>1032675858.6013794</v>
      </c>
      <c r="Y299" s="255">
        <f t="shared" si="41"/>
        <v>11049158872.275772</v>
      </c>
      <c r="Z299" s="257">
        <f t="shared" si="42"/>
        <v>1649748255801895.3</v>
      </c>
      <c r="AA299" s="257">
        <f t="shared" si="43"/>
        <v>1032675858.6013794</v>
      </c>
    </row>
    <row r="300" spans="18:27" x14ac:dyDescent="0.25">
      <c r="R300" s="253">
        <f t="shared" si="44"/>
        <v>271</v>
      </c>
      <c r="S300" s="254"/>
      <c r="T300" s="255">
        <f t="shared" si="36"/>
        <v>575602.51638460043</v>
      </c>
      <c r="U300" s="256">
        <f t="shared" si="37"/>
        <v>1396661.5111793391</v>
      </c>
      <c r="V300" s="257">
        <f t="shared" si="38"/>
        <v>3757692.6321493476</v>
      </c>
      <c r="W300" s="255">
        <f t="shared" si="39"/>
        <v>103385507.5106322</v>
      </c>
      <c r="X300" s="257">
        <f t="shared" si="40"/>
        <v>1073983932.9454346</v>
      </c>
      <c r="Y300" s="255">
        <f t="shared" si="41"/>
        <v>11601617865.889563</v>
      </c>
      <c r="Z300" s="257">
        <f t="shared" si="42"/>
        <v>1814723081383184.8</v>
      </c>
      <c r="AA300" s="257">
        <f t="shared" si="43"/>
        <v>1073983932.9454346</v>
      </c>
    </row>
    <row r="301" spans="18:27" x14ac:dyDescent="0.25">
      <c r="R301" s="253">
        <f t="shared" si="44"/>
        <v>272</v>
      </c>
      <c r="S301" s="254"/>
      <c r="T301" s="255">
        <f t="shared" si="36"/>
        <v>579485.52896652336</v>
      </c>
      <c r="U301" s="256">
        <f t="shared" si="37"/>
        <v>1411638.126291133</v>
      </c>
      <c r="V301" s="257">
        <f t="shared" si="38"/>
        <v>3815073.0216315873</v>
      </c>
      <c r="W301" s="255">
        <f t="shared" si="39"/>
        <v>106488102.73595114</v>
      </c>
      <c r="X301" s="257">
        <f t="shared" si="40"/>
        <v>1116944330.2632523</v>
      </c>
      <c r="Y301" s="255">
        <f t="shared" si="41"/>
        <v>12181699809.184044</v>
      </c>
      <c r="Z301" s="257">
        <f t="shared" si="42"/>
        <v>1996195389522603.5</v>
      </c>
      <c r="AA301" s="257">
        <f t="shared" si="43"/>
        <v>1116944330.2632523</v>
      </c>
    </row>
    <row r="302" spans="18:27" x14ac:dyDescent="0.25">
      <c r="R302" s="253">
        <f t="shared" si="44"/>
        <v>273</v>
      </c>
      <c r="S302" s="254"/>
      <c r="T302" s="255">
        <f t="shared" si="36"/>
        <v>583387.956611356</v>
      </c>
      <c r="U302" s="256">
        <f t="shared" si="37"/>
        <v>1426764.5075540442</v>
      </c>
      <c r="V302" s="257">
        <f t="shared" si="38"/>
        <v>3873314.1169560608</v>
      </c>
      <c r="W302" s="255">
        <f t="shared" si="39"/>
        <v>109683775.81802969</v>
      </c>
      <c r="X302" s="257">
        <f t="shared" si="40"/>
        <v>1161623143.4737821</v>
      </c>
      <c r="Y302" s="255">
        <f t="shared" si="41"/>
        <v>12790785849.643244</v>
      </c>
      <c r="Z302" s="257">
        <f t="shared" si="42"/>
        <v>2195814928475963.5</v>
      </c>
      <c r="AA302" s="257">
        <f t="shared" si="43"/>
        <v>1161623143.4737821</v>
      </c>
    </row>
    <row r="303" spans="18:27" x14ac:dyDescent="0.25">
      <c r="R303" s="253">
        <f t="shared" si="44"/>
        <v>274</v>
      </c>
      <c r="S303" s="254"/>
      <c r="T303" s="255">
        <f t="shared" si="36"/>
        <v>587309.89639441262</v>
      </c>
      <c r="U303" s="256">
        <f t="shared" si="37"/>
        <v>1442042.152629585</v>
      </c>
      <c r="V303" s="257">
        <f t="shared" si="38"/>
        <v>3932428.8287104014</v>
      </c>
      <c r="W303" s="255">
        <f t="shared" si="39"/>
        <v>112975319.09257057</v>
      </c>
      <c r="X303" s="257">
        <f t="shared" si="40"/>
        <v>1208089109.2127337</v>
      </c>
      <c r="Y303" s="255">
        <f t="shared" si="41"/>
        <v>13430326192.125408</v>
      </c>
      <c r="Z303" s="257">
        <f t="shared" si="42"/>
        <v>2415396421324660</v>
      </c>
      <c r="AA303" s="257">
        <f t="shared" si="43"/>
        <v>1208089109.2127337</v>
      </c>
    </row>
    <row r="304" spans="18:27" x14ac:dyDescent="0.25">
      <c r="R304" s="253">
        <f t="shared" si="44"/>
        <v>275</v>
      </c>
      <c r="S304" s="254"/>
      <c r="T304" s="255">
        <f t="shared" si="36"/>
        <v>591251.44587638462</v>
      </c>
      <c r="U304" s="256">
        <f t="shared" si="37"/>
        <v>1457472.5741558804</v>
      </c>
      <c r="V304" s="257">
        <f t="shared" si="38"/>
        <v>3992430.2611410571</v>
      </c>
      <c r="W304" s="255">
        <f t="shared" si="39"/>
        <v>116365608.6653477</v>
      </c>
      <c r="X304" s="257">
        <f t="shared" si="40"/>
        <v>1256413713.5812428</v>
      </c>
      <c r="Y304" s="255">
        <f t="shared" si="41"/>
        <v>14101843551.731678</v>
      </c>
      <c r="Z304" s="257">
        <f t="shared" si="42"/>
        <v>2656936063458227</v>
      </c>
      <c r="AA304" s="257">
        <f t="shared" si="43"/>
        <v>1256413713.5812428</v>
      </c>
    </row>
    <row r="305" spans="18:27" x14ac:dyDescent="0.25">
      <c r="R305" s="253">
        <f t="shared" si="44"/>
        <v>276</v>
      </c>
      <c r="S305" s="254"/>
      <c r="T305" s="255">
        <f t="shared" si="36"/>
        <v>595212.70310576633</v>
      </c>
      <c r="U305" s="256">
        <f t="shared" si="37"/>
        <v>1473057.2998974391</v>
      </c>
      <c r="V305" s="257">
        <f t="shared" si="38"/>
        <v>4053331.7150581712</v>
      </c>
      <c r="W305" s="255">
        <f t="shared" si="39"/>
        <v>119857606.92530811</v>
      </c>
      <c r="X305" s="257">
        <f t="shared" si="40"/>
        <v>1306671302.1244926</v>
      </c>
      <c r="Y305" s="255">
        <f t="shared" si="41"/>
        <v>14806936779.31826</v>
      </c>
      <c r="Z305" s="257">
        <f t="shared" si="42"/>
        <v>2922629669805149.5</v>
      </c>
      <c r="AA305" s="257">
        <f t="shared" si="43"/>
        <v>1306671302.1244926</v>
      </c>
    </row>
    <row r="306" spans="18:27" x14ac:dyDescent="0.25">
      <c r="R306" s="253">
        <f t="shared" si="44"/>
        <v>277</v>
      </c>
      <c r="S306" s="254"/>
      <c r="T306" s="255">
        <f t="shared" si="36"/>
        <v>599193.76662129513</v>
      </c>
      <c r="U306" s="256">
        <f t="shared" si="37"/>
        <v>1488797.8728964136</v>
      </c>
      <c r="V306" s="257">
        <f t="shared" si="38"/>
        <v>4115146.6907840436</v>
      </c>
      <c r="W306" s="255">
        <f t="shared" si="39"/>
        <v>123454365.13306734</v>
      </c>
      <c r="X306" s="257">
        <f t="shared" si="40"/>
        <v>1358939194.2094729</v>
      </c>
      <c r="Y306" s="255">
        <f t="shared" si="41"/>
        <v>15547284668.284176</v>
      </c>
      <c r="Z306" s="257">
        <f t="shared" si="42"/>
        <v>3214892636786765.5</v>
      </c>
      <c r="AA306" s="257">
        <f t="shared" si="43"/>
        <v>1358939194.2094729</v>
      </c>
    </row>
    <row r="307" spans="18:27" x14ac:dyDescent="0.25">
      <c r="R307" s="253">
        <f t="shared" si="44"/>
        <v>278</v>
      </c>
      <c r="S307" s="254"/>
      <c r="T307" s="255">
        <f t="shared" si="36"/>
        <v>603194.73545440135</v>
      </c>
      <c r="U307" s="256">
        <f t="shared" si="37"/>
        <v>1504695.851625378</v>
      </c>
      <c r="V307" s="257">
        <f t="shared" si="38"/>
        <v>4177888.8911458044</v>
      </c>
      <c r="W307" s="255">
        <f t="shared" si="39"/>
        <v>127159026.08705938</v>
      </c>
      <c r="X307" s="257">
        <f t="shared" si="40"/>
        <v>1413297801.9778514</v>
      </c>
      <c r="Y307" s="255">
        <f t="shared" si="41"/>
        <v>16324649951.698381</v>
      </c>
      <c r="Z307" s="257">
        <f t="shared" si="42"/>
        <v>3536381900466541</v>
      </c>
      <c r="AA307" s="257">
        <f t="shared" si="43"/>
        <v>1413297801.9778514</v>
      </c>
    </row>
    <row r="308" spans="18:27" x14ac:dyDescent="0.25">
      <c r="R308" s="253">
        <f t="shared" si="44"/>
        <v>279</v>
      </c>
      <c r="S308" s="254"/>
      <c r="T308" s="255">
        <f t="shared" si="36"/>
        <v>607215.70913167321</v>
      </c>
      <c r="U308" s="256">
        <f t="shared" si="37"/>
        <v>1520752.8101416316</v>
      </c>
      <c r="V308" s="257">
        <f t="shared" si="38"/>
        <v>4241572.2245129906</v>
      </c>
      <c r="W308" s="255">
        <f t="shared" si="39"/>
        <v>130974826.86967118</v>
      </c>
      <c r="X308" s="257">
        <f t="shared" si="40"/>
        <v>1469830754.0569656</v>
      </c>
      <c r="Y308" s="255">
        <f t="shared" si="41"/>
        <v>17140883499.283306</v>
      </c>
      <c r="Z308" s="257">
        <f t="shared" si="42"/>
        <v>3890020090514296.5</v>
      </c>
      <c r="AA308" s="257">
        <f t="shared" si="43"/>
        <v>1469830754.0569656</v>
      </c>
    </row>
    <row r="309" spans="18:27" x14ac:dyDescent="0.25">
      <c r="R309" s="253">
        <f t="shared" si="44"/>
        <v>280</v>
      </c>
      <c r="S309" s="254"/>
      <c r="T309" s="255">
        <f t="shared" si="36"/>
        <v>611256.78767733171</v>
      </c>
      <c r="U309" s="256">
        <f t="shared" si="37"/>
        <v>1536970.3382430482</v>
      </c>
      <c r="V309" s="257">
        <f t="shared" si="38"/>
        <v>4306210.8078806838</v>
      </c>
      <c r="W309" s="255">
        <f t="shared" si="39"/>
        <v>134905101.67576128</v>
      </c>
      <c r="X309" s="257">
        <f t="shared" si="40"/>
        <v>1528625024.2192442</v>
      </c>
      <c r="Y309" s="255">
        <f t="shared" si="41"/>
        <v>17997928724.247467</v>
      </c>
      <c r="Z309" s="257">
        <f t="shared" si="42"/>
        <v>4279022099566825.5</v>
      </c>
      <c r="AA309" s="257">
        <f t="shared" si="43"/>
        <v>1528625024.2192442</v>
      </c>
    </row>
    <row r="310" spans="18:27" x14ac:dyDescent="0.25">
      <c r="R310" s="253">
        <f t="shared" si="44"/>
        <v>281</v>
      </c>
      <c r="S310" s="254"/>
      <c r="T310" s="255">
        <f t="shared" si="36"/>
        <v>615318.07161571819</v>
      </c>
      <c r="U310" s="256">
        <f t="shared" si="37"/>
        <v>1553350.041625479</v>
      </c>
      <c r="V310" s="257">
        <f t="shared" si="38"/>
        <v>4371818.9699988943</v>
      </c>
      <c r="W310" s="255">
        <f t="shared" si="39"/>
        <v>138953284.72603413</v>
      </c>
      <c r="X310" s="257">
        <f t="shared" si="40"/>
        <v>1589771065.1880143</v>
      </c>
      <c r="Y310" s="255">
        <f t="shared" si="41"/>
        <v>18897826210.459843</v>
      </c>
      <c r="Z310" s="257">
        <f t="shared" si="42"/>
        <v>4706924309524608</v>
      </c>
      <c r="AA310" s="257">
        <f t="shared" si="43"/>
        <v>1589771065.1880143</v>
      </c>
    </row>
    <row r="311" spans="18:27" x14ac:dyDescent="0.25">
      <c r="R311" s="253">
        <f t="shared" si="44"/>
        <v>282</v>
      </c>
      <c r="S311" s="254"/>
      <c r="T311" s="255">
        <f t="shared" si="36"/>
        <v>619399.66197379667</v>
      </c>
      <c r="U311" s="256">
        <f t="shared" si="37"/>
        <v>1569893.5420417339</v>
      </c>
      <c r="V311" s="257">
        <f t="shared" si="38"/>
        <v>4438411.2545488775</v>
      </c>
      <c r="W311" s="255">
        <f t="shared" si="39"/>
        <v>143122913.2678152</v>
      </c>
      <c r="X311" s="257">
        <f t="shared" si="40"/>
        <v>1653362947.7955348</v>
      </c>
      <c r="Y311" s="255">
        <f t="shared" si="41"/>
        <v>19842718570.98283</v>
      </c>
      <c r="Z311" s="257">
        <f t="shared" si="42"/>
        <v>5177616740478169</v>
      </c>
      <c r="AA311" s="257">
        <f t="shared" si="43"/>
        <v>1653362947.7955348</v>
      </c>
    </row>
    <row r="312" spans="18:27" x14ac:dyDescent="0.25">
      <c r="R312" s="253">
        <f t="shared" si="44"/>
        <v>283</v>
      </c>
      <c r="S312" s="254"/>
      <c r="T312" s="255">
        <f t="shared" si="36"/>
        <v>623501.66028366552</v>
      </c>
      <c r="U312" s="256">
        <f t="shared" si="37"/>
        <v>1586602.4774621509</v>
      </c>
      <c r="V312" s="257">
        <f t="shared" si="38"/>
        <v>4506002.4233671091</v>
      </c>
      <c r="W312" s="255">
        <f t="shared" si="39"/>
        <v>147417630.6658496</v>
      </c>
      <c r="X312" s="257">
        <f t="shared" si="40"/>
        <v>1719498505.7073562</v>
      </c>
      <c r="Y312" s="255">
        <f t="shared" si="41"/>
        <v>20834855549.531979</v>
      </c>
      <c r="Z312" s="257">
        <f t="shared" si="42"/>
        <v>5695378414527087</v>
      </c>
      <c r="AA312" s="257">
        <f t="shared" si="43"/>
        <v>1719498505.7073562</v>
      </c>
    </row>
    <row r="313" spans="18:27" x14ac:dyDescent="0.25">
      <c r="R313" s="253">
        <f t="shared" si="44"/>
        <v>284</v>
      </c>
      <c r="S313" s="254"/>
      <c r="T313" s="255">
        <f t="shared" si="36"/>
        <v>627624.1685850838</v>
      </c>
      <c r="U313" s="256">
        <f t="shared" si="37"/>
        <v>1603478.5022367721</v>
      </c>
      <c r="V313" s="257">
        <f t="shared" si="38"/>
        <v>4574607.4597176155</v>
      </c>
      <c r="W313" s="255">
        <f t="shared" si="39"/>
        <v>151841189.58582509</v>
      </c>
      <c r="X313" s="257">
        <f t="shared" si="40"/>
        <v>1788279485.9356508</v>
      </c>
      <c r="Y313" s="255">
        <f t="shared" si="41"/>
        <v>21876599377.008575</v>
      </c>
      <c r="Z313" s="257">
        <f t="shared" si="42"/>
        <v>6264916255980896</v>
      </c>
      <c r="AA313" s="257">
        <f t="shared" si="43"/>
        <v>1788279485.9356508</v>
      </c>
    </row>
    <row r="314" spans="18:27" x14ac:dyDescent="0.25">
      <c r="R314" s="253">
        <f t="shared" si="44"/>
        <v>285</v>
      </c>
      <c r="S314" s="254"/>
      <c r="T314" s="255">
        <f t="shared" si="36"/>
        <v>631767.28942800895</v>
      </c>
      <c r="U314" s="256">
        <f t="shared" si="37"/>
        <v>1620523.2872591401</v>
      </c>
      <c r="V314" s="257">
        <f t="shared" si="38"/>
        <v>4644241.5716133798</v>
      </c>
      <c r="W314" s="255">
        <f t="shared" si="39"/>
        <v>156397455.2733998</v>
      </c>
      <c r="X314" s="257">
        <f t="shared" si="40"/>
        <v>1859811705.3730769</v>
      </c>
      <c r="Y314" s="255">
        <f t="shared" si="41"/>
        <v>22970430395.859001</v>
      </c>
      <c r="Z314" s="257">
        <f t="shared" si="42"/>
        <v>6891407881580086</v>
      </c>
      <c r="AA314" s="257">
        <f t="shared" si="43"/>
        <v>1859811705.3730769</v>
      </c>
    </row>
    <row r="315" spans="18:27" x14ac:dyDescent="0.25">
      <c r="R315" s="253">
        <f t="shared" si="44"/>
        <v>286</v>
      </c>
      <c r="S315" s="254"/>
      <c r="T315" s="255">
        <f t="shared" si="36"/>
        <v>635931.12587514892</v>
      </c>
      <c r="U315" s="256">
        <f t="shared" si="37"/>
        <v>1637738.5201317316</v>
      </c>
      <c r="V315" s="257">
        <f t="shared" si="38"/>
        <v>4714920.1951875789</v>
      </c>
      <c r="W315" s="255">
        <f t="shared" si="39"/>
        <v>161090408.93160182</v>
      </c>
      <c r="X315" s="257">
        <f t="shared" si="40"/>
        <v>1934205213.5879998</v>
      </c>
      <c r="Y315" s="255">
        <f t="shared" si="41"/>
        <v>24118952965.651947</v>
      </c>
      <c r="Z315" s="257">
        <f t="shared" si="42"/>
        <v>7580548669739196</v>
      </c>
      <c r="AA315" s="257">
        <f t="shared" si="43"/>
        <v>1934205213.5879998</v>
      </c>
    </row>
    <row r="316" spans="18:27" x14ac:dyDescent="0.25">
      <c r="R316" s="253">
        <f t="shared" si="44"/>
        <v>287</v>
      </c>
      <c r="S316" s="254"/>
      <c r="T316" s="255">
        <f t="shared" si="36"/>
        <v>640115.78150452441</v>
      </c>
      <c r="U316" s="256">
        <f t="shared" si="37"/>
        <v>1655125.9053330484</v>
      </c>
      <c r="V316" s="257">
        <f t="shared" si="38"/>
        <v>4786658.9981153915</v>
      </c>
      <c r="W316" s="255">
        <f t="shared" si="39"/>
        <v>165924151.19954991</v>
      </c>
      <c r="X316" s="257">
        <f t="shared" si="40"/>
        <v>2011574462.1315198</v>
      </c>
      <c r="Y316" s="255">
        <f t="shared" si="41"/>
        <v>25324901663.934555</v>
      </c>
      <c r="Z316" s="257">
        <f t="shared" si="42"/>
        <v>8338603536714215</v>
      </c>
      <c r="AA316" s="257">
        <f t="shared" si="43"/>
        <v>2011574462.1315198</v>
      </c>
    </row>
    <row r="317" spans="18:27" x14ac:dyDescent="0.25">
      <c r="R317" s="253">
        <f t="shared" si="44"/>
        <v>288</v>
      </c>
      <c r="S317" s="254"/>
      <c r="T317" s="255">
        <f t="shared" si="36"/>
        <v>644321.3604120469</v>
      </c>
      <c r="U317" s="256">
        <f t="shared" si="37"/>
        <v>1672687.1643863793</v>
      </c>
      <c r="V317" s="257">
        <f t="shared" si="38"/>
        <v>4859473.8830871228</v>
      </c>
      <c r="W317" s="255">
        <f t="shared" si="39"/>
        <v>170902905.73553637</v>
      </c>
      <c r="X317" s="257">
        <f t="shared" si="40"/>
        <v>2092038480.6167808</v>
      </c>
      <c r="Y317" s="255">
        <f t="shared" si="41"/>
        <v>26591147797.131279</v>
      </c>
      <c r="Z317" s="257">
        <f t="shared" si="42"/>
        <v>9172463890386738</v>
      </c>
      <c r="AA317" s="257">
        <f t="shared" si="43"/>
        <v>2092038480.6167808</v>
      </c>
    </row>
    <row r="318" spans="18:27" x14ac:dyDescent="0.25">
      <c r="R318" s="253">
        <f t="shared" si="44"/>
        <v>289</v>
      </c>
      <c r="S318" s="254"/>
      <c r="T318" s="255">
        <f t="shared" si="36"/>
        <v>648547.96721410705</v>
      </c>
      <c r="U318" s="256">
        <f t="shared" si="37"/>
        <v>1690424.0360302432</v>
      </c>
      <c r="V318" s="257">
        <f t="shared" si="38"/>
        <v>4933380.9913334278</v>
      </c>
      <c r="W318" s="255">
        <f t="shared" si="39"/>
        <v>176031022.90760246</v>
      </c>
      <c r="X318" s="257">
        <f t="shared" si="40"/>
        <v>2175721059.8414516</v>
      </c>
      <c r="Y318" s="255">
        <f t="shared" si="41"/>
        <v>27920706236.987846</v>
      </c>
      <c r="Z318" s="257">
        <f t="shared" si="42"/>
        <v>1.0089710279426512E+16</v>
      </c>
      <c r="AA318" s="257">
        <f t="shared" si="43"/>
        <v>2175721059.8414516</v>
      </c>
    </row>
    <row r="319" spans="18:27" x14ac:dyDescent="0.25">
      <c r="R319" s="253">
        <f t="shared" si="44"/>
        <v>290</v>
      </c>
      <c r="S319" s="254"/>
      <c r="T319" s="255">
        <f t="shared" si="36"/>
        <v>652795.70705017739</v>
      </c>
      <c r="U319" s="256">
        <f t="shared" si="37"/>
        <v>1708338.2763905458</v>
      </c>
      <c r="V319" s="257">
        <f t="shared" si="38"/>
        <v>5008396.706203429</v>
      </c>
      <c r="W319" s="255">
        <f t="shared" si="39"/>
        <v>181312983.59483051</v>
      </c>
      <c r="X319" s="257">
        <f t="shared" si="40"/>
        <v>2262750942.2351103</v>
      </c>
      <c r="Y319" s="255">
        <f t="shared" si="41"/>
        <v>29316742598.837234</v>
      </c>
      <c r="Z319" s="257">
        <f t="shared" si="42"/>
        <v>1.1098681307370266E+16</v>
      </c>
      <c r="AA319" s="257">
        <f t="shared" si="43"/>
        <v>2262750942.2351103</v>
      </c>
    </row>
    <row r="320" spans="18:27" x14ac:dyDescent="0.25">
      <c r="R320" s="253">
        <f t="shared" si="44"/>
        <v>291</v>
      </c>
      <c r="S320" s="254"/>
      <c r="T320" s="255">
        <f t="shared" si="36"/>
        <v>657064.68558542826</v>
      </c>
      <c r="U320" s="256">
        <f t="shared" si="37"/>
        <v>1726431.6591544505</v>
      </c>
      <c r="V320" s="257">
        <f t="shared" si="38"/>
        <v>5084537.6567964805</v>
      </c>
      <c r="W320" s="255">
        <f t="shared" si="39"/>
        <v>186753403.10267544</v>
      </c>
      <c r="X320" s="257">
        <f t="shared" si="40"/>
        <v>2353262019.9245148</v>
      </c>
      <c r="Y320" s="255">
        <f t="shared" si="41"/>
        <v>30782580778.779106</v>
      </c>
      <c r="Z320" s="257">
        <f t="shared" si="42"/>
        <v>1.2208549438108392E+16</v>
      </c>
      <c r="AA320" s="257">
        <f t="shared" si="43"/>
        <v>2353262019.9245148</v>
      </c>
    </row>
    <row r="321" spans="18:27" x14ac:dyDescent="0.25">
      <c r="R321" s="253">
        <f t="shared" si="44"/>
        <v>292</v>
      </c>
      <c r="S321" s="254"/>
      <c r="T321" s="255">
        <f t="shared" si="36"/>
        <v>661355.00901335524</v>
      </c>
      <c r="U321" s="256">
        <f t="shared" si="37"/>
        <v>1744705.9757459953</v>
      </c>
      <c r="V321" s="257">
        <f t="shared" si="38"/>
        <v>5161820.7216484277</v>
      </c>
      <c r="W321" s="255">
        <f t="shared" si="39"/>
        <v>192357035.19575572</v>
      </c>
      <c r="X321" s="257">
        <f t="shared" si="40"/>
        <v>2447393540.7214956</v>
      </c>
      <c r="Y321" s="255">
        <f t="shared" si="41"/>
        <v>32321710867.718056</v>
      </c>
      <c r="Z321" s="257">
        <f t="shared" si="42"/>
        <v>1.342940438192033E+16</v>
      </c>
      <c r="AA321" s="257">
        <f t="shared" si="43"/>
        <v>2447393540.7214956</v>
      </c>
    </row>
    <row r="322" spans="18:27" x14ac:dyDescent="0.25">
      <c r="R322" s="253">
        <f t="shared" si="44"/>
        <v>293</v>
      </c>
      <c r="S322" s="254"/>
      <c r="T322" s="255">
        <f t="shared" si="36"/>
        <v>665666.78405842173</v>
      </c>
      <c r="U322" s="256">
        <f t="shared" si="37"/>
        <v>1763163.0355034554</v>
      </c>
      <c r="V322" s="257">
        <f t="shared" si="38"/>
        <v>5240263.0324731516</v>
      </c>
      <c r="W322" s="255">
        <f t="shared" si="39"/>
        <v>198128776.25162834</v>
      </c>
      <c r="X322" s="257">
        <f t="shared" si="40"/>
        <v>2545290322.3503561</v>
      </c>
      <c r="Y322" s="255">
        <f t="shared" si="41"/>
        <v>33937797461.103958</v>
      </c>
      <c r="Z322" s="257">
        <f t="shared" si="42"/>
        <v>1.4772344820113466E+16</v>
      </c>
      <c r="AA322" s="257">
        <f t="shared" si="43"/>
        <v>2545290322.3503561</v>
      </c>
    </row>
    <row r="323" spans="18:27" x14ac:dyDescent="0.25">
      <c r="R323" s="253">
        <f t="shared" si="44"/>
        <v>294</v>
      </c>
      <c r="S323" s="254"/>
      <c r="T323" s="255">
        <f t="shared" si="36"/>
        <v>670000.11797871382</v>
      </c>
      <c r="U323" s="256">
        <f t="shared" si="37"/>
        <v>1781804.6658584902</v>
      </c>
      <c r="V323" s="257">
        <f t="shared" si="38"/>
        <v>5319881.9779602485</v>
      </c>
      <c r="W323" s="255">
        <f t="shared" si="39"/>
        <v>204073669.53917721</v>
      </c>
      <c r="X323" s="257">
        <f t="shared" si="40"/>
        <v>2647102975.2443695</v>
      </c>
      <c r="Y323" s="255">
        <f t="shared" si="41"/>
        <v>35634688384.159157</v>
      </c>
      <c r="Z323" s="257">
        <f t="shared" si="42"/>
        <v>1.6249579302125914E+16</v>
      </c>
      <c r="AA323" s="257">
        <f t="shared" si="43"/>
        <v>2647102975.2443695</v>
      </c>
    </row>
    <row r="324" spans="18:27" x14ac:dyDescent="0.25">
      <c r="R324" s="253">
        <f t="shared" si="44"/>
        <v>295</v>
      </c>
      <c r="S324" s="254"/>
      <c r="T324" s="255">
        <f t="shared" si="36"/>
        <v>674355.11856860737</v>
      </c>
      <c r="U324" s="256">
        <f t="shared" si="37"/>
        <v>1800632.7125170743</v>
      </c>
      <c r="V324" s="257">
        <f t="shared" si="38"/>
        <v>5400695.2076296518</v>
      </c>
      <c r="W324" s="255">
        <f t="shared" si="39"/>
        <v>210196909.62535256</v>
      </c>
      <c r="X324" s="257">
        <f t="shared" si="40"/>
        <v>2752988134.2541442</v>
      </c>
      <c r="Y324" s="255">
        <f t="shared" si="41"/>
        <v>37416423853.367119</v>
      </c>
      <c r="Z324" s="257">
        <f t="shared" si="42"/>
        <v>1.787453723233961E+16</v>
      </c>
      <c r="AA324" s="257">
        <f t="shared" si="43"/>
        <v>2752988134.2541442</v>
      </c>
    </row>
    <row r="325" spans="18:27" x14ac:dyDescent="0.25">
      <c r="R325" s="253">
        <f t="shared" si="44"/>
        <v>296</v>
      </c>
      <c r="S325" s="254"/>
      <c r="T325" s="255">
        <f t="shared" si="36"/>
        <v>678731.89416145021</v>
      </c>
      <c r="U325" s="256">
        <f t="shared" si="37"/>
        <v>1819649.0396422457</v>
      </c>
      <c r="V325" s="257">
        <f t="shared" si="38"/>
        <v>5482720.6357440958</v>
      </c>
      <c r="W325" s="255">
        <f t="shared" si="39"/>
        <v>216503846.91411307</v>
      </c>
      <c r="X325" s="257">
        <f t="shared" si="40"/>
        <v>2863108699.624311</v>
      </c>
      <c r="Y325" s="255">
        <f t="shared" si="41"/>
        <v>39287246096.035469</v>
      </c>
      <c r="Z325" s="257">
        <f t="shared" si="42"/>
        <v>1.9661990955574668E+16</v>
      </c>
      <c r="AA325" s="257">
        <f t="shared" si="43"/>
        <v>2863108699.624311</v>
      </c>
    </row>
    <row r="326" spans="18:27" x14ac:dyDescent="0.25">
      <c r="R326" s="253">
        <f t="shared" si="44"/>
        <v>297</v>
      </c>
      <c r="S326" s="254"/>
      <c r="T326" s="255">
        <f t="shared" si="36"/>
        <v>683130.55363225739</v>
      </c>
      <c r="U326" s="256">
        <f t="shared" si="37"/>
        <v>1838855.5300386685</v>
      </c>
      <c r="V326" s="257">
        <f t="shared" si="38"/>
        <v>5565976.4452802576</v>
      </c>
      <c r="W326" s="255">
        <f t="shared" si="39"/>
        <v>222999992.32153651</v>
      </c>
      <c r="X326" s="257">
        <f t="shared" si="40"/>
        <v>2977634087.609283</v>
      </c>
      <c r="Y326" s="255">
        <f t="shared" si="41"/>
        <v>41251609450.837242</v>
      </c>
      <c r="Z326" s="257">
        <f t="shared" si="42"/>
        <v>2.1628190051133232E+16</v>
      </c>
      <c r="AA326" s="257">
        <f t="shared" si="43"/>
        <v>2977634087.609283</v>
      </c>
    </row>
    <row r="327" spans="18:27" x14ac:dyDescent="0.25">
      <c r="R327" s="253">
        <f t="shared" si="44"/>
        <v>298</v>
      </c>
      <c r="S327" s="254"/>
      <c r="T327" s="255">
        <f t="shared" si="36"/>
        <v>687551.20640041854</v>
      </c>
      <c r="U327" s="256">
        <f t="shared" si="37"/>
        <v>1858254.0853390552</v>
      </c>
      <c r="V327" s="257">
        <f t="shared" si="38"/>
        <v>5650481.0919594597</v>
      </c>
      <c r="W327" s="255">
        <f t="shared" si="39"/>
        <v>229691022.09118262</v>
      </c>
      <c r="X327" s="257">
        <f t="shared" si="40"/>
        <v>3096740491.1136546</v>
      </c>
      <c r="Y327" s="255">
        <f t="shared" si="41"/>
        <v>43314190973.379105</v>
      </c>
      <c r="Z327" s="257">
        <f t="shared" si="42"/>
        <v>2.379100905624766E+16</v>
      </c>
      <c r="AA327" s="257">
        <f t="shared" si="43"/>
        <v>3096740491.1136546</v>
      </c>
    </row>
    <row r="328" spans="18:27" x14ac:dyDescent="0.25">
      <c r="R328" s="253">
        <f t="shared" si="44"/>
        <v>299</v>
      </c>
      <c r="S328" s="254"/>
      <c r="T328" s="255">
        <f t="shared" si="36"/>
        <v>691993.96243242058</v>
      </c>
      <c r="U328" s="256">
        <f t="shared" si="37"/>
        <v>1877846.6261924454</v>
      </c>
      <c r="V328" s="257">
        <f t="shared" si="38"/>
        <v>5736253.3083388507</v>
      </c>
      <c r="W328" s="255">
        <f t="shared" si="39"/>
        <v>236582782.75391808</v>
      </c>
      <c r="X328" s="257">
        <f t="shared" si="40"/>
        <v>3220611150.7582011</v>
      </c>
      <c r="Y328" s="255">
        <f t="shared" si="41"/>
        <v>45479901572.048073</v>
      </c>
      <c r="Z328" s="257">
        <f t="shared" si="42"/>
        <v>2.6170109961873528E+16</v>
      </c>
      <c r="AA328" s="257">
        <f t="shared" si="43"/>
        <v>3220611150.7582011</v>
      </c>
    </row>
    <row r="329" spans="18:27" x14ac:dyDescent="0.25">
      <c r="R329" s="253">
        <f t="shared" si="44"/>
        <v>300</v>
      </c>
      <c r="S329" s="254"/>
      <c r="T329" s="255">
        <f t="shared" si="36"/>
        <v>696458.93224458233</v>
      </c>
      <c r="U329" s="256">
        <f t="shared" si="37"/>
        <v>1897635.0924543699</v>
      </c>
      <c r="V329" s="257">
        <f t="shared" si="38"/>
        <v>5823312.1079639327</v>
      </c>
      <c r="W329" s="255">
        <f t="shared" si="39"/>
        <v>243681296.23653558</v>
      </c>
      <c r="X329" s="257">
        <f t="shared" si="40"/>
        <v>3349436636.7885294</v>
      </c>
      <c r="Y329" s="255">
        <f t="shared" si="41"/>
        <v>47753897700.650459</v>
      </c>
      <c r="Z329" s="257">
        <f t="shared" si="42"/>
        <v>2.8787120958061988E+16</v>
      </c>
      <c r="AA329" s="257">
        <f t="shared" si="43"/>
        <v>3349436636.7885294</v>
      </c>
    </row>
    <row r="330" spans="18:27" x14ac:dyDescent="0.25">
      <c r="R330" s="253">
        <f t="shared" si="44"/>
        <v>301</v>
      </c>
      <c r="S330" s="254"/>
      <c r="T330" s="255">
        <f t="shared" si="36"/>
        <v>700946.22690580506</v>
      </c>
      <c r="U330" s="256">
        <f t="shared" si="37"/>
        <v>1917621.4433789137</v>
      </c>
      <c r="V330" s="257">
        <f t="shared" si="38"/>
        <v>5911676.7895833924</v>
      </c>
      <c r="W330" s="255">
        <f t="shared" si="39"/>
        <v>250992765.12363166</v>
      </c>
      <c r="X330" s="257">
        <f t="shared" si="40"/>
        <v>3483415142.2600708</v>
      </c>
      <c r="Y330" s="255">
        <f t="shared" si="41"/>
        <v>50141593635.682991</v>
      </c>
      <c r="Z330" s="257">
        <f t="shared" si="42"/>
        <v>3.166583305386928E+16</v>
      </c>
      <c r="AA330" s="257">
        <f t="shared" si="43"/>
        <v>3483415142.2600708</v>
      </c>
    </row>
    <row r="331" spans="18:27" x14ac:dyDescent="0.25">
      <c r="R331" s="253">
        <f t="shared" si="44"/>
        <v>302</v>
      </c>
      <c r="S331" s="254"/>
      <c r="T331" s="255">
        <f t="shared" si="36"/>
        <v>705455.95804033417</v>
      </c>
      <c r="U331" s="256">
        <f t="shared" si="37"/>
        <v>1937807.6578127032</v>
      </c>
      <c r="V331" s="257">
        <f t="shared" si="38"/>
        <v>6001366.9414271405</v>
      </c>
      <c r="W331" s="255">
        <f t="shared" si="39"/>
        <v>258523578.07734057</v>
      </c>
      <c r="X331" s="257">
        <f t="shared" si="40"/>
        <v>3622752787.9504738</v>
      </c>
      <c r="Y331" s="255">
        <f t="shared" si="41"/>
        <v>52648674367.467125</v>
      </c>
      <c r="Z331" s="257">
        <f t="shared" si="42"/>
        <v>3.4832416359257316E+16</v>
      </c>
      <c r="AA331" s="257">
        <f t="shared" si="43"/>
        <v>3622752787.9504738</v>
      </c>
    </row>
    <row r="332" spans="18:27" x14ac:dyDescent="0.25">
      <c r="R332" s="253">
        <f t="shared" si="44"/>
        <v>303</v>
      </c>
      <c r="S332" s="254"/>
      <c r="T332" s="255">
        <f t="shared" si="36"/>
        <v>709988.23783053539</v>
      </c>
      <c r="U332" s="256">
        <f t="shared" si="37"/>
        <v>1958195.7343908292</v>
      </c>
      <c r="V332" s="257">
        <f t="shared" si="38"/>
        <v>6092402.4455485474</v>
      </c>
      <c r="W332" s="255">
        <f t="shared" si="39"/>
        <v>266280315.41966087</v>
      </c>
      <c r="X332" s="257">
        <f t="shared" si="40"/>
        <v>3767663939.4684925</v>
      </c>
      <c r="Y332" s="255">
        <f t="shared" si="41"/>
        <v>55281109135.840508</v>
      </c>
      <c r="Z332" s="257">
        <f t="shared" si="42"/>
        <v>3.8315657995184144E+16</v>
      </c>
      <c r="AA332" s="257">
        <f t="shared" si="43"/>
        <v>3767663939.4684925</v>
      </c>
    </row>
    <row r="333" spans="18:27" x14ac:dyDescent="0.25">
      <c r="R333" s="253">
        <f t="shared" si="44"/>
        <v>304</v>
      </c>
      <c r="S333" s="254"/>
      <c r="T333" s="255">
        <f t="shared" si="36"/>
        <v>714543.17901968805</v>
      </c>
      <c r="U333" s="256">
        <f t="shared" si="37"/>
        <v>1978787.6917347384</v>
      </c>
      <c r="V333" s="257">
        <f t="shared" si="38"/>
        <v>6184803.4822317744</v>
      </c>
      <c r="W333" s="255">
        <f t="shared" si="39"/>
        <v>274269754.88225067</v>
      </c>
      <c r="X333" s="257">
        <f t="shared" si="40"/>
        <v>3918371537.0472326</v>
      </c>
      <c r="Y333" s="255">
        <f t="shared" si="41"/>
        <v>58045165642.63253</v>
      </c>
      <c r="Z333" s="257">
        <f t="shared" si="42"/>
        <v>4.2147223794703664E+16</v>
      </c>
      <c r="AA333" s="257">
        <f t="shared" si="43"/>
        <v>3918371537.0472326</v>
      </c>
    </row>
    <row r="334" spans="18:27" x14ac:dyDescent="0.25">
      <c r="R334" s="253">
        <f t="shared" si="44"/>
        <v>305</v>
      </c>
      <c r="S334" s="254"/>
      <c r="T334" s="255">
        <f t="shared" si="36"/>
        <v>719120.89491478645</v>
      </c>
      <c r="U334" s="256">
        <f t="shared" si="37"/>
        <v>1999585.5686520857</v>
      </c>
      <c r="V334" s="257">
        <f t="shared" si="38"/>
        <v>6278590.5344652506</v>
      </c>
      <c r="W334" s="255">
        <f t="shared" si="39"/>
        <v>282498877.52871811</v>
      </c>
      <c r="X334" s="257">
        <f t="shared" si="40"/>
        <v>4075107438.5291219</v>
      </c>
      <c r="Y334" s="255">
        <f t="shared" si="41"/>
        <v>60947424974.76416</v>
      </c>
      <c r="Z334" s="257">
        <f t="shared" si="42"/>
        <v>4.6361946174175136E+16</v>
      </c>
      <c r="AA334" s="257">
        <f t="shared" si="43"/>
        <v>4075107438.5291219</v>
      </c>
    </row>
    <row r="335" spans="18:27" x14ac:dyDescent="0.25">
      <c r="R335" s="253">
        <f t="shared" si="44"/>
        <v>306</v>
      </c>
      <c r="S335" s="254"/>
      <c r="T335" s="255">
        <f t="shared" si="36"/>
        <v>723721.49938936008</v>
      </c>
      <c r="U335" s="256">
        <f t="shared" si="37"/>
        <v>2020591.4243386069</v>
      </c>
      <c r="V335" s="257">
        <f t="shared" si="38"/>
        <v>6373784.3924822286</v>
      </c>
      <c r="W335" s="255">
        <f t="shared" si="39"/>
        <v>290974873.85457975</v>
      </c>
      <c r="X335" s="257">
        <f t="shared" si="40"/>
        <v>4238112776.0702872</v>
      </c>
      <c r="Y335" s="255">
        <f t="shared" si="41"/>
        <v>63994797273.502373</v>
      </c>
      <c r="Z335" s="257">
        <f t="shared" si="42"/>
        <v>5.099814079159376E+16</v>
      </c>
      <c r="AA335" s="257">
        <f t="shared" si="43"/>
        <v>4238112776.0702872</v>
      </c>
    </row>
    <row r="336" spans="18:27" x14ac:dyDescent="0.25">
      <c r="R336" s="253">
        <f t="shared" si="44"/>
        <v>307</v>
      </c>
      <c r="S336" s="254"/>
      <c r="T336" s="255">
        <f t="shared" si="36"/>
        <v>728345.10688630678</v>
      </c>
      <c r="U336" s="256">
        <f t="shared" si="37"/>
        <v>2041807.3385819928</v>
      </c>
      <c r="V336" s="257">
        <f t="shared" si="38"/>
        <v>6470406.1583694611</v>
      </c>
      <c r="W336" s="255">
        <f t="shared" si="39"/>
        <v>299705150.07021707</v>
      </c>
      <c r="X336" s="257">
        <f t="shared" si="40"/>
        <v>4407638327.1130991</v>
      </c>
      <c r="Y336" s="255">
        <f t="shared" si="41"/>
        <v>67194538187.177483</v>
      </c>
      <c r="Z336" s="257">
        <f t="shared" si="42"/>
        <v>5.6097954870754232E+16</v>
      </c>
      <c r="AA336" s="257">
        <f t="shared" si="43"/>
        <v>4407638327.1130991</v>
      </c>
    </row>
    <row r="337" spans="18:27" x14ac:dyDescent="0.25">
      <c r="R337" s="253">
        <f t="shared" si="44"/>
        <v>308</v>
      </c>
      <c r="S337" s="254"/>
      <c r="T337" s="255">
        <f t="shared" si="36"/>
        <v>732991.83242073806</v>
      </c>
      <c r="U337" s="256">
        <f t="shared" si="37"/>
        <v>2063235.4119678128</v>
      </c>
      <c r="V337" s="257">
        <f t="shared" si="38"/>
        <v>6568477.2507450012</v>
      </c>
      <c r="W337" s="255">
        <f t="shared" si="39"/>
        <v>308697334.57232356</v>
      </c>
      <c r="X337" s="257">
        <f t="shared" si="40"/>
        <v>4583944900.1976223</v>
      </c>
      <c r="Y337" s="255">
        <f t="shared" si="41"/>
        <v>70554266146.536362</v>
      </c>
      <c r="Z337" s="257">
        <f t="shared" si="42"/>
        <v>6.170775035783076E+16</v>
      </c>
      <c r="AA337" s="257">
        <f t="shared" si="43"/>
        <v>4583944900.1976223</v>
      </c>
    </row>
    <row r="338" spans="18:27" x14ac:dyDescent="0.25">
      <c r="R338" s="253">
        <f t="shared" si="44"/>
        <v>309</v>
      </c>
      <c r="S338" s="254"/>
      <c r="T338" s="255">
        <f t="shared" si="36"/>
        <v>737661.79158284178</v>
      </c>
      <c r="U338" s="256">
        <f t="shared" si="37"/>
        <v>2084877.7660874906</v>
      </c>
      <c r="V338" s="257">
        <f t="shared" si="38"/>
        <v>6668019.4095061757</v>
      </c>
      <c r="W338" s="255">
        <f t="shared" si="39"/>
        <v>317959284.6094932</v>
      </c>
      <c r="X338" s="257">
        <f t="shared" si="40"/>
        <v>4767303736.2055292</v>
      </c>
      <c r="Y338" s="255">
        <f t="shared" si="41"/>
        <v>74081980503.863174</v>
      </c>
      <c r="Z338" s="257">
        <f t="shared" si="42"/>
        <v>6.7878525393614952E+16</v>
      </c>
      <c r="AA338" s="257">
        <f t="shared" si="43"/>
        <v>4767303736.2055292</v>
      </c>
    </row>
    <row r="339" spans="18:27" x14ac:dyDescent="0.25">
      <c r="R339" s="253">
        <f t="shared" si="44"/>
        <v>310</v>
      </c>
      <c r="S339" s="254"/>
      <c r="T339" s="255">
        <f t="shared" si="36"/>
        <v>742355.10054075578</v>
      </c>
      <c r="U339" s="256">
        <f t="shared" si="37"/>
        <v>2106736.5437483662</v>
      </c>
      <c r="V339" s="257">
        <f t="shared" si="38"/>
        <v>6769054.700648766</v>
      </c>
      <c r="W339" s="255">
        <f t="shared" si="39"/>
        <v>327499093.14777803</v>
      </c>
      <c r="X339" s="257">
        <f t="shared" si="40"/>
        <v>4957996925.6537495</v>
      </c>
      <c r="Y339" s="255">
        <f t="shared" si="41"/>
        <v>77786080579.05632</v>
      </c>
      <c r="Z339" s="257">
        <f t="shared" si="42"/>
        <v>7.4666377932977552E+16</v>
      </c>
      <c r="AA339" s="257">
        <f t="shared" si="43"/>
        <v>4957996925.6537495</v>
      </c>
    </row>
    <row r="340" spans="18:27" x14ac:dyDescent="0.25">
      <c r="R340" s="253">
        <f t="shared" si="44"/>
        <v>311</v>
      </c>
      <c r="S340" s="254"/>
      <c r="T340" s="255">
        <f t="shared" si="36"/>
        <v>747071.8760434594</v>
      </c>
      <c r="U340" s="256">
        <f t="shared" si="37"/>
        <v>2128813.9091858491</v>
      </c>
      <c r="V340" s="257">
        <f t="shared" si="38"/>
        <v>6871605.5211584978</v>
      </c>
      <c r="W340" s="255">
        <f t="shared" si="39"/>
        <v>337325095.94221145</v>
      </c>
      <c r="X340" s="257">
        <f t="shared" si="40"/>
        <v>5156317842.6798992</v>
      </c>
      <c r="Y340" s="255">
        <f t="shared" si="41"/>
        <v>81675385658.009155</v>
      </c>
      <c r="Z340" s="257">
        <f t="shared" si="42"/>
        <v>8.21330157262764E+16</v>
      </c>
      <c r="AA340" s="257">
        <f t="shared" si="43"/>
        <v>5156317842.6798992</v>
      </c>
    </row>
    <row r="341" spans="18:27" x14ac:dyDescent="0.25">
      <c r="R341" s="253">
        <f t="shared" si="44"/>
        <v>312</v>
      </c>
      <c r="S341" s="254"/>
      <c r="T341" s="255">
        <f t="shared" si="36"/>
        <v>751812.23542367679</v>
      </c>
      <c r="U341" s="256">
        <f t="shared" si="37"/>
        <v>2151112.0482777082</v>
      </c>
      <c r="V341" s="257">
        <f t="shared" si="38"/>
        <v>6975694.6039758734</v>
      </c>
      <c r="W341" s="255">
        <f t="shared" si="39"/>
        <v>347445878.82047766</v>
      </c>
      <c r="X341" s="257">
        <f t="shared" si="40"/>
        <v>5362571596.3870955</v>
      </c>
      <c r="Y341" s="255">
        <f t="shared" si="41"/>
        <v>85759155990.909607</v>
      </c>
      <c r="Z341" s="257">
        <f t="shared" si="42"/>
        <v>9.0346317298905136E+16</v>
      </c>
      <c r="AA341" s="257">
        <f t="shared" si="43"/>
        <v>5362571596.3870955</v>
      </c>
    </row>
    <row r="342" spans="18:27" x14ac:dyDescent="0.25">
      <c r="R342" s="253">
        <f t="shared" si="44"/>
        <v>313</v>
      </c>
      <c r="S342" s="254"/>
      <c r="T342" s="255">
        <f t="shared" si="36"/>
        <v>756576.296600795</v>
      </c>
      <c r="U342" s="256">
        <f t="shared" si="37"/>
        <v>2173633.1687604859</v>
      </c>
      <c r="V342" s="257">
        <f t="shared" si="38"/>
        <v>7081345.0230355114</v>
      </c>
      <c r="W342" s="255">
        <f t="shared" si="39"/>
        <v>357870285.18509209</v>
      </c>
      <c r="X342" s="257">
        <f t="shared" si="40"/>
        <v>5577075500.2425814</v>
      </c>
      <c r="Y342" s="255">
        <f t="shared" si="41"/>
        <v>90047114840.455093</v>
      </c>
      <c r="Z342" s="257">
        <f t="shared" si="42"/>
        <v>9.9380949028796768E+16</v>
      </c>
      <c r="AA342" s="257">
        <f t="shared" si="43"/>
        <v>5577075500.2425814</v>
      </c>
    </row>
    <row r="343" spans="18:27" x14ac:dyDescent="0.25">
      <c r="R343" s="253">
        <f t="shared" si="44"/>
        <v>314</v>
      </c>
      <c r="S343" s="254"/>
      <c r="T343" s="255">
        <f t="shared" si="36"/>
        <v>761364.17808379873</v>
      </c>
      <c r="U343" s="256">
        <f t="shared" si="37"/>
        <v>2196379.50044809</v>
      </c>
      <c r="V343" s="257">
        <f t="shared" si="38"/>
        <v>7188580.1983810421</v>
      </c>
      <c r="W343" s="255">
        <f t="shared" si="39"/>
        <v>368607423.74064487</v>
      </c>
      <c r="X343" s="257">
        <f t="shared" si="40"/>
        <v>5800159560.2522831</v>
      </c>
      <c r="Y343" s="255">
        <f t="shared" si="41"/>
        <v>94549471632.477859</v>
      </c>
      <c r="Z343" s="257">
        <f t="shared" si="42"/>
        <v>1.0931904393167755E+17</v>
      </c>
      <c r="AA343" s="257">
        <f t="shared" si="43"/>
        <v>5800159560.2522831</v>
      </c>
    </row>
    <row r="344" spans="18:27" x14ac:dyDescent="0.25">
      <c r="R344" s="253">
        <f t="shared" si="44"/>
        <v>315</v>
      </c>
      <c r="S344" s="254"/>
      <c r="T344" s="255">
        <f t="shared" si="36"/>
        <v>766175.99897421768</v>
      </c>
      <c r="U344" s="256">
        <f t="shared" si="37"/>
        <v>2219353.2954525705</v>
      </c>
      <c r="V344" s="257">
        <f t="shared" si="38"/>
        <v>7297423.9013567576</v>
      </c>
      <c r="W344" s="255">
        <f t="shared" si="39"/>
        <v>379666676.45286417</v>
      </c>
      <c r="X344" s="257">
        <f t="shared" si="40"/>
        <v>6032166982.6623745</v>
      </c>
      <c r="Y344" s="255">
        <f t="shared" si="41"/>
        <v>99276946264.101746</v>
      </c>
      <c r="Z344" s="257">
        <f t="shared" si="42"/>
        <v>1.2025094832484643E+17</v>
      </c>
      <c r="AA344" s="257">
        <f t="shared" si="43"/>
        <v>6032166982.6623745</v>
      </c>
    </row>
    <row r="345" spans="18:27" x14ac:dyDescent="0.25">
      <c r="R345" s="253">
        <f t="shared" si="44"/>
        <v>316</v>
      </c>
      <c r="S345" s="254"/>
      <c r="T345" s="255">
        <f t="shared" si="36"/>
        <v>771011.87896908831</v>
      </c>
      <c r="U345" s="256">
        <f t="shared" si="37"/>
        <v>2242556.8284070962</v>
      </c>
      <c r="V345" s="257">
        <f t="shared" si="38"/>
        <v>7407900.2598771071</v>
      </c>
      <c r="W345" s="255">
        <f t="shared" si="39"/>
        <v>391057706.74645013</v>
      </c>
      <c r="X345" s="257">
        <f t="shared" si="40"/>
        <v>6273454701.9688721</v>
      </c>
      <c r="Y345" s="255">
        <f t="shared" si="41"/>
        <v>104240794627.30682</v>
      </c>
      <c r="Z345" s="257">
        <f t="shared" si="42"/>
        <v>1.3227604315733218E+17</v>
      </c>
      <c r="AA345" s="257">
        <f t="shared" si="43"/>
        <v>6273454701.9688721</v>
      </c>
    </row>
    <row r="346" spans="18:27" x14ac:dyDescent="0.25">
      <c r="R346" s="253">
        <f t="shared" si="44"/>
        <v>317</v>
      </c>
      <c r="S346" s="254"/>
      <c r="T346" s="255">
        <f t="shared" si="36"/>
        <v>775871.93836393382</v>
      </c>
      <c r="U346" s="256">
        <f t="shared" si="37"/>
        <v>2265992.3966911673</v>
      </c>
      <c r="V346" s="257">
        <f t="shared" si="38"/>
        <v>7520033.7637752648</v>
      </c>
      <c r="W346" s="255">
        <f t="shared" si="39"/>
        <v>402790467.94884354</v>
      </c>
      <c r="X346" s="257">
        <f t="shared" si="40"/>
        <v>6524393930.0476274</v>
      </c>
      <c r="Y346" s="255">
        <f t="shared" si="41"/>
        <v>109452835408.6722</v>
      </c>
      <c r="Z346" s="257">
        <f t="shared" si="42"/>
        <v>1.455036474730665E+17</v>
      </c>
      <c r="AA346" s="257">
        <f t="shared" si="43"/>
        <v>6524393930.0476274</v>
      </c>
    </row>
    <row r="347" spans="18:27" x14ac:dyDescent="0.25">
      <c r="R347" s="253">
        <f t="shared" si="44"/>
        <v>318</v>
      </c>
      <c r="S347" s="254"/>
      <c r="T347" s="255">
        <f t="shared" si="36"/>
        <v>780756.29805575334</v>
      </c>
      <c r="U347" s="256">
        <f t="shared" si="37"/>
        <v>2289662.3206580793</v>
      </c>
      <c r="V347" s="257">
        <f t="shared" si="38"/>
        <v>7633849.2702318914</v>
      </c>
      <c r="W347" s="255">
        <f t="shared" si="39"/>
        <v>414875211.98730886</v>
      </c>
      <c r="X347" s="257">
        <f t="shared" si="40"/>
        <v>6785370727.2495308</v>
      </c>
      <c r="Y347" s="255">
        <f t="shared" si="41"/>
        <v>114925478229.10574</v>
      </c>
      <c r="Z347" s="257">
        <f t="shared" si="42"/>
        <v>1.6005401222037424E+17</v>
      </c>
      <c r="AA347" s="257">
        <f t="shared" si="43"/>
        <v>6785370727.2495308</v>
      </c>
    </row>
    <row r="348" spans="18:27" x14ac:dyDescent="0.25">
      <c r="R348" s="253">
        <f t="shared" si="44"/>
        <v>319</v>
      </c>
      <c r="S348" s="254"/>
      <c r="T348" s="255">
        <f t="shared" si="36"/>
        <v>785665.07954603201</v>
      </c>
      <c r="U348" s="256">
        <f t="shared" si="37"/>
        <v>2313568.9438646599</v>
      </c>
      <c r="V348" s="257">
        <f t="shared" si="38"/>
        <v>7749372.009285368</v>
      </c>
      <c r="W348" s="255">
        <f t="shared" si="39"/>
        <v>427322498.34692818</v>
      </c>
      <c r="X348" s="257">
        <f t="shared" si="40"/>
        <v>7056786596.33951</v>
      </c>
      <c r="Y348" s="255">
        <f t="shared" si="41"/>
        <v>120671753190.5611</v>
      </c>
      <c r="Z348" s="257">
        <f t="shared" si="42"/>
        <v>1.760594134424128E+17</v>
      </c>
      <c r="AA348" s="257">
        <f t="shared" si="43"/>
        <v>7056786596.33951</v>
      </c>
    </row>
    <row r="349" spans="18:27" x14ac:dyDescent="0.25">
      <c r="R349" s="253">
        <f t="shared" si="44"/>
        <v>320</v>
      </c>
      <c r="S349" s="254"/>
      <c r="T349" s="255">
        <f t="shared" si="36"/>
        <v>790598.40494376211</v>
      </c>
      <c r="U349" s="256">
        <f t="shared" si="37"/>
        <v>2337714.6333033065</v>
      </c>
      <c r="V349" s="257">
        <f t="shared" si="38"/>
        <v>7866627.5894246474</v>
      </c>
      <c r="W349" s="255">
        <f t="shared" si="39"/>
        <v>440143203.29733598</v>
      </c>
      <c r="X349" s="257">
        <f t="shared" si="40"/>
        <v>7339059100.1930933</v>
      </c>
      <c r="Y349" s="255">
        <f t="shared" si="41"/>
        <v>126705341900.08913</v>
      </c>
      <c r="Z349" s="257">
        <f t="shared" si="42"/>
        <v>1.936653547866552E+17</v>
      </c>
      <c r="AA349" s="257">
        <f t="shared" si="43"/>
        <v>7339059100.1930933</v>
      </c>
    </row>
    <row r="350" spans="18:27" x14ac:dyDescent="0.25">
      <c r="R350" s="253">
        <f t="shared" si="44"/>
        <v>321</v>
      </c>
      <c r="S350" s="254"/>
      <c r="T350" s="255">
        <f t="shared" si="36"/>
        <v>795556.39696848078</v>
      </c>
      <c r="U350" s="256">
        <f t="shared" si="37"/>
        <v>2362101.7796363402</v>
      </c>
      <c r="V350" s="257">
        <f t="shared" si="38"/>
        <v>7985642.0032660179</v>
      </c>
      <c r="W350" s="255">
        <f t="shared" si="39"/>
        <v>453348529.39625603</v>
      </c>
      <c r="X350" s="257">
        <f t="shared" si="40"/>
        <v>7632622504.2008171</v>
      </c>
      <c r="Y350" s="255">
        <f t="shared" si="41"/>
        <v>133040610045.0936</v>
      </c>
      <c r="Z350" s="257">
        <f t="shared" si="42"/>
        <v>2.1303189026532179E+17</v>
      </c>
      <c r="AA350" s="257">
        <f t="shared" si="43"/>
        <v>7632622504.2008171</v>
      </c>
    </row>
    <row r="351" spans="18:27" x14ac:dyDescent="0.25">
      <c r="R351" s="253">
        <f t="shared" si="44"/>
        <v>322</v>
      </c>
      <c r="S351" s="254"/>
      <c r="T351" s="255">
        <f t="shared" ref="T351:T414" si="45">IF($M$12="Both(No x value)","Do more",$F$23*(((1+$T$29)^(R351)-1)/$T$29)*(1+$T$29))</f>
        <v>800539.17895332293</v>
      </c>
      <c r="U351" s="256">
        <f t="shared" ref="U351:U414" si="46">IF($M$12="Both(No x value)","Do more",$F$23*(((1+$U$29)^(R351)-1)/$U$29)*(1+$U$29))</f>
        <v>2386732.797432703</v>
      </c>
      <c r="V351" s="257">
        <f t="shared" ref="V351:V414" si="47">IF($M$12="Both(No x value)","Do more",$F$23*(((1+$V$29)^(R351)-1)/$V$29)*(1+$V$29))</f>
        <v>8106441.6333150063</v>
      </c>
      <c r="W351" s="255">
        <f t="shared" ref="W351:W414" si="48">IF($M$12="Both(No x value)","Do more",$F$23*(((1+W$29)^(R351)-1)/$W$29)*(1+$W$29))</f>
        <v>466950015.27814364</v>
      </c>
      <c r="X351" s="257">
        <f t="shared" ref="X351:X414" si="49">IF(M333="Both(No x value)","Do more",$F$23*(((1+$X$29)^(R351)-1)/$X$29)*(1+$X$29))</f>
        <v>7937928444.3688507</v>
      </c>
      <c r="Y351" s="255">
        <f t="shared" ref="Y351:Y414" si="50">IF(M333="Both(No x value)","Do more",$F$23*(((1+$Y$29)^(R351)-1)/$Y$29)*(1+$Y$29))</f>
        <v>139692641597.3483</v>
      </c>
      <c r="Z351" s="257">
        <f t="shared" ref="Z351:Z414" si="51">IF(M333="Both(No x value)","Do more",$F$23*(((1+$Z$29)^(R351)-1)/$Z$29)*(1+$Z$29))</f>
        <v>2.343350792918551E+17</v>
      </c>
      <c r="AA351" s="257">
        <f t="shared" ref="AA351:AA414" si="52">IF(M333="Both(No x value)","Do more",$F$23*(((1+$AA$29)^(R351)-1)/$AA$29)*(1+$AA$29))</f>
        <v>7937928444.3688507</v>
      </c>
    </row>
    <row r="352" spans="18:27" x14ac:dyDescent="0.25">
      <c r="R352" s="253">
        <f t="shared" ref="R352:R415" si="53">1+R351</f>
        <v>323</v>
      </c>
      <c r="S352" s="254"/>
      <c r="T352" s="255">
        <f t="shared" si="45"/>
        <v>805546.87484808941</v>
      </c>
      <c r="U352" s="256">
        <f t="shared" si="46"/>
        <v>2411610.1254070299</v>
      </c>
      <c r="V352" s="257">
        <f t="shared" si="47"/>
        <v>8229053.2578147305</v>
      </c>
      <c r="W352" s="255">
        <f t="shared" si="48"/>
        <v>480959545.73648804</v>
      </c>
      <c r="X352" s="257">
        <f t="shared" si="49"/>
        <v>8255446622.1436043</v>
      </c>
      <c r="Y352" s="255">
        <f t="shared" si="50"/>
        <v>146677274727.21573</v>
      </c>
      <c r="Z352" s="257">
        <f t="shared" si="51"/>
        <v>2.5776858722104179E+17</v>
      </c>
      <c r="AA352" s="257">
        <f t="shared" si="52"/>
        <v>8255446622.1436043</v>
      </c>
    </row>
    <row r="353" spans="18:27" x14ac:dyDescent="0.25">
      <c r="R353" s="253">
        <f t="shared" si="53"/>
        <v>324</v>
      </c>
      <c r="S353" s="254"/>
      <c r="T353" s="255">
        <f t="shared" si="45"/>
        <v>810579.60922232969</v>
      </c>
      <c r="U353" s="256">
        <f t="shared" si="46"/>
        <v>2436736.2266611005</v>
      </c>
      <c r="V353" s="257">
        <f t="shared" si="47"/>
        <v>8353504.0566819506</v>
      </c>
      <c r="W353" s="255">
        <f t="shared" si="48"/>
        <v>495389362.10858262</v>
      </c>
      <c r="X353" s="257">
        <f t="shared" si="49"/>
        <v>8585665527.0293493</v>
      </c>
      <c r="Y353" s="255">
        <f t="shared" si="50"/>
        <v>154011139513.57645</v>
      </c>
      <c r="Z353" s="257">
        <f t="shared" si="51"/>
        <v>2.8354544594314701E+17</v>
      </c>
      <c r="AA353" s="257">
        <f t="shared" si="52"/>
        <v>8585665527.0293493</v>
      </c>
    </row>
    <row r="354" spans="18:27" x14ac:dyDescent="0.25">
      <c r="R354" s="253">
        <f t="shared" si="53"/>
        <v>325</v>
      </c>
      <c r="S354" s="254"/>
      <c r="T354" s="255">
        <f t="shared" si="45"/>
        <v>815637.50726844103</v>
      </c>
      <c r="U354" s="256">
        <f t="shared" si="46"/>
        <v>2462113.5889277114</v>
      </c>
      <c r="V354" s="257">
        <f t="shared" si="47"/>
        <v>8479821.6175321788</v>
      </c>
      <c r="W354" s="255">
        <f t="shared" si="48"/>
        <v>510252072.97184002</v>
      </c>
      <c r="X354" s="257">
        <f t="shared" si="49"/>
        <v>8929093188.1105232</v>
      </c>
      <c r="Y354" s="255">
        <f t="shared" si="50"/>
        <v>161711697539.25531</v>
      </c>
      <c r="Z354" s="257">
        <f t="shared" si="51"/>
        <v>3.1189999053746285E+17</v>
      </c>
      <c r="AA354" s="257">
        <f t="shared" si="52"/>
        <v>8929093188.1105232</v>
      </c>
    </row>
    <row r="355" spans="18:27" x14ac:dyDescent="0.25">
      <c r="R355" s="253">
        <f t="shared" si="53"/>
        <v>326</v>
      </c>
      <c r="S355" s="254"/>
      <c r="T355" s="255">
        <f t="shared" si="45"/>
        <v>820720.6948047831</v>
      </c>
      <c r="U355" s="256">
        <f t="shared" si="46"/>
        <v>2487744.7248169892</v>
      </c>
      <c r="V355" s="257">
        <f t="shared" si="47"/>
        <v>8608033.9417951591</v>
      </c>
      <c r="W355" s="255">
        <f t="shared" si="48"/>
        <v>525560665.16099524</v>
      </c>
      <c r="X355" s="257">
        <f t="shared" si="49"/>
        <v>9286257955.6349468</v>
      </c>
      <c r="Y355" s="255">
        <f t="shared" si="50"/>
        <v>169797283466.21805</v>
      </c>
      <c r="Z355" s="257">
        <f t="shared" si="51"/>
        <v>3.430899895912103E+17</v>
      </c>
      <c r="AA355" s="257">
        <f t="shared" si="52"/>
        <v>9286257955.6349468</v>
      </c>
    </row>
    <row r="356" spans="18:27" x14ac:dyDescent="0.25">
      <c r="R356" s="253">
        <f t="shared" si="53"/>
        <v>327</v>
      </c>
      <c r="S356" s="254"/>
      <c r="T356" s="255">
        <f t="shared" si="45"/>
        <v>825829.29827880696</v>
      </c>
      <c r="U356" s="256">
        <f t="shared" si="46"/>
        <v>2513632.1720651574</v>
      </c>
      <c r="V356" s="257">
        <f t="shared" si="47"/>
        <v>8738169.450922085</v>
      </c>
      <c r="W356" s="255">
        <f t="shared" si="48"/>
        <v>541328515.11582518</v>
      </c>
      <c r="X356" s="257">
        <f t="shared" si="49"/>
        <v>9657709313.8603439</v>
      </c>
      <c r="Y356" s="255">
        <f t="shared" si="50"/>
        <v>178287148689.52899</v>
      </c>
      <c r="Z356" s="257">
        <f t="shared" si="51"/>
        <v>3.7739898855033248E+17</v>
      </c>
      <c r="AA356" s="257">
        <f t="shared" si="52"/>
        <v>9657709313.8603439</v>
      </c>
    </row>
    <row r="357" spans="18:27" x14ac:dyDescent="0.25">
      <c r="R357" s="253">
        <f t="shared" si="53"/>
        <v>328</v>
      </c>
      <c r="S357" s="254"/>
      <c r="T357" s="255">
        <f t="shared" si="45"/>
        <v>830963.44477020076</v>
      </c>
      <c r="U357" s="256">
        <f t="shared" si="46"/>
        <v>2539778.4937858107</v>
      </c>
      <c r="V357" s="257">
        <f t="shared" si="47"/>
        <v>8870256.9926859159</v>
      </c>
      <c r="W357" s="255">
        <f t="shared" si="48"/>
        <v>557569400.56929982</v>
      </c>
      <c r="X357" s="257">
        <f t="shared" si="49"/>
        <v>10044018726.414757</v>
      </c>
      <c r="Y357" s="255">
        <f t="shared" si="50"/>
        <v>187201507174.00543</v>
      </c>
      <c r="Z357" s="257">
        <f t="shared" si="51"/>
        <v>4.1513888740536685E+17</v>
      </c>
      <c r="AA357" s="257">
        <f t="shared" si="52"/>
        <v>10044018726.414757</v>
      </c>
    </row>
    <row r="358" spans="18:27" x14ac:dyDescent="0.25">
      <c r="R358" s="253">
        <f t="shared" si="53"/>
        <v>329</v>
      </c>
      <c r="S358" s="254"/>
      <c r="T358" s="255">
        <f t="shared" si="45"/>
        <v>836123.26199405175</v>
      </c>
      <c r="U358" s="256">
        <f t="shared" si="46"/>
        <v>2566186.2787236688</v>
      </c>
      <c r="V358" s="257">
        <f t="shared" si="47"/>
        <v>9004325.847576201</v>
      </c>
      <c r="W358" s="255">
        <f t="shared" si="48"/>
        <v>574297512.58637881</v>
      </c>
      <c r="X358" s="257">
        <f t="shared" si="49"/>
        <v>10445780515.471348</v>
      </c>
      <c r="Y358" s="255">
        <f t="shared" si="50"/>
        <v>196561583582.70569</v>
      </c>
      <c r="Z358" s="257">
        <f t="shared" si="51"/>
        <v>4.5665277614590464E+17</v>
      </c>
      <c r="AA358" s="257">
        <f t="shared" si="52"/>
        <v>10445780515.471348</v>
      </c>
    </row>
    <row r="359" spans="18:27" x14ac:dyDescent="0.25">
      <c r="R359" s="253">
        <f t="shared" si="53"/>
        <v>330</v>
      </c>
      <c r="S359" s="254"/>
      <c r="T359" s="255">
        <f t="shared" si="45"/>
        <v>841308.87830402167</v>
      </c>
      <c r="U359" s="256">
        <f t="shared" si="46"/>
        <v>2592858.1415109057</v>
      </c>
      <c r="V359" s="257">
        <f t="shared" si="47"/>
        <v>9140405.7352898456</v>
      </c>
      <c r="W359" s="255">
        <f t="shared" si="48"/>
        <v>591527467.96397007</v>
      </c>
      <c r="X359" s="257">
        <f t="shared" si="49"/>
        <v>10863612776.090202</v>
      </c>
      <c r="Y359" s="255">
        <f t="shared" si="50"/>
        <v>206389663811.84097</v>
      </c>
      <c r="Z359" s="257">
        <f t="shared" si="51"/>
        <v>5.0231805376049619E+17</v>
      </c>
      <c r="AA359" s="257">
        <f t="shared" si="52"/>
        <v>10863612776.090202</v>
      </c>
    </row>
    <row r="360" spans="18:27" x14ac:dyDescent="0.25">
      <c r="R360" s="253">
        <f t="shared" si="53"/>
        <v>331</v>
      </c>
      <c r="S360" s="254"/>
      <c r="T360" s="255">
        <f t="shared" si="45"/>
        <v>846520.42269554175</v>
      </c>
      <c r="U360" s="256">
        <f t="shared" si="46"/>
        <v>2619796.7229260136</v>
      </c>
      <c r="V360" s="257">
        <f t="shared" si="47"/>
        <v>9278526.8213191926</v>
      </c>
      <c r="W360" s="255">
        <f t="shared" si="48"/>
        <v>609274322.00288939</v>
      </c>
      <c r="X360" s="257">
        <f t="shared" si="49"/>
        <v>11298158327.133808</v>
      </c>
      <c r="Y360" s="255">
        <f t="shared" si="50"/>
        <v>216709148052.43304</v>
      </c>
      <c r="Z360" s="257">
        <f t="shared" si="51"/>
        <v>5.5254985913654701E+17</v>
      </c>
      <c r="AA360" s="257">
        <f t="shared" si="52"/>
        <v>11298158327.133808</v>
      </c>
    </row>
    <row r="361" spans="18:27" x14ac:dyDescent="0.25">
      <c r="R361" s="253">
        <f t="shared" si="53"/>
        <v>332</v>
      </c>
      <c r="S361" s="254"/>
      <c r="T361" s="255">
        <f t="shared" si="45"/>
        <v>851758.02480901929</v>
      </c>
      <c r="U361" s="256">
        <f t="shared" si="46"/>
        <v>2647004.6901552742</v>
      </c>
      <c r="V361" s="257">
        <f t="shared" si="47"/>
        <v>9418719.7236389779</v>
      </c>
      <c r="W361" s="255">
        <f t="shared" si="48"/>
        <v>627553581.66297603</v>
      </c>
      <c r="X361" s="257">
        <f t="shared" si="49"/>
        <v>11750085700.219162</v>
      </c>
      <c r="Y361" s="255">
        <f t="shared" si="50"/>
        <v>227544606505.05466</v>
      </c>
      <c r="Z361" s="257">
        <f t="shared" si="51"/>
        <v>6.0780484505020275E+17</v>
      </c>
      <c r="AA361" s="257">
        <f t="shared" si="52"/>
        <v>11750085700.219162</v>
      </c>
    </row>
    <row r="362" spans="18:27" x14ac:dyDescent="0.25">
      <c r="R362" s="253">
        <f t="shared" si="53"/>
        <v>333</v>
      </c>
      <c r="S362" s="254"/>
      <c r="T362" s="255">
        <f t="shared" si="45"/>
        <v>857021.81493306416</v>
      </c>
      <c r="U362" s="256">
        <f t="shared" si="46"/>
        <v>2674484.7370568272</v>
      </c>
      <c r="V362" s="257">
        <f t="shared" si="47"/>
        <v>9561015.5194935612</v>
      </c>
      <c r="W362" s="255">
        <f t="shared" si="48"/>
        <v>646381219.11286521</v>
      </c>
      <c r="X362" s="257">
        <f t="shared" si="49"/>
        <v>12220090168.22793</v>
      </c>
      <c r="Y362" s="255">
        <f t="shared" si="50"/>
        <v>238921837880.30746</v>
      </c>
      <c r="Z362" s="257">
        <f t="shared" si="51"/>
        <v>6.6858532955522419E+17</v>
      </c>
      <c r="AA362" s="257">
        <f t="shared" si="52"/>
        <v>12220090168.22793</v>
      </c>
    </row>
    <row r="363" spans="18:27" x14ac:dyDescent="0.25">
      <c r="R363" s="253">
        <f t="shared" si="53"/>
        <v>334</v>
      </c>
      <c r="S363" s="254"/>
      <c r="T363" s="255">
        <f t="shared" si="45"/>
        <v>862311.92400772928</v>
      </c>
      <c r="U363" s="256">
        <f t="shared" si="46"/>
        <v>2702239.5844273954</v>
      </c>
      <c r="V363" s="257">
        <f t="shared" si="47"/>
        <v>9705445.7522859629</v>
      </c>
      <c r="W363" s="255">
        <f t="shared" si="48"/>
        <v>665773685.68625128</v>
      </c>
      <c r="X363" s="257">
        <f t="shared" si="49"/>
        <v>12708894814.95705</v>
      </c>
      <c r="Y363" s="255">
        <f t="shared" si="50"/>
        <v>250867930824.32275</v>
      </c>
      <c r="Z363" s="257">
        <f t="shared" si="51"/>
        <v>7.3544386251074778E+17</v>
      </c>
      <c r="AA363" s="257">
        <f t="shared" si="52"/>
        <v>12708894814.95705</v>
      </c>
    </row>
    <row r="364" spans="18:27" x14ac:dyDescent="0.25">
      <c r="R364" s="253">
        <f t="shared" si="53"/>
        <v>335</v>
      </c>
      <c r="S364" s="254"/>
      <c r="T364" s="255">
        <f t="shared" si="45"/>
        <v>867628.48362776777</v>
      </c>
      <c r="U364" s="256">
        <f t="shared" si="46"/>
        <v>2730271.9802716691</v>
      </c>
      <c r="V364" s="257">
        <f t="shared" si="47"/>
        <v>9852042.4385702517</v>
      </c>
      <c r="W364" s="255">
        <f t="shared" si="48"/>
        <v>685747926.25683892</v>
      </c>
      <c r="X364" s="257">
        <f t="shared" si="49"/>
        <v>13217251647.55533</v>
      </c>
      <c r="Y364" s="255">
        <f t="shared" si="50"/>
        <v>263411328415.53897</v>
      </c>
      <c r="Z364" s="257">
        <f t="shared" si="51"/>
        <v>8.0898824876182374E+17</v>
      </c>
      <c r="AA364" s="257">
        <f t="shared" si="52"/>
        <v>13217251647.55533</v>
      </c>
    </row>
    <row r="365" spans="18:27" x14ac:dyDescent="0.25">
      <c r="R365" s="253">
        <f t="shared" si="53"/>
        <v>336</v>
      </c>
      <c r="S365" s="254"/>
      <c r="T365" s="255">
        <f t="shared" si="45"/>
        <v>872971.62604590645</v>
      </c>
      <c r="U365" s="256">
        <f t="shared" si="46"/>
        <v>2758584.7000743863</v>
      </c>
      <c r="V365" s="257">
        <f t="shared" si="47"/>
        <v>10000838.075148802</v>
      </c>
      <c r="W365" s="255">
        <f t="shared" si="48"/>
        <v>706321394.04454374</v>
      </c>
      <c r="X365" s="257">
        <f t="shared" si="49"/>
        <v>13745942753.457548</v>
      </c>
      <c r="Y365" s="255">
        <f t="shared" si="50"/>
        <v>276581895886.31592</v>
      </c>
      <c r="Z365" s="257">
        <f t="shared" si="51"/>
        <v>8.8988707363800717E+17</v>
      </c>
      <c r="AA365" s="257">
        <f t="shared" si="52"/>
        <v>13745942753.457548</v>
      </c>
    </row>
    <row r="366" spans="18:27" x14ac:dyDescent="0.25">
      <c r="R366" s="253">
        <f t="shared" si="53"/>
        <v>337</v>
      </c>
      <c r="S366" s="254"/>
      <c r="T366" s="255">
        <f t="shared" si="45"/>
        <v>878341.48417613597</v>
      </c>
      <c r="U366" s="256">
        <f t="shared" si="46"/>
        <v>2787180.54707513</v>
      </c>
      <c r="V366" s="257">
        <f t="shared" si="47"/>
        <v>10151865.646276034</v>
      </c>
      <c r="W366" s="255">
        <f t="shared" si="48"/>
        <v>727512065.86588037</v>
      </c>
      <c r="X366" s="257">
        <f t="shared" si="49"/>
        <v>14295781503.595846</v>
      </c>
      <c r="Y366" s="255">
        <f t="shared" si="50"/>
        <v>290410991730.63171</v>
      </c>
      <c r="Z366" s="257">
        <f t="shared" si="51"/>
        <v>9.788757810018089E+17</v>
      </c>
      <c r="AA366" s="257">
        <f t="shared" si="52"/>
        <v>14295781503.595846</v>
      </c>
    </row>
    <row r="367" spans="18:27" x14ac:dyDescent="0.25">
      <c r="R367" s="253">
        <f t="shared" si="53"/>
        <v>338</v>
      </c>
      <c r="S367" s="254"/>
      <c r="T367" s="255">
        <f t="shared" si="45"/>
        <v>883738.1915970163</v>
      </c>
      <c r="U367" s="256">
        <f t="shared" si="46"/>
        <v>2816062.3525458821</v>
      </c>
      <c r="V367" s="257">
        <f t="shared" si="47"/>
        <v>10305158.630970174</v>
      </c>
      <c r="W367" s="255">
        <f t="shared" si="48"/>
        <v>749338457.84185672</v>
      </c>
      <c r="X367" s="257">
        <f t="shared" si="49"/>
        <v>14867613803.739685</v>
      </c>
      <c r="Y367" s="255">
        <f t="shared" si="50"/>
        <v>304931542367.16333</v>
      </c>
      <c r="Z367" s="257">
        <f t="shared" si="51"/>
        <v>1.0767633591019912E+18</v>
      </c>
      <c r="AA367" s="257">
        <f t="shared" si="52"/>
        <v>14867613803.739685</v>
      </c>
    </row>
    <row r="368" spans="18:27" x14ac:dyDescent="0.25">
      <c r="R368" s="253">
        <f t="shared" si="53"/>
        <v>339</v>
      </c>
      <c r="S368" s="254"/>
      <c r="T368" s="255">
        <f t="shared" si="45"/>
        <v>889161.8825550013</v>
      </c>
      <c r="U368" s="256">
        <f t="shared" si="46"/>
        <v>2845232.97607134</v>
      </c>
      <c r="V368" s="257">
        <f t="shared" si="47"/>
        <v>10460751.010434724</v>
      </c>
      <c r="W368" s="255">
        <f t="shared" si="48"/>
        <v>771819641.5771122</v>
      </c>
      <c r="X368" s="257">
        <f t="shared" si="49"/>
        <v>15462319395.889267</v>
      </c>
      <c r="Y368" s="255">
        <f t="shared" si="50"/>
        <v>320178120535.52148</v>
      </c>
      <c r="Z368" s="257">
        <f t="shared" si="51"/>
        <v>1.1844396950121917E+18</v>
      </c>
      <c r="AA368" s="257">
        <f t="shared" si="52"/>
        <v>15462319395.889267</v>
      </c>
    </row>
    <row r="369" spans="18:27" x14ac:dyDescent="0.25">
      <c r="R369" s="253">
        <f t="shared" si="53"/>
        <v>340</v>
      </c>
      <c r="S369" s="254"/>
      <c r="T369" s="255">
        <f t="shared" si="45"/>
        <v>894612.69196777616</v>
      </c>
      <c r="U369" s="256">
        <f t="shared" si="46"/>
        <v>2874695.305832054</v>
      </c>
      <c r="V369" s="257">
        <f t="shared" si="47"/>
        <v>10618677.275591245</v>
      </c>
      <c r="W369" s="255">
        <f t="shared" si="48"/>
        <v>794975260.82442558</v>
      </c>
      <c r="X369" s="257">
        <f t="shared" si="49"/>
        <v>16080813211.72484</v>
      </c>
      <c r="Y369" s="255">
        <f t="shared" si="50"/>
        <v>336187027612.29749</v>
      </c>
      <c r="Z369" s="257">
        <f t="shared" si="51"/>
        <v>1.3028836645134118E+18</v>
      </c>
      <c r="AA369" s="257">
        <f t="shared" si="52"/>
        <v>16080813211.72484</v>
      </c>
    </row>
    <row r="370" spans="18:27" x14ac:dyDescent="0.25">
      <c r="R370" s="253">
        <f t="shared" si="53"/>
        <v>341</v>
      </c>
      <c r="S370" s="254"/>
      <c r="T370" s="255">
        <f t="shared" si="45"/>
        <v>900090.75542761479</v>
      </c>
      <c r="U370" s="256">
        <f t="shared" si="46"/>
        <v>2904452.2588903736</v>
      </c>
      <c r="V370" s="257">
        <f t="shared" si="47"/>
        <v>10778972.434725113</v>
      </c>
      <c r="W370" s="255">
        <f t="shared" si="48"/>
        <v>818825548.64915824</v>
      </c>
      <c r="X370" s="257">
        <f t="shared" si="49"/>
        <v>16724046780.193838</v>
      </c>
      <c r="Y370" s="255">
        <f t="shared" si="50"/>
        <v>352996380042.91241</v>
      </c>
      <c r="Z370" s="257">
        <f t="shared" si="51"/>
        <v>1.4331720309647544E+18</v>
      </c>
      <c r="AA370" s="257">
        <f t="shared" si="52"/>
        <v>16724046780.193838</v>
      </c>
    </row>
    <row r="371" spans="18:27" x14ac:dyDescent="0.25">
      <c r="R371" s="253">
        <f t="shared" si="53"/>
        <v>342</v>
      </c>
      <c r="S371" s="254"/>
      <c r="T371" s="255">
        <f t="shared" si="45"/>
        <v>905596.20920475258</v>
      </c>
      <c r="U371" s="256">
        <f t="shared" si="46"/>
        <v>2934506.7814792781</v>
      </c>
      <c r="V371" s="257">
        <f t="shared" si="47"/>
        <v>10941672.021245984</v>
      </c>
      <c r="W371" s="255">
        <f t="shared" si="48"/>
        <v>843391345.10863304</v>
      </c>
      <c r="X371" s="257">
        <f t="shared" si="49"/>
        <v>17393009691.401596</v>
      </c>
      <c r="Y371" s="255">
        <f t="shared" si="50"/>
        <v>370646200095.05798</v>
      </c>
      <c r="Z371" s="257">
        <f t="shared" si="51"/>
        <v>1.5764892340612308E+18</v>
      </c>
      <c r="AA371" s="257">
        <f t="shared" si="52"/>
        <v>17393009691.401596</v>
      </c>
    </row>
    <row r="372" spans="18:27" x14ac:dyDescent="0.25">
      <c r="R372" s="253">
        <f t="shared" si="53"/>
        <v>343</v>
      </c>
      <c r="S372" s="254"/>
      <c r="T372" s="255">
        <f t="shared" si="45"/>
        <v>911129.19025077624</v>
      </c>
      <c r="U372" s="256">
        <f t="shared" si="46"/>
        <v>2964861.8492940702</v>
      </c>
      <c r="V372" s="257">
        <f t="shared" si="47"/>
        <v>11106812.101564676</v>
      </c>
      <c r="W372" s="255">
        <f t="shared" si="48"/>
        <v>868694115.46189213</v>
      </c>
      <c r="X372" s="257">
        <f t="shared" si="49"/>
        <v>18088731119.057652</v>
      </c>
      <c r="Y372" s="255">
        <f t="shared" si="50"/>
        <v>389178511149.81104</v>
      </c>
      <c r="Z372" s="257">
        <f t="shared" si="51"/>
        <v>1.7341381574673551E+18</v>
      </c>
      <c r="AA372" s="257">
        <f t="shared" si="52"/>
        <v>18088731119.057652</v>
      </c>
    </row>
    <row r="373" spans="18:27" x14ac:dyDescent="0.25">
      <c r="R373" s="253">
        <f t="shared" si="53"/>
        <v>344</v>
      </c>
      <c r="S373" s="254"/>
      <c r="T373" s="255">
        <f t="shared" si="45"/>
        <v>916689.83620203019</v>
      </c>
      <c r="U373" s="256">
        <f t="shared" si="46"/>
        <v>2995520.467787012</v>
      </c>
      <c r="V373" s="257">
        <f t="shared" si="47"/>
        <v>11274429.283088142</v>
      </c>
      <c r="W373" s="255">
        <f t="shared" si="48"/>
        <v>894755968.92574883</v>
      </c>
      <c r="X373" s="257">
        <f t="shared" si="49"/>
        <v>18812281403.819958</v>
      </c>
      <c r="Y373" s="255">
        <f t="shared" si="50"/>
        <v>408637437757.30145</v>
      </c>
      <c r="Z373" s="257">
        <f t="shared" si="51"/>
        <v>1.9075519732140913E+18</v>
      </c>
      <c r="AA373" s="257">
        <f t="shared" si="52"/>
        <v>18812281403.819958</v>
      </c>
    </row>
    <row r="374" spans="18:27" x14ac:dyDescent="0.25">
      <c r="R374" s="253">
        <f t="shared" si="53"/>
        <v>345</v>
      </c>
      <c r="S374" s="254"/>
      <c r="T374" s="255">
        <f t="shared" si="45"/>
        <v>922278.2853830402</v>
      </c>
      <c r="U374" s="256">
        <f t="shared" si="46"/>
        <v>3026485.6724648825</v>
      </c>
      <c r="V374" s="257">
        <f t="shared" si="47"/>
        <v>11444560.722334465</v>
      </c>
      <c r="W374" s="255">
        <f t="shared" si="48"/>
        <v>921599677.99352121</v>
      </c>
      <c r="X374" s="257">
        <f t="shared" si="49"/>
        <v>19564773699.972759</v>
      </c>
      <c r="Y374" s="255">
        <f t="shared" si="50"/>
        <v>429069310695.16656</v>
      </c>
      <c r="Z374" s="257">
        <f t="shared" si="51"/>
        <v>2.0983071705355026E+18</v>
      </c>
      <c r="AA374" s="257">
        <f t="shared" si="52"/>
        <v>19564773699.972759</v>
      </c>
    </row>
    <row r="375" spans="18:27" x14ac:dyDescent="0.25">
      <c r="R375" s="253">
        <f t="shared" si="53"/>
        <v>346</v>
      </c>
      <c r="S375" s="254"/>
      <c r="T375" s="255">
        <f t="shared" si="45"/>
        <v>927894.67680995516</v>
      </c>
      <c r="U375" s="256">
        <f t="shared" si="46"/>
        <v>3057760.5291895312</v>
      </c>
      <c r="V375" s="257">
        <f t="shared" si="47"/>
        <v>11617244.13316948</v>
      </c>
      <c r="W375" s="255">
        <f t="shared" si="48"/>
        <v>949248698.33332705</v>
      </c>
      <c r="X375" s="257">
        <f t="shared" si="49"/>
        <v>20347365687.971672</v>
      </c>
      <c r="Y375" s="255">
        <f t="shared" si="50"/>
        <v>450522777279.92493</v>
      </c>
      <c r="Z375" s="257">
        <f t="shared" si="51"/>
        <v>2.308137887589054E+18</v>
      </c>
      <c r="AA375" s="257">
        <f t="shared" si="52"/>
        <v>20347365687.971672</v>
      </c>
    </row>
    <row r="376" spans="18:27" x14ac:dyDescent="0.25">
      <c r="R376" s="253">
        <f t="shared" si="53"/>
        <v>347</v>
      </c>
      <c r="S376" s="254"/>
      <c r="T376" s="255">
        <f t="shared" si="45"/>
        <v>933539.15019400476</v>
      </c>
      <c r="U376" s="256">
        <f t="shared" si="46"/>
        <v>3089348.1344814254</v>
      </c>
      <c r="V376" s="257">
        <f t="shared" si="47"/>
        <v>11792517.795167021</v>
      </c>
      <c r="W376" s="255">
        <f t="shared" si="48"/>
        <v>977727189.28332663</v>
      </c>
      <c r="X376" s="257">
        <f t="shared" si="49"/>
        <v>21161261355.49054</v>
      </c>
      <c r="Y376" s="255">
        <f t="shared" si="50"/>
        <v>473048917193.92126</v>
      </c>
      <c r="Z376" s="257">
        <f t="shared" si="51"/>
        <v>2.5389516763479608E+18</v>
      </c>
      <c r="AA376" s="257">
        <f t="shared" si="52"/>
        <v>21161261355.49054</v>
      </c>
    </row>
    <row r="377" spans="18:27" x14ac:dyDescent="0.25">
      <c r="R377" s="253">
        <f t="shared" si="53"/>
        <v>348</v>
      </c>
      <c r="S377" s="254"/>
      <c r="T377" s="255">
        <f t="shared" si="45"/>
        <v>939211.84594497457</v>
      </c>
      <c r="U377" s="256">
        <f t="shared" si="46"/>
        <v>3121251.6158262398</v>
      </c>
      <c r="V377" s="257">
        <f t="shared" si="47"/>
        <v>11970420.562094523</v>
      </c>
      <c r="W377" s="255">
        <f t="shared" si="48"/>
        <v>1007060034.9618264</v>
      </c>
      <c r="X377" s="257">
        <f t="shared" si="49"/>
        <v>22007712849.710167</v>
      </c>
      <c r="Y377" s="255">
        <f t="shared" si="50"/>
        <v>496701364103.61725</v>
      </c>
      <c r="Z377" s="257">
        <f t="shared" si="51"/>
        <v>2.7928468439827579E+18</v>
      </c>
      <c r="AA377" s="257">
        <f t="shared" si="52"/>
        <v>22007712849.710167</v>
      </c>
    </row>
    <row r="378" spans="18:27" x14ac:dyDescent="0.25">
      <c r="R378" s="253">
        <f t="shared" si="53"/>
        <v>349</v>
      </c>
      <c r="S378" s="254"/>
      <c r="T378" s="255">
        <f t="shared" si="45"/>
        <v>944912.90517469938</v>
      </c>
      <c r="U378" s="256">
        <f t="shared" si="46"/>
        <v>3153474.1319845025</v>
      </c>
      <c r="V378" s="257">
        <f t="shared" si="47"/>
        <v>12150991.870525939</v>
      </c>
      <c r="W378" s="255">
        <f t="shared" si="48"/>
        <v>1037272866.0106813</v>
      </c>
      <c r="X378" s="257">
        <f t="shared" si="49"/>
        <v>22888022403.698574</v>
      </c>
      <c r="Y378" s="255">
        <f t="shared" si="50"/>
        <v>521536433358.79822</v>
      </c>
      <c r="Z378" s="257">
        <f t="shared" si="51"/>
        <v>3.0721315283810345E+18</v>
      </c>
      <c r="AA378" s="257">
        <f t="shared" si="52"/>
        <v>22888022403.698574</v>
      </c>
    </row>
    <row r="379" spans="18:27" x14ac:dyDescent="0.25">
      <c r="R379" s="253">
        <f t="shared" si="53"/>
        <v>350</v>
      </c>
      <c r="S379" s="254"/>
      <c r="T379" s="255">
        <f t="shared" si="45"/>
        <v>950642.46970057255</v>
      </c>
      <c r="U379" s="256">
        <f t="shared" si="46"/>
        <v>3186018.8733043489</v>
      </c>
      <c r="V379" s="257">
        <f t="shared" si="47"/>
        <v>12334271.748583825</v>
      </c>
      <c r="W379" s="255">
        <f t="shared" si="48"/>
        <v>1068392081.9910017</v>
      </c>
      <c r="X379" s="257">
        <f t="shared" si="49"/>
        <v>23803544339.846516</v>
      </c>
      <c r="Y379" s="255">
        <f t="shared" si="50"/>
        <v>547613256076.73792</v>
      </c>
      <c r="Z379" s="257">
        <f t="shared" si="51"/>
        <v>3.3793446812191401E+18</v>
      </c>
      <c r="AA379" s="257">
        <f t="shared" si="52"/>
        <v>23803544339.846516</v>
      </c>
    </row>
    <row r="380" spans="18:27" x14ac:dyDescent="0.25">
      <c r="R380" s="253">
        <f t="shared" si="53"/>
        <v>351</v>
      </c>
      <c r="S380" s="254"/>
      <c r="T380" s="255">
        <f t="shared" si="45"/>
        <v>956400.68204907503</v>
      </c>
      <c r="U380" s="256">
        <f t="shared" si="46"/>
        <v>3218889.0620373916</v>
      </c>
      <c r="V380" s="257">
        <f t="shared" si="47"/>
        <v>12520300.824812582</v>
      </c>
      <c r="W380" s="255">
        <f t="shared" si="48"/>
        <v>1100444874.4507318</v>
      </c>
      <c r="X380" s="257">
        <f t="shared" si="49"/>
        <v>24755687153.440372</v>
      </c>
      <c r="Y380" s="255">
        <f t="shared" si="50"/>
        <v>574993919930.57507</v>
      </c>
      <c r="Z380" s="257">
        <f t="shared" si="51"/>
        <v>3.7172791493410555E+18</v>
      </c>
      <c r="AA380" s="257">
        <f t="shared" si="52"/>
        <v>24755687153.440372</v>
      </c>
    </row>
    <row r="381" spans="18:27" x14ac:dyDescent="0.25">
      <c r="R381" s="253">
        <f t="shared" si="53"/>
        <v>352</v>
      </c>
      <c r="S381" s="254"/>
      <c r="T381" s="255">
        <f t="shared" si="45"/>
        <v>962187.68545932043</v>
      </c>
      <c r="U381" s="256">
        <f t="shared" si="46"/>
        <v>3252087.9526577652</v>
      </c>
      <c r="V381" s="257">
        <f t="shared" si="47"/>
        <v>12709120.337184768</v>
      </c>
      <c r="W381" s="255">
        <f t="shared" si="48"/>
        <v>1133459250.6842537</v>
      </c>
      <c r="X381" s="257">
        <f t="shared" si="49"/>
        <v>25745915679.577991</v>
      </c>
      <c r="Y381" s="255">
        <f t="shared" si="50"/>
        <v>603743616977.10376</v>
      </c>
      <c r="Z381" s="257">
        <f t="shared" si="51"/>
        <v>4.0890070642751621E+18</v>
      </c>
      <c r="AA381" s="257">
        <f t="shared" si="52"/>
        <v>25745915679.577991</v>
      </c>
    </row>
    <row r="382" spans="18:27" x14ac:dyDescent="0.25">
      <c r="R382" s="253">
        <f t="shared" si="53"/>
        <v>353</v>
      </c>
      <c r="S382" s="254"/>
      <c r="T382" s="255">
        <f t="shared" si="45"/>
        <v>968003.62388661678</v>
      </c>
      <c r="U382" s="256">
        <f t="shared" si="46"/>
        <v>3285618.8321843436</v>
      </c>
      <c r="V382" s="257">
        <f t="shared" si="47"/>
        <v>12900772.142242538</v>
      </c>
      <c r="W382" s="255">
        <f t="shared" si="48"/>
        <v>1167464058.2047813</v>
      </c>
      <c r="X382" s="257">
        <f t="shared" si="49"/>
        <v>26775753346.761112</v>
      </c>
      <c r="Y382" s="255">
        <f t="shared" si="50"/>
        <v>633930798875.95898</v>
      </c>
      <c r="Z382" s="257">
        <f t="shared" si="51"/>
        <v>4.4979077707026801E+18</v>
      </c>
      <c r="AA382" s="257">
        <f t="shared" si="52"/>
        <v>26775753346.761112</v>
      </c>
    </row>
    <row r="383" spans="18:27" x14ac:dyDescent="0.25">
      <c r="R383" s="253">
        <f t="shared" si="53"/>
        <v>354</v>
      </c>
      <c r="S383" s="254"/>
      <c r="T383" s="255">
        <f t="shared" si="45"/>
        <v>973848.64200604986</v>
      </c>
      <c r="U383" s="256">
        <f t="shared" si="46"/>
        <v>3319485.0205061859</v>
      </c>
      <c r="V383" s="257">
        <f t="shared" si="47"/>
        <v>13095298.724376174</v>
      </c>
      <c r="W383" s="255">
        <f t="shared" si="48"/>
        <v>1202489009.9509246</v>
      </c>
      <c r="X383" s="257">
        <f t="shared" si="49"/>
        <v>27846784520.631557</v>
      </c>
      <c r="Y383" s="255">
        <f t="shared" si="50"/>
        <v>665627339869.75684</v>
      </c>
      <c r="Z383" s="257">
        <f t="shared" si="51"/>
        <v>4.9476985477729495E+18</v>
      </c>
      <c r="AA383" s="257">
        <f t="shared" si="52"/>
        <v>27846784520.631557</v>
      </c>
    </row>
    <row r="384" spans="18:27" x14ac:dyDescent="0.25">
      <c r="R384" s="253">
        <f t="shared" si="53"/>
        <v>355</v>
      </c>
      <c r="S384" s="254"/>
      <c r="T384" s="255">
        <f t="shared" si="45"/>
        <v>979722.88521607989</v>
      </c>
      <c r="U384" s="256">
        <f t="shared" si="46"/>
        <v>3353689.8707112479</v>
      </c>
      <c r="V384" s="257">
        <f t="shared" si="47"/>
        <v>13292743.205241816</v>
      </c>
      <c r="W384" s="255">
        <f t="shared" si="48"/>
        <v>1238564710.2494526</v>
      </c>
      <c r="X384" s="257">
        <f t="shared" si="49"/>
        <v>28960656941.456821</v>
      </c>
      <c r="Y384" s="255">
        <f t="shared" si="50"/>
        <v>698908707913.24487</v>
      </c>
      <c r="Z384" s="257">
        <f t="shared" si="51"/>
        <v>5.4424684025502454E+18</v>
      </c>
      <c r="AA384" s="257">
        <f t="shared" si="52"/>
        <v>28960656941.456821</v>
      </c>
    </row>
    <row r="385" spans="18:27" x14ac:dyDescent="0.25">
      <c r="R385" s="253">
        <f t="shared" si="53"/>
        <v>356</v>
      </c>
      <c r="S385" s="254"/>
      <c r="T385" s="255">
        <f t="shared" si="45"/>
        <v>985626.49964215991</v>
      </c>
      <c r="U385" s="256">
        <f t="shared" si="46"/>
        <v>3388236.7694183607</v>
      </c>
      <c r="V385" s="257">
        <f t="shared" si="47"/>
        <v>13493149.353320442</v>
      </c>
      <c r="W385" s="255">
        <f t="shared" si="48"/>
        <v>1275722681.5569363</v>
      </c>
      <c r="X385" s="257">
        <f t="shared" si="49"/>
        <v>30119084259.115097</v>
      </c>
      <c r="Y385" s="255">
        <f t="shared" si="50"/>
        <v>733854144358.90686</v>
      </c>
      <c r="Z385" s="257">
        <f t="shared" si="51"/>
        <v>5.9867152428052726E+18</v>
      </c>
      <c r="AA385" s="257">
        <f t="shared" si="52"/>
        <v>30119084259.115097</v>
      </c>
    </row>
    <row r="386" spans="18:27" x14ac:dyDescent="0.25">
      <c r="R386" s="253">
        <f t="shared" si="53"/>
        <v>357</v>
      </c>
      <c r="S386" s="254"/>
      <c r="T386" s="255">
        <f t="shared" si="45"/>
        <v>991559.63214037044</v>
      </c>
      <c r="U386" s="256">
        <f t="shared" si="46"/>
        <v>3423129.1371125439</v>
      </c>
      <c r="V386" s="257">
        <f t="shared" si="47"/>
        <v>13696561.593620246</v>
      </c>
      <c r="W386" s="255">
        <f t="shared" si="48"/>
        <v>1313995392.0036438</v>
      </c>
      <c r="X386" s="257">
        <f t="shared" si="49"/>
        <v>31323848669.479706</v>
      </c>
      <c r="Y386" s="255">
        <f t="shared" si="50"/>
        <v>770546852626.85242</v>
      </c>
      <c r="Z386" s="257">
        <f t="shared" si="51"/>
        <v>6.5853867670857994E+18</v>
      </c>
      <c r="AA386" s="257">
        <f t="shared" si="52"/>
        <v>31323848669.479706</v>
      </c>
    </row>
    <row r="387" spans="18:27" x14ac:dyDescent="0.25">
      <c r="R387" s="253">
        <f t="shared" si="53"/>
        <v>358</v>
      </c>
      <c r="S387" s="254"/>
      <c r="T387" s="255">
        <f t="shared" si="45"/>
        <v>997522.43030107231</v>
      </c>
      <c r="U387" s="256">
        <f t="shared" si="46"/>
        <v>3458370.4284836701</v>
      </c>
      <c r="V387" s="257">
        <f t="shared" si="47"/>
        <v>13903025.017524546</v>
      </c>
      <c r="W387" s="255">
        <f t="shared" si="48"/>
        <v>1353416283.7637532</v>
      </c>
      <c r="X387" s="257">
        <f t="shared" si="49"/>
        <v>32576803656.258892</v>
      </c>
      <c r="Y387" s="255">
        <f t="shared" si="50"/>
        <v>809074196308.19482</v>
      </c>
      <c r="Z387" s="257">
        <f t="shared" si="51"/>
        <v>7.2439254437943818E+18</v>
      </c>
      <c r="AA387" s="257">
        <f t="shared" si="52"/>
        <v>32576803656.258892</v>
      </c>
    </row>
    <row r="388" spans="18:27" x14ac:dyDescent="0.25">
      <c r="R388" s="253">
        <f t="shared" si="53"/>
        <v>359</v>
      </c>
      <c r="S388" s="254"/>
      <c r="T388" s="255">
        <f t="shared" si="45"/>
        <v>1003515.0424525776</v>
      </c>
      <c r="U388" s="256">
        <f t="shared" si="46"/>
        <v>3493964.1327685057</v>
      </c>
      <c r="V388" s="257">
        <f t="shared" si="47"/>
        <v>14112585.392787416</v>
      </c>
      <c r="W388" s="255">
        <f t="shared" si="48"/>
        <v>1394019802.2766659</v>
      </c>
      <c r="X388" s="257">
        <f t="shared" si="49"/>
        <v>33879876842.509247</v>
      </c>
      <c r="Y388" s="255">
        <f t="shared" si="50"/>
        <v>849527907173.60461</v>
      </c>
      <c r="Z388" s="257">
        <f t="shared" si="51"/>
        <v>7.968317988173822E+18</v>
      </c>
      <c r="AA388" s="257">
        <f t="shared" si="52"/>
        <v>33879876842.509247</v>
      </c>
    </row>
    <row r="389" spans="18:27" x14ac:dyDescent="0.25">
      <c r="R389" s="253">
        <f t="shared" si="53"/>
        <v>360</v>
      </c>
      <c r="S389" s="254"/>
      <c r="T389" s="255">
        <f t="shared" si="45"/>
        <v>1009537.6176648403</v>
      </c>
      <c r="U389" s="256">
        <f t="shared" si="46"/>
        <v>3529913.7740961914</v>
      </c>
      <c r="V389" s="257">
        <f t="shared" si="47"/>
        <v>14325289.173679223</v>
      </c>
      <c r="W389" s="255">
        <f t="shared" si="48"/>
        <v>1435841426.3449659</v>
      </c>
      <c r="X389" s="257">
        <f t="shared" si="49"/>
        <v>35235072956.209625</v>
      </c>
      <c r="Y389" s="255">
        <f t="shared" si="50"/>
        <v>892004303582.28491</v>
      </c>
      <c r="Z389" s="257">
        <f t="shared" si="51"/>
        <v>8.7651497869912044E+18</v>
      </c>
      <c r="AA389" s="257">
        <f t="shared" si="52"/>
        <v>35235072956.209625</v>
      </c>
    </row>
    <row r="390" spans="18:27" x14ac:dyDescent="0.25">
      <c r="R390" s="253">
        <f t="shared" si="53"/>
        <v>361</v>
      </c>
      <c r="S390" s="254"/>
      <c r="T390" s="255">
        <f t="shared" si="45"/>
        <v>1015590.3057531642</v>
      </c>
      <c r="U390" s="256">
        <f t="shared" si="46"/>
        <v>3566222.9118371541</v>
      </c>
      <c r="V390" s="257">
        <f t="shared" si="47"/>
        <v>14541183.511284411</v>
      </c>
      <c r="W390" s="255">
        <f t="shared" si="48"/>
        <v>1478917699.1353149</v>
      </c>
      <c r="X390" s="257">
        <f t="shared" si="49"/>
        <v>36644476914.458</v>
      </c>
      <c r="Y390" s="255">
        <f t="shared" si="50"/>
        <v>936604519811.39905</v>
      </c>
      <c r="Z390" s="257">
        <f t="shared" si="51"/>
        <v>9.641664765690327E+18</v>
      </c>
      <c r="AA390" s="257">
        <f t="shared" si="52"/>
        <v>36644476914.458</v>
      </c>
    </row>
    <row r="391" spans="18:27" x14ac:dyDescent="0.25">
      <c r="R391" s="253">
        <f t="shared" si="53"/>
        <v>362</v>
      </c>
      <c r="S391" s="254"/>
      <c r="T391" s="255">
        <f t="shared" si="45"/>
        <v>1021673.25728193</v>
      </c>
      <c r="U391" s="256">
        <f t="shared" si="46"/>
        <v>3602895.1409555259</v>
      </c>
      <c r="V391" s="257">
        <f t="shared" si="47"/>
        <v>14760316.263953676</v>
      </c>
      <c r="W391" s="255">
        <f t="shared" si="48"/>
        <v>1523286260.1093745</v>
      </c>
      <c r="X391" s="257">
        <f t="shared" si="49"/>
        <v>38110257031.036331</v>
      </c>
      <c r="Y391" s="255">
        <f t="shared" si="50"/>
        <v>983434746851.96912</v>
      </c>
      <c r="Z391" s="257">
        <f t="shared" si="51"/>
        <v>1.060583124225936E+19</v>
      </c>
      <c r="AA391" s="257">
        <f t="shared" si="52"/>
        <v>38110257031.036331</v>
      </c>
    </row>
    <row r="392" spans="18:27" x14ac:dyDescent="0.25">
      <c r="R392" s="253">
        <f t="shared" si="53"/>
        <v>363</v>
      </c>
      <c r="S392" s="254"/>
      <c r="T392" s="255">
        <f t="shared" si="45"/>
        <v>1027786.6235683395</v>
      </c>
      <c r="U392" s="256">
        <f t="shared" si="46"/>
        <v>3639934.092365081</v>
      </c>
      <c r="V392" s="257">
        <f t="shared" si="47"/>
        <v>14982736.007912977</v>
      </c>
      <c r="W392" s="255">
        <f t="shared" si="48"/>
        <v>1568985877.9126556</v>
      </c>
      <c r="X392" s="257">
        <f t="shared" si="49"/>
        <v>39634668352.277779</v>
      </c>
      <c r="Y392" s="255">
        <f t="shared" si="50"/>
        <v>1032606485244.5677</v>
      </c>
      <c r="Z392" s="257">
        <f t="shared" si="51"/>
        <v>1.1666414366485301E+19</v>
      </c>
      <c r="AA392" s="257">
        <f t="shared" si="52"/>
        <v>39634668352.277779</v>
      </c>
    </row>
    <row r="393" spans="18:27" x14ac:dyDescent="0.25">
      <c r="R393" s="253">
        <f t="shared" si="53"/>
        <v>364</v>
      </c>
      <c r="S393" s="254"/>
      <c r="T393" s="255">
        <f t="shared" si="45"/>
        <v>1033930.5566861808</v>
      </c>
      <c r="U393" s="256">
        <f t="shared" si="46"/>
        <v>3677343.4332887311</v>
      </c>
      <c r="V393" s="257">
        <f t="shared" si="47"/>
        <v>15208492.048031667</v>
      </c>
      <c r="W393" s="255">
        <f t="shared" si="48"/>
        <v>1616056484.250035</v>
      </c>
      <c r="X393" s="257">
        <f t="shared" si="49"/>
        <v>41220056126.368896</v>
      </c>
      <c r="Y393" s="255">
        <f t="shared" si="50"/>
        <v>1084236810556.7958</v>
      </c>
      <c r="Z393" s="257">
        <f t="shared" si="51"/>
        <v>1.2833055803133833E+19</v>
      </c>
      <c r="AA393" s="257">
        <f t="shared" si="52"/>
        <v>41220056126.368896</v>
      </c>
    </row>
    <row r="394" spans="18:27" x14ac:dyDescent="0.25">
      <c r="R394" s="253">
        <f t="shared" si="53"/>
        <v>365</v>
      </c>
      <c r="S394" s="254"/>
      <c r="T394" s="255">
        <f t="shared" si="45"/>
        <v>1040105.2094696113</v>
      </c>
      <c r="U394" s="256">
        <f t="shared" si="46"/>
        <v>3715126.8676216188</v>
      </c>
      <c r="V394" s="257">
        <f t="shared" si="47"/>
        <v>15437634.428752143</v>
      </c>
      <c r="W394" s="255">
        <f t="shared" si="48"/>
        <v>1664539208.7775359</v>
      </c>
      <c r="X394" s="257">
        <f t="shared" si="49"/>
        <v>42868859411.423653</v>
      </c>
      <c r="Y394" s="255">
        <f t="shared" si="50"/>
        <v>1138448652134.636</v>
      </c>
      <c r="Z394" s="257">
        <f t="shared" si="51"/>
        <v>1.4116361383447218E+19</v>
      </c>
      <c r="AA394" s="257">
        <f t="shared" si="52"/>
        <v>42868859411.423653</v>
      </c>
    </row>
    <row r="395" spans="18:27" x14ac:dyDescent="0.25">
      <c r="R395" s="253">
        <f t="shared" si="53"/>
        <v>366</v>
      </c>
      <c r="S395" s="254"/>
      <c r="T395" s="255">
        <f t="shared" si="45"/>
        <v>1046310.7355169595</v>
      </c>
      <c r="U395" s="256">
        <f t="shared" si="46"/>
        <v>3753288.136297836</v>
      </c>
      <c r="V395" s="257">
        <f t="shared" si="47"/>
        <v>15670213.945183422</v>
      </c>
      <c r="W395" s="255">
        <f t="shared" si="48"/>
        <v>1714476415.0408621</v>
      </c>
      <c r="X395" s="257">
        <f t="shared" si="49"/>
        <v>44583614827.880608</v>
      </c>
      <c r="Y395" s="255">
        <f t="shared" si="50"/>
        <v>1195371085791.3677</v>
      </c>
      <c r="Z395" s="257">
        <f t="shared" si="51"/>
        <v>1.5527997521791947E+19</v>
      </c>
      <c r="AA395" s="257">
        <f t="shared" si="52"/>
        <v>44583614827.880608</v>
      </c>
    </row>
    <row r="396" spans="18:27" x14ac:dyDescent="0.25">
      <c r="R396" s="253">
        <f t="shared" si="53"/>
        <v>367</v>
      </c>
      <c r="S396" s="254"/>
      <c r="T396" s="255">
        <f t="shared" si="45"/>
        <v>1052547.2891945438</v>
      </c>
      <c r="U396" s="256">
        <f t="shared" si="46"/>
        <v>3791831.0176608125</v>
      </c>
      <c r="V396" s="257">
        <f t="shared" si="47"/>
        <v>15906282.154361172</v>
      </c>
      <c r="W396" s="255">
        <f t="shared" si="48"/>
        <v>1765911737.4920883</v>
      </c>
      <c r="X396" s="257">
        <f t="shared" si="49"/>
        <v>46366960460.995827</v>
      </c>
      <c r="Y396" s="255">
        <f t="shared" si="50"/>
        <v>1255139641130.936</v>
      </c>
      <c r="Z396" s="257">
        <f t="shared" si="51"/>
        <v>1.7080797273971141E+19</v>
      </c>
      <c r="AA396" s="257">
        <f t="shared" si="52"/>
        <v>46366960460.995827</v>
      </c>
    </row>
    <row r="397" spans="18:27" x14ac:dyDescent="0.25">
      <c r="R397" s="253">
        <f t="shared" si="53"/>
        <v>368</v>
      </c>
      <c r="S397" s="254"/>
      <c r="T397" s="255">
        <f t="shared" si="45"/>
        <v>1058815.0256405168</v>
      </c>
      <c r="U397" s="256">
        <f t="shared" si="46"/>
        <v>3830759.3278374216</v>
      </c>
      <c r="V397" s="257">
        <f t="shared" si="47"/>
        <v>16145891.386676585</v>
      </c>
      <c r="W397" s="255">
        <f t="shared" si="48"/>
        <v>1818890119.6168509</v>
      </c>
      <c r="X397" s="257">
        <f t="shared" si="49"/>
        <v>48221639919.435669</v>
      </c>
      <c r="Y397" s="255">
        <f t="shared" si="50"/>
        <v>1317896624237.4829</v>
      </c>
      <c r="Z397" s="257">
        <f t="shared" si="51"/>
        <v>1.8788877001368257E+19</v>
      </c>
      <c r="AA397" s="257">
        <f t="shared" si="52"/>
        <v>48221639919.435669</v>
      </c>
    </row>
    <row r="398" spans="18:27" x14ac:dyDescent="0.25">
      <c r="R398" s="253">
        <f t="shared" si="53"/>
        <v>369</v>
      </c>
      <c r="S398" s="254"/>
      <c r="T398" s="255">
        <f t="shared" si="45"/>
        <v>1065114.1007687193</v>
      </c>
      <c r="U398" s="256">
        <f t="shared" si="46"/>
        <v>3870076.9211157965</v>
      </c>
      <c r="V398" s="257">
        <f t="shared" si="47"/>
        <v>16389094.75747673</v>
      </c>
      <c r="W398" s="255">
        <f t="shared" si="48"/>
        <v>1873457853.2053559</v>
      </c>
      <c r="X398" s="257">
        <f t="shared" si="49"/>
        <v>50150506556.213089</v>
      </c>
      <c r="Y398" s="255">
        <f t="shared" si="50"/>
        <v>1383791456499.3572</v>
      </c>
      <c r="Z398" s="257">
        <f t="shared" si="51"/>
        <v>2.0667764701505085E+19</v>
      </c>
      <c r="AA398" s="257">
        <f t="shared" si="52"/>
        <v>50150506556.213089</v>
      </c>
    </row>
    <row r="399" spans="18:27" x14ac:dyDescent="0.25">
      <c r="R399" s="253">
        <f t="shared" si="53"/>
        <v>370</v>
      </c>
      <c r="S399" s="254"/>
      <c r="T399" s="255">
        <f t="shared" si="45"/>
        <v>1071444.6712725621</v>
      </c>
      <c r="U399" s="256">
        <f t="shared" si="46"/>
        <v>3909787.6903269547</v>
      </c>
      <c r="V399" s="257">
        <f t="shared" si="47"/>
        <v>16635946.178838883</v>
      </c>
      <c r="W399" s="255">
        <f t="shared" si="48"/>
        <v>1929662618.8015165</v>
      </c>
      <c r="X399" s="257">
        <f t="shared" si="49"/>
        <v>52156527858.461632</v>
      </c>
      <c r="Y399" s="255">
        <f t="shared" si="50"/>
        <v>1452981030374.3254</v>
      </c>
      <c r="Z399" s="257">
        <f t="shared" si="51"/>
        <v>2.2734541171655594E+19</v>
      </c>
      <c r="AA399" s="257">
        <f t="shared" si="52"/>
        <v>52156527858.461632</v>
      </c>
    </row>
    <row r="400" spans="18:27" x14ac:dyDescent="0.25">
      <c r="R400" s="253">
        <f t="shared" si="53"/>
        <v>371</v>
      </c>
      <c r="S400" s="254"/>
      <c r="T400" s="255">
        <f t="shared" si="45"/>
        <v>1077806.894628925</v>
      </c>
      <c r="U400" s="256">
        <f t="shared" si="46"/>
        <v>3949895.5672302232</v>
      </c>
      <c r="V400" s="257">
        <f t="shared" si="47"/>
        <v>16886500.371521465</v>
      </c>
      <c r="W400" s="255">
        <f t="shared" si="48"/>
        <v>1987553527.365562</v>
      </c>
      <c r="X400" s="257">
        <f t="shared" si="49"/>
        <v>54242790012.800079</v>
      </c>
      <c r="Y400" s="255">
        <f t="shared" si="50"/>
        <v>1525630082943.0413</v>
      </c>
      <c r="Z400" s="257">
        <f t="shared" si="51"/>
        <v>2.5007995288821154E+19</v>
      </c>
      <c r="AA400" s="257">
        <f t="shared" si="52"/>
        <v>54242790012.800079</v>
      </c>
    </row>
    <row r="401" spans="18:27" x14ac:dyDescent="0.25">
      <c r="R401" s="253">
        <f t="shared" si="53"/>
        <v>372</v>
      </c>
      <c r="S401" s="254"/>
      <c r="T401" s="255">
        <f t="shared" si="45"/>
        <v>1084200.9291020692</v>
      </c>
      <c r="U401" s="256">
        <f t="shared" si="46"/>
        <v>3990404.522902526</v>
      </c>
      <c r="V401" s="257">
        <f t="shared" si="47"/>
        <v>17140812.877094284</v>
      </c>
      <c r="W401" s="255">
        <f t="shared" si="48"/>
        <v>2047181163.1865289</v>
      </c>
      <c r="X401" s="257">
        <f t="shared" si="49"/>
        <v>56412502653.312096</v>
      </c>
      <c r="Y401" s="255">
        <f t="shared" si="50"/>
        <v>1601911588140.1936</v>
      </c>
      <c r="Z401" s="257">
        <f t="shared" si="51"/>
        <v>2.7508794817703281E+19</v>
      </c>
      <c r="AA401" s="257">
        <f t="shared" si="52"/>
        <v>56412502653.312096</v>
      </c>
    </row>
    <row r="402" spans="18:27" x14ac:dyDescent="0.25">
      <c r="R402" s="253">
        <f t="shared" si="53"/>
        <v>373</v>
      </c>
      <c r="S402" s="254"/>
      <c r="T402" s="255">
        <f t="shared" si="45"/>
        <v>1090626.9337475796</v>
      </c>
      <c r="U402" s="256">
        <f t="shared" si="46"/>
        <v>4031318.5681315507</v>
      </c>
      <c r="V402" s="257">
        <f t="shared" si="47"/>
        <v>17398940.070250694</v>
      </c>
      <c r="W402" s="255">
        <f t="shared" si="48"/>
        <v>2108597628.0821242</v>
      </c>
      <c r="X402" s="257">
        <f t="shared" si="49"/>
        <v>58669003799.444588</v>
      </c>
      <c r="Y402" s="255">
        <f t="shared" si="50"/>
        <v>1682007168597.2026</v>
      </c>
      <c r="Z402" s="257">
        <f t="shared" si="51"/>
        <v>3.0259674299473601E+19</v>
      </c>
      <c r="AA402" s="257">
        <f t="shared" si="52"/>
        <v>58669003799.444588</v>
      </c>
    </row>
    <row r="403" spans="18:27" x14ac:dyDescent="0.25">
      <c r="R403" s="253">
        <f t="shared" si="53"/>
        <v>374</v>
      </c>
      <c r="S403" s="254"/>
      <c r="T403" s="255">
        <f t="shared" si="45"/>
        <v>1097085.068416317</v>
      </c>
      <c r="U403" s="256">
        <f t="shared" si="46"/>
        <v>4072641.7538128677</v>
      </c>
      <c r="V403" s="257">
        <f t="shared" si="47"/>
        <v>17660939.171304449</v>
      </c>
      <c r="W403" s="255">
        <f t="shared" si="48"/>
        <v>2171856586.9245887</v>
      </c>
      <c r="X403" s="257">
        <f t="shared" si="49"/>
        <v>61015764991.422371</v>
      </c>
      <c r="Y403" s="255">
        <f t="shared" si="50"/>
        <v>1766107528077.063</v>
      </c>
      <c r="Z403" s="257">
        <f t="shared" si="51"/>
        <v>3.3285641729420972E+19</v>
      </c>
      <c r="AA403" s="257">
        <f t="shared" si="52"/>
        <v>61015764991.422371</v>
      </c>
    </row>
    <row r="404" spans="18:27" x14ac:dyDescent="0.25">
      <c r="R404" s="253">
        <f t="shared" si="53"/>
        <v>375</v>
      </c>
      <c r="S404" s="254"/>
      <c r="T404" s="255">
        <f t="shared" si="45"/>
        <v>1103575.4937583988</v>
      </c>
      <c r="U404" s="256">
        <f t="shared" si="46"/>
        <v>4114378.1713509951</v>
      </c>
      <c r="V404" s="257">
        <f t="shared" si="47"/>
        <v>17926868.258874018</v>
      </c>
      <c r="W404" s="255">
        <f t="shared" si="48"/>
        <v>2237013314.5323257</v>
      </c>
      <c r="X404" s="257">
        <f t="shared" si="49"/>
        <v>63456396631.079254</v>
      </c>
      <c r="Y404" s="255">
        <f t="shared" si="50"/>
        <v>1854412905530.9163</v>
      </c>
      <c r="Z404" s="257">
        <f t="shared" si="51"/>
        <v>3.661420590236307E+19</v>
      </c>
      <c r="AA404" s="257">
        <f t="shared" si="52"/>
        <v>63456396631.079254</v>
      </c>
    </row>
    <row r="405" spans="18:27" x14ac:dyDescent="0.25">
      <c r="R405" s="253">
        <f t="shared" si="53"/>
        <v>376</v>
      </c>
      <c r="S405" s="254"/>
      <c r="T405" s="255">
        <f t="shared" si="45"/>
        <v>1110098.3712271906</v>
      </c>
      <c r="U405" s="256">
        <f t="shared" si="46"/>
        <v>4156531.953064505</v>
      </c>
      <c r="V405" s="257">
        <f t="shared" si="47"/>
        <v>18196786.282757122</v>
      </c>
      <c r="W405" s="255">
        <f t="shared" si="48"/>
        <v>2304124743.9682956</v>
      </c>
      <c r="X405" s="257">
        <f t="shared" si="49"/>
        <v>65994653536.322426</v>
      </c>
      <c r="Y405" s="255">
        <f t="shared" si="50"/>
        <v>1947133551857.4622</v>
      </c>
      <c r="Z405" s="257">
        <f t="shared" si="51"/>
        <v>4.027562649259937E+19</v>
      </c>
      <c r="AA405" s="257">
        <f t="shared" si="52"/>
        <v>65994653536.322426</v>
      </c>
    </row>
    <row r="406" spans="18:27" x14ac:dyDescent="0.25">
      <c r="R406" s="253">
        <f t="shared" si="53"/>
        <v>377</v>
      </c>
      <c r="S406" s="254"/>
      <c r="T406" s="255">
        <f t="shared" si="45"/>
        <v>1116653.8630833263</v>
      </c>
      <c r="U406" s="256">
        <f t="shared" si="46"/>
        <v>4199107.2725951504</v>
      </c>
      <c r="V406" s="257">
        <f t="shared" si="47"/>
        <v>18470753.07699848</v>
      </c>
      <c r="W406" s="255">
        <f t="shared" si="48"/>
        <v>2373249516.2873449</v>
      </c>
      <c r="X406" s="257">
        <f t="shared" si="49"/>
        <v>68634440717.77536</v>
      </c>
      <c r="Y406" s="255">
        <f t="shared" si="50"/>
        <v>2044490230500.3354</v>
      </c>
      <c r="Z406" s="257">
        <f t="shared" si="51"/>
        <v>4.4303189141859328E+19</v>
      </c>
      <c r="AA406" s="257">
        <f t="shared" si="52"/>
        <v>68634440717.77536</v>
      </c>
    </row>
    <row r="407" spans="18:27" x14ac:dyDescent="0.25">
      <c r="R407" s="253">
        <f t="shared" si="53"/>
        <v>378</v>
      </c>
      <c r="S407" s="254"/>
      <c r="T407" s="255">
        <f t="shared" si="45"/>
        <v>1123242.1323987427</v>
      </c>
      <c r="U407" s="256">
        <f t="shared" si="46"/>
        <v>4242108.3453211021</v>
      </c>
      <c r="V407" s="257">
        <f t="shared" si="47"/>
        <v>18748829.373153448</v>
      </c>
      <c r="W407" s="255">
        <f t="shared" si="48"/>
        <v>2444448031.7759647</v>
      </c>
      <c r="X407" s="257">
        <f t="shared" si="49"/>
        <v>71379819386.486343</v>
      </c>
      <c r="Y407" s="255">
        <f t="shared" si="50"/>
        <v>2146714743075.3523</v>
      </c>
      <c r="Z407" s="257">
        <f t="shared" si="51"/>
        <v>4.8733508056045257E+19</v>
      </c>
      <c r="AA407" s="257">
        <f t="shared" si="52"/>
        <v>71379819386.486343</v>
      </c>
    </row>
    <row r="408" spans="18:27" x14ac:dyDescent="0.25">
      <c r="R408" s="253">
        <f t="shared" si="53"/>
        <v>379</v>
      </c>
      <c r="S408" s="254"/>
      <c r="T408" s="255">
        <f t="shared" si="45"/>
        <v>1129863.3430607361</v>
      </c>
      <c r="U408" s="256">
        <f t="shared" si="46"/>
        <v>4285539.4287743121</v>
      </c>
      <c r="V408" s="257">
        <f t="shared" si="47"/>
        <v>19031076.813750751</v>
      </c>
      <c r="W408" s="255">
        <f t="shared" si="48"/>
        <v>2517782502.7292442</v>
      </c>
      <c r="X408" s="257">
        <f t="shared" si="49"/>
        <v>74235013201.945816</v>
      </c>
      <c r="Y408" s="255">
        <f t="shared" si="50"/>
        <v>2254050481279.1201</v>
      </c>
      <c r="Z408" s="257">
        <f t="shared" si="51"/>
        <v>5.3606858861649797E+19</v>
      </c>
      <c r="AA408" s="257">
        <f t="shared" si="52"/>
        <v>74235013201.945816</v>
      </c>
    </row>
    <row r="409" spans="18:27" x14ac:dyDescent="0.25">
      <c r="R409" s="253">
        <f t="shared" si="53"/>
        <v>380</v>
      </c>
      <c r="S409" s="254"/>
      <c r="T409" s="255">
        <f t="shared" si="45"/>
        <v>1136517.6597760397</v>
      </c>
      <c r="U409" s="256">
        <f t="shared" si="46"/>
        <v>4329404.8230620567</v>
      </c>
      <c r="V409" s="257">
        <f t="shared" si="47"/>
        <v>19317557.965957008</v>
      </c>
      <c r="W409" s="255">
        <f t="shared" si="48"/>
        <v>2593317007.8111215</v>
      </c>
      <c r="X409" s="257">
        <f t="shared" si="49"/>
        <v>77204414770.023666</v>
      </c>
      <c r="Y409" s="255">
        <f t="shared" si="50"/>
        <v>2366753006393.0757</v>
      </c>
      <c r="Z409" s="257">
        <f t="shared" si="51"/>
        <v>5.8967544747814756E+19</v>
      </c>
      <c r="AA409" s="257">
        <f t="shared" si="52"/>
        <v>77204414770.023666</v>
      </c>
    </row>
    <row r="410" spans="18:27" x14ac:dyDescent="0.25">
      <c r="R410" s="253">
        <f t="shared" si="53"/>
        <v>381</v>
      </c>
      <c r="S410" s="254"/>
      <c r="T410" s="255">
        <f t="shared" si="45"/>
        <v>1143205.2480749197</v>
      </c>
      <c r="U410" s="256">
        <f t="shared" si="46"/>
        <v>4373708.8712926777</v>
      </c>
      <c r="V410" s="257">
        <f t="shared" si="47"/>
        <v>19608336.335446365</v>
      </c>
      <c r="W410" s="255">
        <f t="shared" si="48"/>
        <v>2671117548.0454545</v>
      </c>
      <c r="X410" s="257">
        <f t="shared" si="49"/>
        <v>80292592400.824615</v>
      </c>
      <c r="Y410" s="255">
        <f t="shared" si="50"/>
        <v>2485090657762.73</v>
      </c>
      <c r="Z410" s="257">
        <f t="shared" si="51"/>
        <v>6.4864299222596256E+19</v>
      </c>
      <c r="AA410" s="257">
        <f t="shared" si="52"/>
        <v>80292592400.824615</v>
      </c>
    </row>
    <row r="411" spans="18:27" x14ac:dyDescent="0.25">
      <c r="R411" s="253">
        <f t="shared" si="53"/>
        <v>382</v>
      </c>
      <c r="S411" s="254"/>
      <c r="T411" s="255">
        <f t="shared" si="45"/>
        <v>1149926.2743152941</v>
      </c>
      <c r="U411" s="256">
        <f t="shared" si="46"/>
        <v>4418455.9600056037</v>
      </c>
      <c r="V411" s="257">
        <f t="shared" si="47"/>
        <v>19903476.380478051</v>
      </c>
      <c r="W411" s="255">
        <f t="shared" si="48"/>
        <v>2751252104.4868178</v>
      </c>
      <c r="X411" s="257">
        <f t="shared" si="49"/>
        <v>83504297136.857574</v>
      </c>
      <c r="Y411" s="255">
        <f t="shared" si="50"/>
        <v>2609345191700.8652</v>
      </c>
      <c r="Z411" s="257">
        <f t="shared" si="51"/>
        <v>7.1350729144855896E+19</v>
      </c>
      <c r="AA411" s="257">
        <f t="shared" si="52"/>
        <v>83504297136.857574</v>
      </c>
    </row>
    <row r="412" spans="18:27" x14ac:dyDescent="0.25">
      <c r="R412" s="253">
        <f t="shared" si="53"/>
        <v>383</v>
      </c>
      <c r="S412" s="254"/>
      <c r="T412" s="255">
        <f t="shared" si="45"/>
        <v>1156680.9056868702</v>
      </c>
      <c r="U412" s="256">
        <f t="shared" si="46"/>
        <v>4463650.5196056589</v>
      </c>
      <c r="V412" s="257">
        <f t="shared" si="47"/>
        <v>20203043.526185218</v>
      </c>
      <c r="W412" s="255">
        <f t="shared" si="48"/>
        <v>2833790697.6214228</v>
      </c>
      <c r="X412" s="257">
        <f t="shared" si="49"/>
        <v>86844470062.331879</v>
      </c>
      <c r="Y412" s="255">
        <f t="shared" si="50"/>
        <v>2739812452335.9097</v>
      </c>
      <c r="Z412" s="257">
        <f t="shared" si="51"/>
        <v>7.848580205934148E+19</v>
      </c>
      <c r="AA412" s="257">
        <f t="shared" si="52"/>
        <v>86844470062.331879</v>
      </c>
    </row>
    <row r="413" spans="18:27" x14ac:dyDescent="0.25">
      <c r="R413" s="253">
        <f t="shared" si="53"/>
        <v>384</v>
      </c>
      <c r="S413" s="254"/>
      <c r="T413" s="255">
        <f t="shared" si="45"/>
        <v>1163469.3102153044</v>
      </c>
      <c r="U413" s="256">
        <f t="shared" si="46"/>
        <v>4509297.0248017162</v>
      </c>
      <c r="V413" s="257">
        <f t="shared" si="47"/>
        <v>20507104.179077998</v>
      </c>
      <c r="W413" s="255">
        <f t="shared" si="48"/>
        <v>2918805448.550065</v>
      </c>
      <c r="X413" s="257">
        <f t="shared" si="49"/>
        <v>90318249904.82518</v>
      </c>
      <c r="Y413" s="255">
        <f t="shared" si="50"/>
        <v>2876803076002.7051</v>
      </c>
      <c r="Z413" s="257">
        <f t="shared" si="51"/>
        <v>8.633438226527563E+19</v>
      </c>
      <c r="AA413" s="257">
        <f t="shared" si="52"/>
        <v>90318249904.82518</v>
      </c>
    </row>
    <row r="414" spans="18:27" x14ac:dyDescent="0.25">
      <c r="R414" s="253">
        <f t="shared" si="53"/>
        <v>385</v>
      </c>
      <c r="S414" s="254"/>
      <c r="T414" s="255">
        <f t="shared" si="45"/>
        <v>1170291.6567663809</v>
      </c>
      <c r="U414" s="256">
        <f t="shared" si="46"/>
        <v>4555399.9950497337</v>
      </c>
      <c r="V414" s="257">
        <f t="shared" si="47"/>
        <v>20815725.741764169</v>
      </c>
      <c r="W414" s="255">
        <f t="shared" si="48"/>
        <v>3006370642.006567</v>
      </c>
      <c r="X414" s="257">
        <f t="shared" si="49"/>
        <v>93930980941.018188</v>
      </c>
      <c r="Y414" s="255">
        <f t="shared" si="50"/>
        <v>3020643230852.8403</v>
      </c>
      <c r="Z414" s="257">
        <f t="shared" si="51"/>
        <v>9.4967820491803197E+19</v>
      </c>
      <c r="AA414" s="257">
        <f t="shared" si="52"/>
        <v>93930980941.018188</v>
      </c>
    </row>
    <row r="415" spans="18:27" x14ac:dyDescent="0.25">
      <c r="R415" s="253">
        <f t="shared" si="53"/>
        <v>386</v>
      </c>
      <c r="S415" s="254"/>
      <c r="T415" s="255">
        <f t="shared" ref="T415:T457" si="54">IF($M$12="Both(No x value)","Do more",$F$23*(((1+$T$29)^(R415)-1)/$T$29)*(1+$T$29))</f>
        <v>1177148.1150502127</v>
      </c>
      <c r="U415" s="256">
        <f t="shared" ref="U415:U457" si="55">IF($M$12="Both(No x value)","Do more",$F$23*(((1+$U$29)^(R415)-1)/$U$29)*(1+$U$29))</f>
        <v>4601963.9950002311</v>
      </c>
      <c r="V415" s="257">
        <f t="shared" ref="V415:V457" si="56">IF($M$12="Both(No x value)","Do more",$F$23*(((1+$V$29)^(R415)-1)/$V$29)*(1+$V$29))</f>
        <v>21128976.62789062</v>
      </c>
      <c r="W415" s="255">
        <f t="shared" ref="W415:W457" si="57">IF($M$12="Both(No x value)","Do more",$F$23*(((1+W$29)^(R415)-1)/$W$29)*(1+$W$29))</f>
        <v>3096562791.2667637</v>
      </c>
      <c r="X415" s="257">
        <f t="shared" ref="X415:X457" si="58">IF(M397="Both(No x value)","Do more",$F$23*(((1+$X$29)^(R415)-1)/$X$29)*(1+$X$29))</f>
        <v>97688221218.65892</v>
      </c>
      <c r="Y415" s="255">
        <f t="shared" ref="Y415:Y457" si="59">IF(M397="Both(No x value)","Do more",$F$23*(((1+$Y$29)^(R415)-1)/$Y$29)*(1+$Y$29))</f>
        <v>3171675393445.4819</v>
      </c>
      <c r="Z415" s="257">
        <f t="shared" ref="Z415:Z457" si="60">IF(M397="Both(No x value)","Do more",$F$23*(((1+$Z$29)^(R415)-1)/$Z$29)*(1+$Z$29))</f>
        <v>1.0446460254098353E+20</v>
      </c>
      <c r="AA415" s="257">
        <f t="shared" ref="AA415:AA457" si="61">IF(M397="Both(No x value)","Do more",$F$23*(((1+$AA$29)^(R415)-1)/$AA$29)*(1+$AA$29))</f>
        <v>97688221218.65892</v>
      </c>
    </row>
    <row r="416" spans="18:27" x14ac:dyDescent="0.25">
      <c r="R416" s="253">
        <f t="shared" ref="R416:R457" si="62">1+R415</f>
        <v>387</v>
      </c>
      <c r="S416" s="254"/>
      <c r="T416" s="255">
        <f t="shared" si="54"/>
        <v>1184038.8556254634</v>
      </c>
      <c r="U416" s="256">
        <f t="shared" si="55"/>
        <v>4648993.6349502327</v>
      </c>
      <c r="V416" s="257">
        <f t="shared" si="56"/>
        <v>21446926.277308986</v>
      </c>
      <c r="W416" s="255">
        <f t="shared" si="57"/>
        <v>3189460705.0047679</v>
      </c>
      <c r="X416" s="257">
        <f t="shared" si="58"/>
        <v>101595751107.40527</v>
      </c>
      <c r="Y416" s="255">
        <f t="shared" si="59"/>
        <v>3330259164167.7568</v>
      </c>
      <c r="Z416" s="257">
        <f t="shared" si="60"/>
        <v>1.1491106279508191E+20</v>
      </c>
      <c r="AA416" s="257">
        <f t="shared" si="61"/>
        <v>101595751107.40527</v>
      </c>
    </row>
    <row r="417" spans="18:27" x14ac:dyDescent="0.25">
      <c r="R417" s="253">
        <f t="shared" si="62"/>
        <v>388</v>
      </c>
      <c r="S417" s="254"/>
      <c r="T417" s="255">
        <f t="shared" si="54"/>
        <v>1190964.0499035905</v>
      </c>
      <c r="U417" s="256">
        <f t="shared" si="55"/>
        <v>4696493.5712997364</v>
      </c>
      <c r="V417" s="257">
        <f t="shared" si="56"/>
        <v>21769645.171468616</v>
      </c>
      <c r="W417" s="255">
        <f t="shared" si="57"/>
        <v>3285145556.1549096</v>
      </c>
      <c r="X417" s="257">
        <f t="shared" si="58"/>
        <v>105659582191.70149</v>
      </c>
      <c r="Y417" s="255">
        <f t="shared" si="59"/>
        <v>3496772123426.1445</v>
      </c>
      <c r="Z417" s="257">
        <f t="shared" si="60"/>
        <v>1.2640216907459007E+20</v>
      </c>
      <c r="AA417" s="257">
        <f t="shared" si="61"/>
        <v>105659582191.70149</v>
      </c>
    </row>
    <row r="418" spans="18:27" x14ac:dyDescent="0.25">
      <c r="R418" s="253">
        <f t="shared" si="62"/>
        <v>389</v>
      </c>
      <c r="S418" s="254"/>
      <c r="T418" s="255">
        <f t="shared" si="54"/>
        <v>1197923.8701531084</v>
      </c>
      <c r="U418" s="256">
        <f t="shared" si="55"/>
        <v>4744468.5070127323</v>
      </c>
      <c r="V418" s="257">
        <f t="shared" si="56"/>
        <v>22097204.849040639</v>
      </c>
      <c r="W418" s="255">
        <f t="shared" si="57"/>
        <v>3383700952.8395572</v>
      </c>
      <c r="X418" s="257">
        <f t="shared" si="58"/>
        <v>109885966519.36958</v>
      </c>
      <c r="Y418" s="255">
        <f t="shared" si="59"/>
        <v>3671610730647.4521</v>
      </c>
      <c r="Z418" s="257">
        <f t="shared" si="60"/>
        <v>1.3904238598204912E+20</v>
      </c>
      <c r="AA418" s="257">
        <f t="shared" si="61"/>
        <v>109885966519.36958</v>
      </c>
    </row>
    <row r="419" spans="18:27" x14ac:dyDescent="0.25">
      <c r="R419" s="253">
        <f t="shared" si="62"/>
        <v>390</v>
      </c>
      <c r="S419" s="254"/>
      <c r="T419" s="255">
        <f t="shared" si="54"/>
        <v>1204918.4895038735</v>
      </c>
      <c r="U419" s="256">
        <f t="shared" si="55"/>
        <v>4792923.1920828605</v>
      </c>
      <c r="V419" s="257">
        <f t="shared" si="56"/>
        <v>22429677.921776246</v>
      </c>
      <c r="W419" s="255">
        <f t="shared" si="57"/>
        <v>3485213011.4247441</v>
      </c>
      <c r="X419" s="257">
        <f t="shared" si="58"/>
        <v>114281406220.14435</v>
      </c>
      <c r="Y419" s="255">
        <f t="shared" si="59"/>
        <v>3855191268229.8237</v>
      </c>
      <c r="Z419" s="257">
        <f t="shared" si="60"/>
        <v>1.5294662458025404E+20</v>
      </c>
      <c r="AA419" s="257">
        <f t="shared" si="61"/>
        <v>114281406220.14435</v>
      </c>
    </row>
    <row r="420" spans="18:27" x14ac:dyDescent="0.25">
      <c r="R420" s="253">
        <f t="shared" si="62"/>
        <v>391</v>
      </c>
      <c r="S420" s="254"/>
      <c r="T420" s="255">
        <f t="shared" si="54"/>
        <v>1211948.0819513926</v>
      </c>
      <c r="U420" s="256">
        <f t="shared" si="55"/>
        <v>4841862.4240036886</v>
      </c>
      <c r="V420" s="257">
        <f t="shared" si="56"/>
        <v>22767138.090602886</v>
      </c>
      <c r="W420" s="255">
        <f t="shared" si="57"/>
        <v>3589770431.7674861</v>
      </c>
      <c r="X420" s="257">
        <f t="shared" si="58"/>
        <v>118852663508.9501</v>
      </c>
      <c r="Y420" s="255">
        <f t="shared" si="59"/>
        <v>4047950832691.3159</v>
      </c>
      <c r="Z420" s="257">
        <f t="shared" si="60"/>
        <v>1.6824128703827948E+20</v>
      </c>
      <c r="AA420" s="257">
        <f t="shared" si="61"/>
        <v>118852663508.9501</v>
      </c>
    </row>
    <row r="421" spans="18:27" x14ac:dyDescent="0.25">
      <c r="R421" s="253">
        <f t="shared" si="62"/>
        <v>392</v>
      </c>
      <c r="S421" s="254"/>
      <c r="T421" s="255">
        <f t="shared" si="54"/>
        <v>1219012.8223611494</v>
      </c>
      <c r="U421" s="256">
        <f t="shared" si="55"/>
        <v>4891291.0482437266</v>
      </c>
      <c r="V421" s="257">
        <f t="shared" si="56"/>
        <v>23109660.161961924</v>
      </c>
      <c r="W421" s="255">
        <f t="shared" si="57"/>
        <v>3697464574.720511</v>
      </c>
      <c r="X421" s="257">
        <f t="shared" si="58"/>
        <v>123606771089.30815</v>
      </c>
      <c r="Y421" s="255">
        <f t="shared" si="59"/>
        <v>4250348375375.8813</v>
      </c>
      <c r="Z421" s="257">
        <f t="shared" si="60"/>
        <v>1.8506541574210742E+20</v>
      </c>
      <c r="AA421" s="257">
        <f t="shared" si="61"/>
        <v>123606771089.30815</v>
      </c>
    </row>
    <row r="422" spans="18:27" x14ac:dyDescent="0.25">
      <c r="R422" s="253">
        <f t="shared" si="62"/>
        <v>393</v>
      </c>
      <c r="S422" s="254"/>
      <c r="T422" s="255">
        <f t="shared" si="54"/>
        <v>1226112.8864729551</v>
      </c>
      <c r="U422" s="256">
        <f t="shared" si="55"/>
        <v>4941213.958726164</v>
      </c>
      <c r="V422" s="257">
        <f t="shared" si="56"/>
        <v>23457320.064391352</v>
      </c>
      <c r="W422" s="255">
        <f t="shared" si="57"/>
        <v>3808389541.9621258</v>
      </c>
      <c r="X422" s="257">
        <f t="shared" si="58"/>
        <v>128551042972.88046</v>
      </c>
      <c r="Y422" s="255">
        <f t="shared" si="59"/>
        <v>4462865795194.6758</v>
      </c>
      <c r="Z422" s="257">
        <f t="shared" si="60"/>
        <v>2.0357195731631817E+20</v>
      </c>
      <c r="AA422" s="257">
        <f t="shared" si="61"/>
        <v>128551042972.88046</v>
      </c>
    </row>
    <row r="423" spans="18:27" x14ac:dyDescent="0.25">
      <c r="R423" s="253">
        <f t="shared" si="62"/>
        <v>394</v>
      </c>
      <c r="S423" s="254"/>
      <c r="T423" s="255">
        <f t="shared" si="54"/>
        <v>1233248.4509053195</v>
      </c>
      <c r="U423" s="256">
        <f t="shared" si="55"/>
        <v>4991636.0983134257</v>
      </c>
      <c r="V423" s="257">
        <f t="shared" si="56"/>
        <v>23810194.86535722</v>
      </c>
      <c r="W423" s="255">
        <f t="shared" si="57"/>
        <v>3922642258.2209897</v>
      </c>
      <c r="X423" s="257">
        <f t="shared" si="58"/>
        <v>133693085731.7957</v>
      </c>
      <c r="Y423" s="255">
        <f t="shared" si="59"/>
        <v>4686009086004.4102</v>
      </c>
      <c r="Z423" s="257">
        <f t="shared" si="60"/>
        <v>2.2392915304795E+20</v>
      </c>
      <c r="AA423" s="257">
        <f t="shared" si="61"/>
        <v>133693085731.7957</v>
      </c>
    </row>
    <row r="424" spans="18:27" x14ac:dyDescent="0.25">
      <c r="R424" s="253">
        <f t="shared" si="62"/>
        <v>395</v>
      </c>
      <c r="S424" s="254"/>
      <c r="T424" s="255">
        <f t="shared" si="54"/>
        <v>1240419.6931598461</v>
      </c>
      <c r="U424" s="256">
        <f t="shared" si="55"/>
        <v>5042562.4592965599</v>
      </c>
      <c r="V424" s="257">
        <f t="shared" si="56"/>
        <v>24168362.788337577</v>
      </c>
      <c r="W424" s="255">
        <f t="shared" si="57"/>
        <v>4040322555.9676194</v>
      </c>
      <c r="X424" s="257">
        <f t="shared" si="58"/>
        <v>139040810201.0675</v>
      </c>
      <c r="Y424" s="255">
        <f t="shared" si="59"/>
        <v>4920309541354.6299</v>
      </c>
      <c r="Z424" s="257">
        <f t="shared" si="60"/>
        <v>2.4632206835274501E+20</v>
      </c>
      <c r="AA424" s="257">
        <f t="shared" si="61"/>
        <v>139040810201.0675</v>
      </c>
    </row>
    <row r="425" spans="18:27" x14ac:dyDescent="0.25">
      <c r="R425" s="253">
        <f t="shared" si="62"/>
        <v>396</v>
      </c>
      <c r="S425" s="254"/>
      <c r="T425" s="255">
        <f t="shared" si="54"/>
        <v>1247626.791625645</v>
      </c>
      <c r="U425" s="256">
        <f t="shared" si="55"/>
        <v>5093998.0838895254</v>
      </c>
      <c r="V425" s="257">
        <f t="shared" si="56"/>
        <v>24531903.230162639</v>
      </c>
      <c r="W425" s="255">
        <f t="shared" si="57"/>
        <v>4161533262.6466475</v>
      </c>
      <c r="X425" s="257">
        <f t="shared" si="58"/>
        <v>144602443649.11023</v>
      </c>
      <c r="Y425" s="255">
        <f t="shared" si="59"/>
        <v>5166325019472.3613</v>
      </c>
      <c r="Z425" s="257">
        <f t="shared" si="60"/>
        <v>2.7095427518801953E+20</v>
      </c>
      <c r="AA425" s="257">
        <f t="shared" si="61"/>
        <v>144602443649.11023</v>
      </c>
    </row>
    <row r="426" spans="18:27" x14ac:dyDescent="0.25">
      <c r="R426" s="253">
        <f t="shared" si="62"/>
        <v>397</v>
      </c>
      <c r="S426" s="254"/>
      <c r="T426" s="255">
        <f t="shared" si="54"/>
        <v>1254869.9255837728</v>
      </c>
      <c r="U426" s="256">
        <f t="shared" si="55"/>
        <v>5145948.0647284202</v>
      </c>
      <c r="V426" s="257">
        <f t="shared" si="56"/>
        <v>24900896.778615072</v>
      </c>
      <c r="W426" s="255">
        <f t="shared" si="57"/>
        <v>4286380290.5260463</v>
      </c>
      <c r="X426" s="257">
        <f t="shared" si="58"/>
        <v>150386542435.07465</v>
      </c>
      <c r="Y426" s="255">
        <f t="shared" si="59"/>
        <v>5424641271495.9795</v>
      </c>
      <c r="Z426" s="257">
        <f t="shared" si="60"/>
        <v>2.9804970270682153E+20</v>
      </c>
      <c r="AA426" s="257">
        <f t="shared" si="61"/>
        <v>150386542435.07465</v>
      </c>
    </row>
    <row r="427" spans="18:27" x14ac:dyDescent="0.25">
      <c r="R427" s="253">
        <f t="shared" si="62"/>
        <v>398</v>
      </c>
      <c r="S427" s="254"/>
      <c r="T427" s="255">
        <f t="shared" si="54"/>
        <v>1262149.2752116916</v>
      </c>
      <c r="U427" s="256">
        <f t="shared" si="55"/>
        <v>5198417.5453757057</v>
      </c>
      <c r="V427" s="257">
        <f t="shared" si="56"/>
        <v>25275425.230294291</v>
      </c>
      <c r="W427" s="255">
        <f t="shared" si="57"/>
        <v>4414972729.2418289</v>
      </c>
      <c r="X427" s="257">
        <f t="shared" si="58"/>
        <v>156402005172.47763</v>
      </c>
      <c r="Y427" s="255">
        <f t="shared" si="59"/>
        <v>5695873336120.7773</v>
      </c>
      <c r="Z427" s="257">
        <f t="shared" si="60"/>
        <v>3.2785467297750378E+20</v>
      </c>
      <c r="AA427" s="257">
        <f t="shared" si="61"/>
        <v>156402005172.47763</v>
      </c>
    </row>
    <row r="428" spans="18:27" x14ac:dyDescent="0.25">
      <c r="R428" s="253">
        <f t="shared" si="62"/>
        <v>399</v>
      </c>
      <c r="S428" s="254"/>
      <c r="T428" s="255">
        <f t="shared" si="54"/>
        <v>1269465.0215877497</v>
      </c>
      <c r="U428" s="256">
        <f t="shared" si="55"/>
        <v>5251411.7208294608</v>
      </c>
      <c r="V428" s="257">
        <f t="shared" si="56"/>
        <v>25655571.608748704</v>
      </c>
      <c r="W428" s="255">
        <f t="shared" si="57"/>
        <v>4547422941.1190825</v>
      </c>
      <c r="X428" s="257">
        <f t="shared" si="58"/>
        <v>162658086419.37674</v>
      </c>
      <c r="Y428" s="255">
        <f t="shared" si="59"/>
        <v>5980667003976.8184</v>
      </c>
      <c r="Z428" s="257">
        <f t="shared" si="60"/>
        <v>3.6064014027525403E+20</v>
      </c>
      <c r="AA428" s="257">
        <f t="shared" si="61"/>
        <v>162658086419.37674</v>
      </c>
    </row>
    <row r="429" spans="18:27" x14ac:dyDescent="0.25">
      <c r="R429" s="253">
        <f t="shared" si="62"/>
        <v>400</v>
      </c>
      <c r="S429" s="254"/>
      <c r="T429" s="255">
        <f t="shared" si="54"/>
        <v>1276817.3466956881</v>
      </c>
      <c r="U429" s="256">
        <f t="shared" si="55"/>
        <v>5304935.8380377572</v>
      </c>
      <c r="V429" s="257">
        <f t="shared" si="56"/>
        <v>26041420.182879928</v>
      </c>
      <c r="W429" s="255">
        <f t="shared" si="57"/>
        <v>4683846659.3526564</v>
      </c>
      <c r="X429" s="257">
        <f t="shared" si="58"/>
        <v>169164410916.15186</v>
      </c>
      <c r="Y429" s="255">
        <f t="shared" si="59"/>
        <v>6279700355225.6582</v>
      </c>
      <c r="Z429" s="257">
        <f t="shared" si="60"/>
        <v>3.9670415430277956E+20</v>
      </c>
      <c r="AA429" s="257">
        <f t="shared" si="61"/>
        <v>169164410916.15186</v>
      </c>
    </row>
    <row r="430" spans="18:27" x14ac:dyDescent="0.25">
      <c r="R430" s="253">
        <f t="shared" si="62"/>
        <v>401</v>
      </c>
      <c r="S430" s="254"/>
      <c r="T430" s="255">
        <f t="shared" si="54"/>
        <v>1284206.4334291669</v>
      </c>
      <c r="U430" s="256">
        <f t="shared" si="55"/>
        <v>5358995.1964181345</v>
      </c>
      <c r="V430" s="257">
        <f t="shared" si="56"/>
        <v>26433056.485623125</v>
      </c>
      <c r="W430" s="255">
        <f t="shared" si="57"/>
        <v>4824363089.133234</v>
      </c>
      <c r="X430" s="257">
        <f t="shared" si="58"/>
        <v>175930988392.79794</v>
      </c>
      <c r="Y430" s="255">
        <f t="shared" si="59"/>
        <v>6593685374036.9424</v>
      </c>
      <c r="Z430" s="257">
        <f t="shared" si="60"/>
        <v>4.3637456973305748E+20</v>
      </c>
      <c r="AA430" s="257">
        <f t="shared" si="61"/>
        <v>175930988392.79794</v>
      </c>
    </row>
    <row r="431" spans="18:27" x14ac:dyDescent="0.25">
      <c r="R431" s="253">
        <f t="shared" si="62"/>
        <v>402</v>
      </c>
      <c r="S431" s="254"/>
      <c r="T431" s="255">
        <f t="shared" si="54"/>
        <v>1291632.4655963117</v>
      </c>
      <c r="U431" s="256">
        <f t="shared" si="55"/>
        <v>5413595.1483823163</v>
      </c>
      <c r="V431" s="257">
        <f t="shared" si="56"/>
        <v>26830567.332907468</v>
      </c>
      <c r="W431" s="255">
        <f t="shared" si="57"/>
        <v>4969095011.8072329</v>
      </c>
      <c r="X431" s="257">
        <f t="shared" si="58"/>
        <v>182968228968.50983</v>
      </c>
      <c r="Y431" s="255">
        <f t="shared" si="59"/>
        <v>6923369643788.7891</v>
      </c>
      <c r="Z431" s="257">
        <f t="shared" si="60"/>
        <v>4.8001202670636329E+20</v>
      </c>
      <c r="AA431" s="257">
        <f t="shared" si="61"/>
        <v>182968228968.50983</v>
      </c>
    </row>
    <row r="432" spans="18:27" x14ac:dyDescent="0.25">
      <c r="R432" s="253">
        <f t="shared" si="62"/>
        <v>403</v>
      </c>
      <c r="S432" s="254"/>
      <c r="T432" s="255">
        <f t="shared" si="54"/>
        <v>1299095.6279242933</v>
      </c>
      <c r="U432" s="256">
        <f t="shared" si="55"/>
        <v>5468741.0998661378</v>
      </c>
      <c r="V432" s="257">
        <f t="shared" si="56"/>
        <v>27234040.842901081</v>
      </c>
      <c r="W432" s="255">
        <f t="shared" si="57"/>
        <v>5118168892.1614485</v>
      </c>
      <c r="X432" s="257">
        <f t="shared" si="58"/>
        <v>190286959167.25024</v>
      </c>
      <c r="Y432" s="255">
        <f t="shared" si="59"/>
        <v>7269538127028.2295</v>
      </c>
      <c r="Z432" s="257">
        <f t="shared" si="60"/>
        <v>5.2801322937699972E+20</v>
      </c>
      <c r="AA432" s="257">
        <f t="shared" si="61"/>
        <v>190286959167.25024</v>
      </c>
    </row>
    <row r="433" spans="18:27" x14ac:dyDescent="0.25">
      <c r="R433" s="253">
        <f t="shared" si="62"/>
        <v>404</v>
      </c>
      <c r="S433" s="254"/>
      <c r="T433" s="255">
        <f t="shared" si="54"/>
        <v>1306596.1060639147</v>
      </c>
      <c r="U433" s="256">
        <f t="shared" si="55"/>
        <v>5524438.5108647998</v>
      </c>
      <c r="V433" s="257">
        <f t="shared" si="56"/>
        <v>27643566.455544583</v>
      </c>
      <c r="W433" s="255">
        <f t="shared" si="57"/>
        <v>5271714988.9262924</v>
      </c>
      <c r="X433" s="257">
        <f t="shared" si="58"/>
        <v>197898438573.94025</v>
      </c>
      <c r="Y433" s="255">
        <f t="shared" si="59"/>
        <v>7633015034429.6406</v>
      </c>
      <c r="Z433" s="257">
        <f t="shared" si="60"/>
        <v>5.8081455231469964E+20</v>
      </c>
      <c r="AA433" s="257">
        <f t="shared" si="61"/>
        <v>197898438573.94025</v>
      </c>
    </row>
    <row r="434" spans="18:27" x14ac:dyDescent="0.25">
      <c r="R434" s="253">
        <f t="shared" si="62"/>
        <v>405</v>
      </c>
      <c r="S434" s="254"/>
      <c r="T434" s="255">
        <f t="shared" si="54"/>
        <v>1314134.086594234</v>
      </c>
      <c r="U434" s="256">
        <f t="shared" si="55"/>
        <v>5580692.8959734468</v>
      </c>
      <c r="V434" s="257">
        <f t="shared" si="56"/>
        <v>28059234.952377751</v>
      </c>
      <c r="W434" s="255">
        <f t="shared" si="57"/>
        <v>5429867468.59408</v>
      </c>
      <c r="X434" s="257">
        <f t="shared" si="58"/>
        <v>205814377156.89792</v>
      </c>
      <c r="Y434" s="255">
        <f t="shared" si="59"/>
        <v>8014665787201.123</v>
      </c>
      <c r="Z434" s="257">
        <f t="shared" si="60"/>
        <v>6.3889600754616972E+20</v>
      </c>
      <c r="AA434" s="257">
        <f t="shared" si="61"/>
        <v>205814377156.89792</v>
      </c>
    </row>
    <row r="435" spans="18:27" x14ac:dyDescent="0.25">
      <c r="R435" s="253">
        <f t="shared" si="62"/>
        <v>406</v>
      </c>
      <c r="S435" s="254"/>
      <c r="T435" s="255">
        <f t="shared" si="54"/>
        <v>1321709.7570272048</v>
      </c>
      <c r="U435" s="256">
        <f t="shared" si="55"/>
        <v>5637509.8249331834</v>
      </c>
      <c r="V435" s="257">
        <f t="shared" si="56"/>
        <v>28481138.476663411</v>
      </c>
      <c r="W435" s="255">
        <f t="shared" si="57"/>
        <v>5592764522.6519032</v>
      </c>
      <c r="X435" s="257">
        <f t="shared" si="58"/>
        <v>214046953283.1738</v>
      </c>
      <c r="Y435" s="255">
        <f t="shared" si="59"/>
        <v>8415399077611.1768</v>
      </c>
      <c r="Z435" s="257">
        <f t="shared" si="60"/>
        <v>7.0278560830078675E+20</v>
      </c>
      <c r="AA435" s="257">
        <f t="shared" si="61"/>
        <v>214046953283.1738</v>
      </c>
    </row>
    <row r="436" spans="18:27" x14ac:dyDescent="0.25">
      <c r="R436" s="253">
        <f t="shared" si="62"/>
        <v>407</v>
      </c>
      <c r="S436" s="254"/>
      <c r="T436" s="255">
        <f t="shared" si="54"/>
        <v>1329323.3058123405</v>
      </c>
      <c r="U436" s="256">
        <f t="shared" si="55"/>
        <v>5694894.9231825145</v>
      </c>
      <c r="V436" s="257">
        <f t="shared" si="56"/>
        <v>28909370.553813364</v>
      </c>
      <c r="W436" s="255">
        <f t="shared" si="57"/>
        <v>5760548488.331461</v>
      </c>
      <c r="X436" s="257">
        <f t="shared" si="58"/>
        <v>222608832454.50076</v>
      </c>
      <c r="Y436" s="255">
        <f t="shared" si="59"/>
        <v>8836169032541.7383</v>
      </c>
      <c r="Z436" s="257">
        <f t="shared" si="60"/>
        <v>7.7306416913086559E+20</v>
      </c>
      <c r="AA436" s="257">
        <f t="shared" si="61"/>
        <v>222608832454.50076</v>
      </c>
    </row>
    <row r="437" spans="18:27" x14ac:dyDescent="0.25">
      <c r="R437" s="253">
        <f t="shared" si="62"/>
        <v>408</v>
      </c>
      <c r="S437" s="254"/>
      <c r="T437" s="255">
        <f t="shared" si="54"/>
        <v>1336974.9223414022</v>
      </c>
      <c r="U437" s="256">
        <f t="shared" si="55"/>
        <v>5752853.8724143403</v>
      </c>
      <c r="V437" s="257">
        <f t="shared" si="56"/>
        <v>29344026.112120558</v>
      </c>
      <c r="W437" s="255">
        <f t="shared" si="57"/>
        <v>5933365972.9814043</v>
      </c>
      <c r="X437" s="257">
        <f t="shared" si="58"/>
        <v>231513186792.68085</v>
      </c>
      <c r="Y437" s="255">
        <f t="shared" si="59"/>
        <v>9277977485218.8242</v>
      </c>
      <c r="Z437" s="257">
        <f t="shared" si="60"/>
        <v>8.5037058604395214E+20</v>
      </c>
      <c r="AA437" s="257">
        <f t="shared" si="61"/>
        <v>231513186792.68085</v>
      </c>
    </row>
    <row r="438" spans="18:27" x14ac:dyDescent="0.25">
      <c r="R438" s="253">
        <f t="shared" si="62"/>
        <v>409</v>
      </c>
      <c r="S438" s="254"/>
      <c r="T438" s="255">
        <f t="shared" si="54"/>
        <v>1344664.7969531089</v>
      </c>
      <c r="U438" s="256">
        <f t="shared" si="55"/>
        <v>5811392.4111384852</v>
      </c>
      <c r="V438" s="257">
        <f t="shared" si="56"/>
        <v>29785201.503802367</v>
      </c>
      <c r="W438" s="255">
        <f t="shared" si="57"/>
        <v>6111367982.170846</v>
      </c>
      <c r="X438" s="257">
        <f t="shared" si="58"/>
        <v>240773715304.38809</v>
      </c>
      <c r="Y438" s="255">
        <f t="shared" si="59"/>
        <v>9741876360529.7656</v>
      </c>
      <c r="Z438" s="257">
        <f t="shared" si="60"/>
        <v>9.3540764464834727E+20</v>
      </c>
      <c r="AA438" s="257">
        <f t="shared" si="61"/>
        <v>240773715304.38809</v>
      </c>
    </row>
    <row r="439" spans="18:27" x14ac:dyDescent="0.25">
      <c r="R439" s="253">
        <f t="shared" si="62"/>
        <v>410</v>
      </c>
      <c r="S439" s="254"/>
      <c r="T439" s="255">
        <f t="shared" si="54"/>
        <v>1352393.1209378745</v>
      </c>
      <c r="U439" s="256">
        <f t="shared" si="55"/>
        <v>5870516.3352498692</v>
      </c>
      <c r="V439" s="257">
        <f t="shared" si="56"/>
        <v>30232994.526359394</v>
      </c>
      <c r="W439" s="255">
        <f t="shared" si="57"/>
        <v>6294710051.6359711</v>
      </c>
      <c r="X439" s="257">
        <f t="shared" si="58"/>
        <v>250404664956.5636</v>
      </c>
      <c r="Y439" s="255">
        <f t="shared" si="59"/>
        <v>10228970179606.252</v>
      </c>
      <c r="Z439" s="257">
        <f t="shared" si="60"/>
        <v>1.0289484091131819E+21</v>
      </c>
      <c r="AA439" s="257">
        <f t="shared" si="61"/>
        <v>250404664956.5636</v>
      </c>
    </row>
    <row r="440" spans="18:27" x14ac:dyDescent="0.25">
      <c r="R440" s="253">
        <f t="shared" si="62"/>
        <v>411</v>
      </c>
      <c r="S440" s="254"/>
      <c r="T440" s="255">
        <f t="shared" si="54"/>
        <v>1360160.0865425635</v>
      </c>
      <c r="U440" s="256">
        <f t="shared" si="55"/>
        <v>5930231.4986023661</v>
      </c>
      <c r="V440" s="257">
        <f t="shared" si="56"/>
        <v>30687504.444254782</v>
      </c>
      <c r="W440" s="255">
        <f t="shared" si="57"/>
        <v>6483552383.18505</v>
      </c>
      <c r="X440" s="257">
        <f t="shared" si="58"/>
        <v>260420852594.82614</v>
      </c>
      <c r="Y440" s="255">
        <f t="shared" si="59"/>
        <v>10740418689636.566</v>
      </c>
      <c r="Z440" s="257">
        <f t="shared" si="60"/>
        <v>1.1318432500245006E+21</v>
      </c>
      <c r="AA440" s="257">
        <f t="shared" si="61"/>
        <v>260420852594.82614</v>
      </c>
    </row>
    <row r="441" spans="18:27" x14ac:dyDescent="0.25">
      <c r="R441" s="253">
        <f t="shared" si="62"/>
        <v>412</v>
      </c>
      <c r="S441" s="254"/>
      <c r="T441" s="255">
        <f t="shared" si="54"/>
        <v>1367965.8869752763</v>
      </c>
      <c r="U441" s="256">
        <f t="shared" si="55"/>
        <v>5990543.8135883901</v>
      </c>
      <c r="V441" s="257">
        <f t="shared" si="56"/>
        <v>31148832.010918599</v>
      </c>
      <c r="W441" s="255">
        <f t="shared" si="57"/>
        <v>6678059984.6806021</v>
      </c>
      <c r="X441" s="257">
        <f t="shared" si="58"/>
        <v>270837687738.61926</v>
      </c>
      <c r="Y441" s="255">
        <f t="shared" si="59"/>
        <v>11277439625168.396</v>
      </c>
      <c r="Z441" s="257">
        <f t="shared" si="60"/>
        <v>1.2450275750269506E+21</v>
      </c>
      <c r="AA441" s="257">
        <f t="shared" si="61"/>
        <v>270837687738.61926</v>
      </c>
    </row>
    <row r="442" spans="18:27" x14ac:dyDescent="0.25">
      <c r="R442" s="253">
        <f t="shared" si="62"/>
        <v>413</v>
      </c>
      <c r="S442" s="254"/>
      <c r="T442" s="255">
        <f t="shared" si="54"/>
        <v>1375810.7164101521</v>
      </c>
      <c r="U442" s="256">
        <f t="shared" si="55"/>
        <v>6051459.2517242739</v>
      </c>
      <c r="V442" s="257">
        <f t="shared" si="56"/>
        <v>31617079.491082374</v>
      </c>
      <c r="W442" s="255">
        <f t="shared" si="57"/>
        <v>6878402814.2210197</v>
      </c>
      <c r="X442" s="257">
        <f t="shared" si="58"/>
        <v>281671196288.16406</v>
      </c>
      <c r="Y442" s="255">
        <f t="shared" si="59"/>
        <v>11841311607476.816</v>
      </c>
      <c r="Z442" s="257">
        <f t="shared" si="60"/>
        <v>1.3695303325296456E+21</v>
      </c>
      <c r="AA442" s="257">
        <f t="shared" si="61"/>
        <v>281671196288.16406</v>
      </c>
    </row>
    <row r="443" spans="18:27" x14ac:dyDescent="0.25">
      <c r="R443" s="253">
        <f t="shared" si="62"/>
        <v>414</v>
      </c>
      <c r="S443" s="254"/>
      <c r="T443" s="255">
        <f t="shared" si="54"/>
        <v>1383694.7699922028</v>
      </c>
      <c r="U443" s="256">
        <f t="shared" si="55"/>
        <v>6112983.8442415185</v>
      </c>
      <c r="V443" s="257">
        <f t="shared" si="56"/>
        <v>32092350.683448602</v>
      </c>
      <c r="W443" s="255">
        <f t="shared" si="57"/>
        <v>7084755928.6476507</v>
      </c>
      <c r="X443" s="257">
        <f t="shared" si="58"/>
        <v>292938045179.69049</v>
      </c>
      <c r="Y443" s="255">
        <f t="shared" si="59"/>
        <v>12433377188900.654</v>
      </c>
      <c r="Z443" s="257">
        <f t="shared" si="60"/>
        <v>1.5064833657826105E+21</v>
      </c>
      <c r="AA443" s="257">
        <f t="shared" si="61"/>
        <v>292938045179.69049</v>
      </c>
    </row>
    <row r="444" spans="18:27" x14ac:dyDescent="0.25">
      <c r="R444" s="253">
        <f t="shared" si="62"/>
        <v>415</v>
      </c>
      <c r="S444" s="254"/>
      <c r="T444" s="255">
        <f t="shared" si="54"/>
        <v>1391618.2438421634</v>
      </c>
      <c r="U444" s="256">
        <f t="shared" si="55"/>
        <v>6175123.6826839307</v>
      </c>
      <c r="V444" s="257">
        <f t="shared" si="56"/>
        <v>32574750.943700332</v>
      </c>
      <c r="W444" s="255">
        <f t="shared" si="57"/>
        <v>7297299636.507081</v>
      </c>
      <c r="X444" s="257">
        <f t="shared" si="58"/>
        <v>304655568026.87817</v>
      </c>
      <c r="Y444" s="255">
        <f t="shared" si="59"/>
        <v>13055046049395.691</v>
      </c>
      <c r="Z444" s="257">
        <f t="shared" si="60"/>
        <v>1.6571317023608715E+21</v>
      </c>
      <c r="AA444" s="257">
        <f t="shared" si="61"/>
        <v>304655568026.87817</v>
      </c>
    </row>
    <row r="445" spans="18:27" x14ac:dyDescent="0.25">
      <c r="R445" s="253">
        <f t="shared" si="62"/>
        <v>416</v>
      </c>
      <c r="S445" s="254"/>
      <c r="T445" s="255">
        <f t="shared" si="54"/>
        <v>1399581.3350613741</v>
      </c>
      <c r="U445" s="256">
        <f t="shared" si="55"/>
        <v>6237884.9195107725</v>
      </c>
      <c r="V445" s="257">
        <f t="shared" si="56"/>
        <v>33064387.207855828</v>
      </c>
      <c r="W445" s="255">
        <f t="shared" si="57"/>
        <v>7516219655.6022921</v>
      </c>
      <c r="X445" s="257">
        <f t="shared" si="58"/>
        <v>316841791787.95337</v>
      </c>
      <c r="Y445" s="255">
        <f t="shared" si="59"/>
        <v>13707798352915.475</v>
      </c>
      <c r="Z445" s="257">
        <f t="shared" si="60"/>
        <v>1.822844872596959E+21</v>
      </c>
      <c r="AA445" s="257">
        <f t="shared" si="61"/>
        <v>316841791787.95337</v>
      </c>
    </row>
    <row r="446" spans="18:27" x14ac:dyDescent="0.25">
      <c r="R446" s="253">
        <f t="shared" si="62"/>
        <v>417</v>
      </c>
      <c r="S446" s="254"/>
      <c r="T446" s="255">
        <f t="shared" si="54"/>
        <v>1407584.2417366805</v>
      </c>
      <c r="U446" s="256">
        <f t="shared" si="55"/>
        <v>6301273.7687058803</v>
      </c>
      <c r="V446" s="257">
        <f t="shared" si="56"/>
        <v>33561368.015973665</v>
      </c>
      <c r="W446" s="255">
        <f t="shared" si="57"/>
        <v>7741707275.2703609</v>
      </c>
      <c r="X446" s="257">
        <f t="shared" si="58"/>
        <v>329515464499.47144</v>
      </c>
      <c r="Y446" s="255">
        <f t="shared" si="59"/>
        <v>14393188271611.248</v>
      </c>
      <c r="Z446" s="257">
        <f t="shared" si="60"/>
        <v>2.0051293598566551E+21</v>
      </c>
      <c r="AA446" s="257">
        <f t="shared" si="61"/>
        <v>329515464499.47144</v>
      </c>
    </row>
    <row r="447" spans="18:27" x14ac:dyDescent="0.25">
      <c r="R447" s="253">
        <f t="shared" si="62"/>
        <v>418</v>
      </c>
      <c r="S447" s="254"/>
      <c r="T447" s="255">
        <f t="shared" si="54"/>
        <v>1415627.1629453637</v>
      </c>
      <c r="U447" s="256">
        <f t="shared" si="55"/>
        <v>6365296.506392939</v>
      </c>
      <c r="V447" s="257">
        <f t="shared" si="56"/>
        <v>34065803.536213256</v>
      </c>
      <c r="W447" s="255">
        <f t="shared" si="57"/>
        <v>7973959523.528471</v>
      </c>
      <c r="X447" s="257">
        <f t="shared" si="58"/>
        <v>342696084119.45038</v>
      </c>
      <c r="Y447" s="255">
        <f t="shared" si="59"/>
        <v>15112847686241.809</v>
      </c>
      <c r="Z447" s="257">
        <f t="shared" si="60"/>
        <v>2.2056422958423204E+21</v>
      </c>
      <c r="AA447" s="257">
        <f t="shared" si="61"/>
        <v>342696084119.45038</v>
      </c>
    </row>
    <row r="448" spans="18:27" x14ac:dyDescent="0.25">
      <c r="R448" s="253">
        <f t="shared" si="62"/>
        <v>419</v>
      </c>
      <c r="S448" s="254"/>
      <c r="T448" s="255">
        <f t="shared" si="54"/>
        <v>1423710.2987600905</v>
      </c>
      <c r="U448" s="256">
        <f t="shared" si="55"/>
        <v>6429959.4714568676</v>
      </c>
      <c r="V448" s="257">
        <f t="shared" si="56"/>
        <v>34577805.589256458</v>
      </c>
      <c r="W448" s="255">
        <f t="shared" si="57"/>
        <v>8213179339.2343264</v>
      </c>
      <c r="X448" s="257">
        <f t="shared" si="58"/>
        <v>356403928524.22839</v>
      </c>
      <c r="Y448" s="255">
        <f t="shared" si="59"/>
        <v>15868490071603.904</v>
      </c>
      <c r="Z448" s="257">
        <f t="shared" si="60"/>
        <v>2.4262065254265531E+21</v>
      </c>
      <c r="AA448" s="257">
        <f t="shared" si="61"/>
        <v>356403928524.22839</v>
      </c>
    </row>
    <row r="449" spans="18:27" x14ac:dyDescent="0.25">
      <c r="R449" s="253">
        <f t="shared" si="62"/>
        <v>420</v>
      </c>
      <c r="S449" s="254"/>
      <c r="T449" s="255">
        <f t="shared" si="54"/>
        <v>1431833.8502538903</v>
      </c>
      <c r="U449" s="256">
        <f t="shared" si="55"/>
        <v>6495269.0661714375</v>
      </c>
      <c r="V449" s="257">
        <f t="shared" si="56"/>
        <v>35097487.673095293</v>
      </c>
      <c r="W449" s="255">
        <f t="shared" si="57"/>
        <v>8459575749.411355</v>
      </c>
      <c r="X449" s="257">
        <f t="shared" si="58"/>
        <v>370660086705.19757</v>
      </c>
      <c r="Y449" s="255">
        <f t="shared" si="59"/>
        <v>16661914576234.094</v>
      </c>
      <c r="Z449" s="257">
        <f t="shared" si="60"/>
        <v>2.6688271779692083E+21</v>
      </c>
      <c r="AA449" s="257">
        <f t="shared" si="61"/>
        <v>370660086705.19757</v>
      </c>
    </row>
    <row r="450" spans="18:27" x14ac:dyDescent="0.25">
      <c r="R450" s="253">
        <f t="shared" si="62"/>
        <v>421</v>
      </c>
      <c r="S450" s="254"/>
      <c r="T450" s="255">
        <f t="shared" si="54"/>
        <v>1439998.0195051595</v>
      </c>
      <c r="U450" s="256">
        <f t="shared" si="55"/>
        <v>6561231.7568331519</v>
      </c>
      <c r="V450" s="257">
        <f t="shared" si="56"/>
        <v>35624964.988191724</v>
      </c>
      <c r="W450" s="255">
        <f t="shared" si="57"/>
        <v>8713364051.893692</v>
      </c>
      <c r="X450" s="257">
        <f t="shared" si="58"/>
        <v>385486491213.40546</v>
      </c>
      <c r="Y450" s="255">
        <f t="shared" si="59"/>
        <v>17495010306095.803</v>
      </c>
      <c r="Z450" s="257">
        <f t="shared" si="60"/>
        <v>2.935709895766129E+21</v>
      </c>
      <c r="AA450" s="257">
        <f t="shared" si="61"/>
        <v>385486491213.40546</v>
      </c>
    </row>
    <row r="451" spans="18:27" x14ac:dyDescent="0.25">
      <c r="R451" s="253">
        <f t="shared" si="62"/>
        <v>422</v>
      </c>
      <c r="S451" s="254"/>
      <c r="T451" s="255">
        <f t="shared" si="54"/>
        <v>1448203.009602685</v>
      </c>
      <c r="U451" s="256">
        <f t="shared" si="55"/>
        <v>6627854.0744014848</v>
      </c>
      <c r="V451" s="257">
        <f t="shared" si="56"/>
        <v>36160354.463014603</v>
      </c>
      <c r="W451" s="255">
        <f t="shared" si="57"/>
        <v>8974766003.4505043</v>
      </c>
      <c r="X451" s="257">
        <f t="shared" si="58"/>
        <v>400905951901.94171</v>
      </c>
      <c r="Y451" s="255">
        <f t="shared" si="59"/>
        <v>18369760822450.59</v>
      </c>
      <c r="Z451" s="257">
        <f t="shared" si="60"/>
        <v>3.2292808853427428E+21</v>
      </c>
      <c r="AA451" s="257">
        <f t="shared" si="61"/>
        <v>400905951901.94171</v>
      </c>
    </row>
    <row r="452" spans="18:27" x14ac:dyDescent="0.25">
      <c r="R452" s="253">
        <f t="shared" si="62"/>
        <v>423</v>
      </c>
      <c r="S452" s="254"/>
      <c r="T452" s="255">
        <f t="shared" si="54"/>
        <v>1456449.0246506985</v>
      </c>
      <c r="U452" s="256">
        <f t="shared" si="55"/>
        <v>6695142.615145498</v>
      </c>
      <c r="V452" s="257">
        <f t="shared" si="56"/>
        <v>36703774.779959813</v>
      </c>
      <c r="W452" s="255">
        <f t="shared" si="57"/>
        <v>9244010013.5540218</v>
      </c>
      <c r="X452" s="257">
        <f t="shared" si="58"/>
        <v>416942191018.01929</v>
      </c>
      <c r="Y452" s="255">
        <f t="shared" si="59"/>
        <v>19288248864623.125</v>
      </c>
      <c r="Z452" s="257">
        <f t="shared" si="60"/>
        <v>3.5522089738770165E+21</v>
      </c>
      <c r="AA452" s="257">
        <f t="shared" si="61"/>
        <v>416942191018.01929</v>
      </c>
    </row>
    <row r="453" spans="18:27" x14ac:dyDescent="0.25">
      <c r="R453" s="253">
        <f t="shared" si="62"/>
        <v>424</v>
      </c>
      <c r="S453" s="254"/>
      <c r="T453" s="255">
        <f t="shared" si="54"/>
        <v>1464736.2697739522</v>
      </c>
      <c r="U453" s="256">
        <f t="shared" si="55"/>
        <v>6763104.0412969543</v>
      </c>
      <c r="V453" s="257">
        <f t="shared" si="56"/>
        <v>37255346.401659198</v>
      </c>
      <c r="W453" s="255">
        <f t="shared" si="57"/>
        <v>9521331343.96064</v>
      </c>
      <c r="X453" s="257">
        <f t="shared" si="58"/>
        <v>433619879698.74017</v>
      </c>
      <c r="Y453" s="255">
        <f t="shared" si="59"/>
        <v>20252661308904.277</v>
      </c>
      <c r="Z453" s="257">
        <f t="shared" si="60"/>
        <v>3.9074298712647181E+21</v>
      </c>
      <c r="AA453" s="257">
        <f t="shared" si="61"/>
        <v>433619879698.74017</v>
      </c>
    </row>
    <row r="454" spans="18:27" x14ac:dyDescent="0.25">
      <c r="R454" s="253">
        <f t="shared" si="62"/>
        <v>425</v>
      </c>
      <c r="S454" s="254"/>
      <c r="T454" s="255">
        <f t="shared" si="54"/>
        <v>1473064.9511228213</v>
      </c>
      <c r="U454" s="256">
        <f t="shared" si="55"/>
        <v>6831745.0817099242</v>
      </c>
      <c r="V454" s="257">
        <f t="shared" si="56"/>
        <v>37815191.597684093</v>
      </c>
      <c r="W454" s="255">
        <f t="shared" si="57"/>
        <v>9806972314.2794609</v>
      </c>
      <c r="X454" s="257">
        <f t="shared" si="58"/>
        <v>450964675926.68982</v>
      </c>
      <c r="Y454" s="255">
        <f t="shared" si="59"/>
        <v>21265294375399.492</v>
      </c>
      <c r="Z454" s="257">
        <f t="shared" si="60"/>
        <v>4.2981728583911903E+21</v>
      </c>
      <c r="AA454" s="257">
        <f t="shared" si="61"/>
        <v>450964675926.68982</v>
      </c>
    </row>
    <row r="455" spans="18:27" x14ac:dyDescent="0.25">
      <c r="R455" s="253">
        <f t="shared" si="62"/>
        <v>426</v>
      </c>
      <c r="S455" s="254"/>
      <c r="T455" s="255">
        <f t="shared" si="54"/>
        <v>1481435.275878435</v>
      </c>
      <c r="U455" s="256">
        <f t="shared" si="55"/>
        <v>6901072.532527023</v>
      </c>
      <c r="V455" s="257">
        <f t="shared" si="56"/>
        <v>38383434.471649349</v>
      </c>
      <c r="W455" s="255">
        <f t="shared" si="57"/>
        <v>10101182513.707846</v>
      </c>
      <c r="X455" s="257">
        <f t="shared" si="58"/>
        <v>469003264003.75739</v>
      </c>
      <c r="Y455" s="255">
        <f t="shared" si="59"/>
        <v>22328559095219.469</v>
      </c>
      <c r="Z455" s="257">
        <f t="shared" si="60"/>
        <v>4.7279901442303087E+21</v>
      </c>
      <c r="AA455" s="257">
        <f t="shared" si="61"/>
        <v>469003264003.75739</v>
      </c>
    </row>
    <row r="456" spans="18:27" x14ac:dyDescent="0.25">
      <c r="R456" s="253">
        <f t="shared" si="62"/>
        <v>427</v>
      </c>
      <c r="S456" s="254"/>
      <c r="T456" s="255">
        <f t="shared" si="54"/>
        <v>1489847.4522578272</v>
      </c>
      <c r="U456" s="256">
        <f t="shared" si="55"/>
        <v>6971093.2578522926</v>
      </c>
      <c r="V456" s="257">
        <f t="shared" si="56"/>
        <v>38960200.988724075</v>
      </c>
      <c r="W456" s="255">
        <f t="shared" si="57"/>
        <v>10404219019.11908</v>
      </c>
      <c r="X456" s="257">
        <f t="shared" si="58"/>
        <v>487763395603.90778</v>
      </c>
      <c r="Y456" s="255">
        <f t="shared" si="59"/>
        <v>23444987051030.441</v>
      </c>
      <c r="Z456" s="257">
        <f t="shared" si="60"/>
        <v>5.2007891586533409E+21</v>
      </c>
      <c r="AA456" s="257">
        <f t="shared" si="61"/>
        <v>487763395603.90778</v>
      </c>
    </row>
    <row r="457" spans="18:27" x14ac:dyDescent="0.25">
      <c r="R457" s="253">
        <f t="shared" si="62"/>
        <v>428</v>
      </c>
      <c r="S457" s="254"/>
      <c r="T457" s="255">
        <f t="shared" si="54"/>
        <v>1498301.689519116</v>
      </c>
      <c r="U457" s="256">
        <f t="shared" si="55"/>
        <v>7041814.1904308144</v>
      </c>
      <c r="V457" s="257">
        <f t="shared" si="56"/>
        <v>39545619.003554925</v>
      </c>
      <c r="W457" s="255">
        <f t="shared" si="57"/>
        <v>10716346619.69265</v>
      </c>
      <c r="X457" s="257">
        <f t="shared" si="58"/>
        <v>507273932468.06403</v>
      </c>
      <c r="Y457" s="255">
        <f t="shared" si="59"/>
        <v>24617236404631.961</v>
      </c>
      <c r="Z457" s="257">
        <f t="shared" si="60"/>
        <v>5.720868074518676E+21</v>
      </c>
      <c r="AA457" s="257">
        <f t="shared" si="61"/>
        <v>507273932468.06403</v>
      </c>
    </row>
  </sheetData>
  <sheetProtection algorithmName="SHA-512" hashValue="s8KlqPW3Mbs2lcHwVxKs1MdcWyPJmw2UtOyX8DMIu+mrLh2p+U26nyyB5YeSJADAjb/7nHdLi46+GCRAWpuDeg==" saltValue="8HmUpM3y9cPmCdM6WY33aQ==" spinCount="100000" sheet="1" objects="1" scenarios="1" selectLockedCells="1"/>
  <mergeCells count="25">
    <mergeCell ref="I25:J25"/>
    <mergeCell ref="D22:E23"/>
    <mergeCell ref="I33:J34"/>
    <mergeCell ref="K33:K34"/>
    <mergeCell ref="E29:F29"/>
    <mergeCell ref="D25:E26"/>
    <mergeCell ref="K23:L23"/>
    <mergeCell ref="R27:AA28"/>
    <mergeCell ref="W20:X20"/>
    <mergeCell ref="AA20:AB20"/>
    <mergeCell ref="AA23:AB23"/>
    <mergeCell ref="X9:Z11"/>
    <mergeCell ref="J20:K20"/>
    <mergeCell ref="R9:S11"/>
    <mergeCell ref="T9:V11"/>
    <mergeCell ref="W9:W11"/>
    <mergeCell ref="M11:N11"/>
    <mergeCell ref="D7:K10"/>
    <mergeCell ref="D11:K12"/>
    <mergeCell ref="D16:E17"/>
    <mergeCell ref="H16:I17"/>
    <mergeCell ref="D19:E20"/>
    <mergeCell ref="H19:I20"/>
    <mergeCell ref="R17:AB17"/>
    <mergeCell ref="R20:S20"/>
  </mergeCells>
  <conditionalFormatting sqref="D16:F17">
    <cfRule type="expression" dxfId="27" priority="30">
      <formula>$D$11="Future Value"</formula>
    </cfRule>
    <cfRule type="expression" dxfId="26" priority="31">
      <formula>$M$12="Present Value"</formula>
    </cfRule>
  </conditionalFormatting>
  <conditionalFormatting sqref="D22:F23">
    <cfRule type="expression" dxfId="25" priority="32">
      <formula>$D$11="Payments"</formula>
    </cfRule>
    <cfRule type="expression" dxfId="24" priority="33">
      <formula>$M$12="Both(No x value)"</formula>
    </cfRule>
  </conditionalFormatting>
  <conditionalFormatting sqref="D25:G35">
    <cfRule type="expression" dxfId="23" priority="10">
      <formula>$D$11="Interest"</formula>
    </cfRule>
  </conditionalFormatting>
  <conditionalFormatting sqref="H23">
    <cfRule type="expression" dxfId="22" priority="1">
      <formula>$J$20="Number of years"</formula>
    </cfRule>
  </conditionalFormatting>
  <conditionalFormatting sqref="H16:J17">
    <cfRule type="expression" dxfId="21" priority="34">
      <formula>$D$11="Present Value"</formula>
    </cfRule>
    <cfRule type="expression" dxfId="20" priority="35">
      <formula>$M$12="Future value"</formula>
    </cfRule>
  </conditionalFormatting>
  <conditionalFormatting sqref="H19:K20">
    <cfRule type="expression" dxfId="19" priority="5">
      <formula>$D$11="Number of periods"</formula>
    </cfRule>
    <cfRule type="expression" dxfId="18" priority="14">
      <formula>$D$11="Number of years"</formula>
    </cfRule>
  </conditionalFormatting>
  <conditionalFormatting sqref="I25:K25">
    <cfRule type="expression" dxfId="17" priority="3">
      <formula>$J$20="Dates"</formula>
    </cfRule>
  </conditionalFormatting>
  <conditionalFormatting sqref="I23:M23">
    <cfRule type="expression" dxfId="16" priority="2">
      <formula>$J$20="Number of years"</formula>
    </cfRule>
  </conditionalFormatting>
  <conditionalFormatting sqref="I21:N35">
    <cfRule type="expression" dxfId="15" priority="15">
      <formula>$D$11="Number of years"</formula>
    </cfRule>
  </conditionalFormatting>
  <conditionalFormatting sqref="I22:N35">
    <cfRule type="expression" dxfId="14" priority="7">
      <formula>$D$11="Number of periods"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43" r:id="rId3" name="btnAdv">
          <controlPr locked="0" defaultSize="0" autoLine="0" r:id="rId4">
            <anchor moveWithCells="1">
              <from>
                <xdr:col>21</xdr:col>
                <xdr:colOff>518160</xdr:colOff>
                <xdr:row>20</xdr:row>
                <xdr:rowOff>76200</xdr:rowOff>
              </from>
              <to>
                <xdr:col>23</xdr:col>
                <xdr:colOff>632460</xdr:colOff>
                <xdr:row>22</xdr:row>
                <xdr:rowOff>99060</xdr:rowOff>
              </to>
            </anchor>
          </controlPr>
        </control>
      </mc:Choice>
      <mc:Fallback>
        <control shapeId="4543" r:id="rId3" name="btnAdv"/>
      </mc:Fallback>
    </mc:AlternateContent>
    <mc:AlternateContent xmlns:mc="http://schemas.openxmlformats.org/markup-compatibility/2006">
      <mc:Choice Requires="x14">
        <control shapeId="4325" r:id="rId5" name="Spinner 229">
          <controlPr locked="0" defaultSize="0" autoPict="0">
            <anchor moveWithCells="1" sizeWithCells="1">
              <from>
                <xdr:col>20</xdr:col>
                <xdr:colOff>76200</xdr:colOff>
                <xdr:row>18</xdr:row>
                <xdr:rowOff>15240</xdr:rowOff>
              </from>
              <to>
                <xdr:col>20</xdr:col>
                <xdr:colOff>579120</xdr:colOff>
                <xdr:row>20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AD2D43A-F82A-4BE8-9D7C-D35388603EDA}">
          <x14:formula1>
            <xm:f>Dropdown!$G$1:$G$6</xm:f>
          </x14:formula1>
          <xm:sqref>D11:K12</xm:sqref>
        </x14:dataValidation>
        <x14:dataValidation type="list" allowBlank="1" showInputMessage="1" showErrorMessage="1" xr:uid="{322E6FE8-3107-429C-B9CF-85C84CEF31DA}">
          <x14:formula1>
            <xm:f>Dropdown!$O$1:$O$3</xm:f>
          </x14:formula1>
          <xm:sqref>M12</xm:sqref>
        </x14:dataValidation>
        <x14:dataValidation type="list" allowBlank="1" showInputMessage="1" showErrorMessage="1" xr:uid="{FCA99789-C47A-45E3-861C-40F6FBDF8DED}">
          <x14:formula1>
            <xm:f>Dropdown!$J$1:$J$2</xm:f>
          </x14:formula1>
          <xm:sqref>J20</xm:sqref>
        </x14:dataValidation>
        <x14:dataValidation type="list" allowBlank="1" showInputMessage="1" showErrorMessage="1" xr:uid="{BAC9ECD3-84C6-4AD2-9FE4-6FD364E1A8FF}">
          <x14:formula1>
            <xm:f>Dropdown!$C$1:$C$2</xm:f>
          </x14:formula1>
          <xm:sqref>E29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090AF-D5F1-4679-9F77-E9F7A5EA6AE1}">
  <sheetPr codeName="Sheet19">
    <tabColor theme="2" tint="-0.749992370372631"/>
  </sheetPr>
  <dimension ref="E6:AC39"/>
  <sheetViews>
    <sheetView showGridLines="0" showRowColHeaders="0" zoomScale="60" zoomScaleNormal="60" workbookViewId="0">
      <selection activeCell="F37" sqref="F37:H37"/>
    </sheetView>
  </sheetViews>
  <sheetFormatPr defaultRowHeight="13.8" x14ac:dyDescent="0.25"/>
  <cols>
    <col min="1" max="11" width="8.796875" style="68"/>
    <col min="12" max="12" width="14.09765625" style="68" customWidth="1"/>
    <col min="13" max="13" width="13.5" style="68" customWidth="1"/>
    <col min="14" max="15" width="8.796875" style="68"/>
    <col min="16" max="16" width="20.69921875" style="68" customWidth="1"/>
    <col min="17" max="17" width="10.8984375" style="68" customWidth="1"/>
    <col min="18" max="18" width="6.69921875" style="68" customWidth="1"/>
    <col min="19" max="19" width="8.796875" style="68"/>
    <col min="20" max="20" width="12.796875" style="68" customWidth="1"/>
    <col min="21" max="21" width="10.09765625" style="68" customWidth="1"/>
    <col min="22" max="26" width="8.796875" style="68"/>
    <col min="27" max="27" width="13.296875" style="68" customWidth="1"/>
    <col min="28" max="16384" width="8.796875" style="68"/>
  </cols>
  <sheetData>
    <row r="6" spans="5:29" x14ac:dyDescent="0.25">
      <c r="E6" s="592" t="s">
        <v>239</v>
      </c>
      <c r="F6" s="592"/>
      <c r="G6" s="592"/>
      <c r="H6" s="592"/>
    </row>
    <row r="7" spans="5:29" x14ac:dyDescent="0.25">
      <c r="E7" s="593"/>
      <c r="F7" s="593"/>
      <c r="G7" s="593"/>
      <c r="H7" s="593"/>
    </row>
    <row r="8" spans="5:29" x14ac:dyDescent="0.25">
      <c r="E8" s="311"/>
      <c r="F8" s="312"/>
      <c r="G8" s="312"/>
      <c r="H8" s="312"/>
      <c r="I8" s="312"/>
      <c r="J8" s="312"/>
      <c r="K8" s="312"/>
      <c r="L8" s="312"/>
      <c r="M8" s="312"/>
      <c r="N8" s="312"/>
      <c r="O8" s="312"/>
      <c r="P8" s="312"/>
      <c r="Q8" s="312"/>
      <c r="R8" s="312"/>
      <c r="S8" s="312"/>
      <c r="T8" s="312"/>
      <c r="U8" s="312"/>
      <c r="V8" s="312"/>
      <c r="W8" s="312"/>
      <c r="X8" s="312"/>
      <c r="Y8" s="312"/>
      <c r="Z8" s="312"/>
      <c r="AA8" s="312"/>
      <c r="AB8" s="312"/>
      <c r="AC8" s="313"/>
    </row>
    <row r="9" spans="5:29" x14ac:dyDescent="0.25">
      <c r="E9" s="314"/>
      <c r="Z9" s="579" t="s">
        <v>250</v>
      </c>
      <c r="AA9" s="579"/>
      <c r="AC9" s="315"/>
    </row>
    <row r="10" spans="5:29" x14ac:dyDescent="0.25">
      <c r="E10" s="314"/>
      <c r="F10" s="594" t="s">
        <v>221</v>
      </c>
      <c r="G10" s="594"/>
      <c r="H10" s="594"/>
      <c r="Z10" s="579"/>
      <c r="AA10" s="579"/>
      <c r="AC10" s="315"/>
    </row>
    <row r="11" spans="5:29" x14ac:dyDescent="0.25">
      <c r="E11" s="314"/>
      <c r="F11" s="594"/>
      <c r="G11" s="594"/>
      <c r="H11" s="594"/>
      <c r="Z11" s="591">
        <f>IF(AND(F13="Future value of saving",F20="Present Value"),'Increasing payments-BE'!C5,IF(AND(F13="Future value of saving",F20="Future Value"),'Increasing payments-BE'!B5,IF(AND(F13="Present value of saving",F20="Present Value"),'Increasing payments-BE'!C6,IF(AND(F13="Present value of saving",F20="Future Value"),'Increasing payments-BE'!B6,IF(AND(F13="Payments",F20="Present Value"),'Increasing payments-BE'!C4,IF(AND(F13="Payments",F20="Future Value"),'Increasing payments-BE'!B4,))))))</f>
        <v>15330.342336808159</v>
      </c>
      <c r="AA11" s="591"/>
      <c r="AC11" s="315"/>
    </row>
    <row r="12" spans="5:29" ht="15.6" x14ac:dyDescent="0.3">
      <c r="E12" s="314"/>
      <c r="F12" s="594"/>
      <c r="G12" s="594"/>
      <c r="H12" s="594"/>
      <c r="K12" s="578" t="s">
        <v>244</v>
      </c>
      <c r="L12" s="578"/>
      <c r="M12" s="415">
        <v>10000</v>
      </c>
      <c r="S12" s="580" t="s">
        <v>248</v>
      </c>
      <c r="T12" s="580"/>
      <c r="U12" s="424">
        <v>0.06</v>
      </c>
      <c r="Z12" s="591"/>
      <c r="AA12" s="591"/>
      <c r="AC12" s="315"/>
    </row>
    <row r="13" spans="5:29" x14ac:dyDescent="0.25">
      <c r="E13" s="426"/>
      <c r="F13" s="588" t="s">
        <v>262</v>
      </c>
      <c r="G13" s="588"/>
      <c r="H13" s="588"/>
      <c r="M13" s="416"/>
      <c r="U13" s="417"/>
      <c r="Z13" s="591"/>
      <c r="AA13" s="591"/>
      <c r="AC13" s="315"/>
    </row>
    <row r="14" spans="5:29" x14ac:dyDescent="0.25">
      <c r="E14" s="426"/>
      <c r="F14" s="417"/>
      <c r="G14" s="417"/>
      <c r="H14" s="417"/>
      <c r="M14" s="416"/>
      <c r="U14" s="417"/>
      <c r="AC14" s="315"/>
    </row>
    <row r="15" spans="5:29" ht="15.6" x14ac:dyDescent="0.3">
      <c r="E15" s="426"/>
      <c r="F15" s="417"/>
      <c r="G15" s="417"/>
      <c r="H15" s="417"/>
      <c r="K15" s="578" t="s">
        <v>245</v>
      </c>
      <c r="L15" s="578"/>
      <c r="M15" s="415">
        <v>1000</v>
      </c>
      <c r="S15" s="578" t="s">
        <v>247</v>
      </c>
      <c r="T15" s="578"/>
      <c r="U15" s="424">
        <f>IF(U17="No",T19,Converter!X29)</f>
        <v>0.03</v>
      </c>
      <c r="Z15" s="581" t="s">
        <v>251</v>
      </c>
      <c r="AA15" s="581"/>
      <c r="AC15" s="315"/>
    </row>
    <row r="16" spans="5:29" ht="15.6" x14ac:dyDescent="0.3">
      <c r="E16" s="426"/>
      <c r="F16" s="589" t="s">
        <v>241</v>
      </c>
      <c r="G16" s="589"/>
      <c r="H16" s="589"/>
      <c r="M16" s="416"/>
      <c r="P16" s="320" t="s">
        <v>11</v>
      </c>
      <c r="Q16" s="420">
        <v>5</v>
      </c>
      <c r="U16" s="417"/>
      <c r="Z16" s="581"/>
      <c r="AA16" s="581"/>
      <c r="AC16" s="315"/>
    </row>
    <row r="17" spans="5:29" ht="16.2" thickBot="1" x14ac:dyDescent="0.35">
      <c r="E17" s="426"/>
      <c r="F17" s="588" t="s">
        <v>275</v>
      </c>
      <c r="G17" s="588"/>
      <c r="H17" s="588"/>
      <c r="M17" s="416"/>
      <c r="P17" s="320" t="s">
        <v>10</v>
      </c>
      <c r="Q17" s="421">
        <v>12</v>
      </c>
      <c r="S17" s="583" t="s">
        <v>249</v>
      </c>
      <c r="T17" s="584"/>
      <c r="U17" s="383" t="s">
        <v>15</v>
      </c>
      <c r="V17" s="313"/>
      <c r="Z17" s="577">
        <f>IF(AND(F13="Future value of saving",F20="Present Value"),'Increasing payments-BE'!E5,IF(AND(F13="Future value of saving",F20="Future Value"),'Increasing payments-BE'!D5,IF(AND(F13="Present value of saving",F20="Present Value"),'Increasing payments-BE'!E6,IF(AND(F13="Present value of saving",F20="Future Value"),'Increasing payments-BE'!E6,IF(AND(F13="Payments",F20="Present Value"),'Increasing payments-BE'!E4,IF(AND(F13="Payments",F20="Future Value"),'Increasing payments-BE'!D4,))))))</f>
        <v>15790.252606912403</v>
      </c>
      <c r="AA17" s="577"/>
      <c r="AC17" s="315"/>
    </row>
    <row r="18" spans="5:29" ht="16.2" thickTop="1" x14ac:dyDescent="0.3">
      <c r="E18" s="426"/>
      <c r="F18" s="417"/>
      <c r="G18" s="417"/>
      <c r="H18" s="417"/>
      <c r="K18" s="578" t="s">
        <v>243</v>
      </c>
      <c r="L18" s="578"/>
      <c r="M18" s="415">
        <v>100</v>
      </c>
      <c r="P18" s="320" t="s">
        <v>246</v>
      </c>
      <c r="Q18" s="420">
        <f>Q16*Q17</f>
        <v>60</v>
      </c>
      <c r="S18" s="264"/>
      <c r="T18" s="260"/>
      <c r="U18" s="408"/>
      <c r="V18" s="315"/>
      <c r="Z18" s="577"/>
      <c r="AA18" s="577"/>
      <c r="AC18" s="315"/>
    </row>
    <row r="19" spans="5:29" ht="15.6" x14ac:dyDescent="0.25">
      <c r="E19" s="426"/>
      <c r="F19" s="590" t="s">
        <v>242</v>
      </c>
      <c r="G19" s="590"/>
      <c r="H19" s="590"/>
      <c r="M19" s="417"/>
      <c r="Q19" s="422"/>
      <c r="S19" s="323" t="s">
        <v>9</v>
      </c>
      <c r="T19" s="425">
        <v>0.03</v>
      </c>
      <c r="U19" s="408"/>
      <c r="V19" s="315"/>
      <c r="Z19" s="577"/>
      <c r="AA19" s="577"/>
      <c r="AC19" s="315"/>
    </row>
    <row r="20" spans="5:29" x14ac:dyDescent="0.25">
      <c r="E20" s="426"/>
      <c r="F20" s="582" t="s">
        <v>32</v>
      </c>
      <c r="G20" s="582"/>
      <c r="H20" s="582"/>
      <c r="M20" s="417"/>
      <c r="Q20" s="417"/>
      <c r="S20" s="314"/>
      <c r="U20" s="417"/>
      <c r="V20" s="315"/>
      <c r="AC20" s="315"/>
    </row>
    <row r="21" spans="5:29" x14ac:dyDescent="0.25">
      <c r="E21" s="427"/>
      <c r="F21" s="428"/>
      <c r="G21" s="428"/>
      <c r="H21" s="428"/>
      <c r="I21" s="317"/>
      <c r="J21" s="317"/>
      <c r="K21" s="317"/>
      <c r="L21" s="317"/>
      <c r="M21" s="418"/>
      <c r="N21" s="317"/>
      <c r="O21" s="317"/>
      <c r="P21" s="317"/>
      <c r="Q21" s="418"/>
      <c r="R21" s="317"/>
      <c r="S21" s="316"/>
      <c r="T21" s="317"/>
      <c r="U21" s="418"/>
      <c r="V21" s="318"/>
      <c r="W21" s="317"/>
      <c r="X21" s="317"/>
      <c r="Y21" s="317"/>
      <c r="Z21" s="317"/>
      <c r="AA21" s="317"/>
      <c r="AB21" s="317"/>
      <c r="AC21" s="318"/>
    </row>
    <row r="22" spans="5:29" x14ac:dyDescent="0.25">
      <c r="E22" s="417"/>
      <c r="F22" s="417"/>
      <c r="G22" s="417"/>
      <c r="H22" s="417"/>
      <c r="M22" s="417"/>
      <c r="Q22" s="417"/>
      <c r="U22" s="417"/>
    </row>
    <row r="23" spans="5:29" x14ac:dyDescent="0.25">
      <c r="E23" s="585" t="s">
        <v>240</v>
      </c>
      <c r="F23" s="585"/>
      <c r="G23" s="585"/>
      <c r="H23" s="585"/>
      <c r="M23" s="417"/>
      <c r="Q23" s="417"/>
      <c r="U23" s="417"/>
    </row>
    <row r="24" spans="5:29" x14ac:dyDescent="0.25">
      <c r="E24" s="586"/>
      <c r="F24" s="586"/>
      <c r="G24" s="586"/>
      <c r="H24" s="586"/>
      <c r="M24" s="417"/>
      <c r="Q24" s="417"/>
      <c r="U24" s="417"/>
    </row>
    <row r="25" spans="5:29" x14ac:dyDescent="0.25">
      <c r="E25" s="429"/>
      <c r="F25" s="419"/>
      <c r="G25" s="419"/>
      <c r="H25" s="419"/>
      <c r="I25" s="312"/>
      <c r="J25" s="312"/>
      <c r="K25" s="312"/>
      <c r="L25" s="312"/>
      <c r="M25" s="419"/>
      <c r="N25" s="312"/>
      <c r="O25" s="312"/>
      <c r="P25" s="312"/>
      <c r="Q25" s="419"/>
      <c r="R25" s="312"/>
      <c r="S25" s="312"/>
      <c r="T25" s="312"/>
      <c r="U25" s="419"/>
      <c r="V25" s="312"/>
      <c r="W25" s="312"/>
      <c r="X25" s="312"/>
      <c r="Y25" s="312"/>
      <c r="Z25" s="312"/>
      <c r="AA25" s="312"/>
      <c r="AB25" s="312"/>
      <c r="AC25" s="313"/>
    </row>
    <row r="26" spans="5:29" x14ac:dyDescent="0.25">
      <c r="E26" s="426"/>
      <c r="F26" s="417"/>
      <c r="G26" s="417"/>
      <c r="H26" s="417"/>
      <c r="M26" s="417"/>
      <c r="Q26" s="417"/>
      <c r="U26" s="417"/>
      <c r="Z26" s="579" t="s">
        <v>250</v>
      </c>
      <c r="AA26" s="579"/>
      <c r="AC26" s="315"/>
    </row>
    <row r="27" spans="5:29" ht="13.8" customHeight="1" x14ac:dyDescent="0.25">
      <c r="E27" s="426"/>
      <c r="F27" s="587" t="s">
        <v>221</v>
      </c>
      <c r="G27" s="587"/>
      <c r="H27" s="587"/>
      <c r="M27" s="417"/>
      <c r="Q27" s="417"/>
      <c r="U27" s="417"/>
      <c r="Z27" s="579"/>
      <c r="AA27" s="579"/>
      <c r="AC27" s="315"/>
    </row>
    <row r="28" spans="5:29" ht="13.8" customHeight="1" x14ac:dyDescent="0.25">
      <c r="E28" s="426"/>
      <c r="F28" s="587"/>
      <c r="G28" s="587"/>
      <c r="H28" s="587"/>
      <c r="M28" s="417"/>
      <c r="Q28" s="417"/>
      <c r="U28" s="417"/>
      <c r="Z28" s="577">
        <f>IF(AND(F30="Future value of saving",F37="Present Value"),'Increasing payments-BE'!G21,IF(AND(F30="Future value of saving",F37="Future Value"),'Increasing payments-BE'!F21,IF(AND(F30="Present value of saving",F37="Present Value"),'Increasing payments-BE'!G22,IF(AND(F30="Present value of saving",F37="Future Value"),'Increasing payments-BE'!F22,IF(AND(F30="Payments",F37="Present Value"),'Increasing payments-BE'!G20,IF(AND(F30="Payments",F37="Future Value"),'Increasing payments-BE'!F20,))))))</f>
        <v>2998.7994518324017</v>
      </c>
      <c r="AA28" s="577"/>
      <c r="AC28" s="315"/>
    </row>
    <row r="29" spans="5:29" ht="13.8" customHeight="1" x14ac:dyDescent="0.3">
      <c r="E29" s="426"/>
      <c r="F29" s="587"/>
      <c r="G29" s="587"/>
      <c r="H29" s="587"/>
      <c r="K29" s="578" t="s">
        <v>244</v>
      </c>
      <c r="L29" s="578"/>
      <c r="M29" s="415">
        <v>10000</v>
      </c>
      <c r="P29" s="324" t="s">
        <v>252</v>
      </c>
      <c r="Q29" s="423">
        <v>12</v>
      </c>
      <c r="S29" s="580" t="s">
        <v>248</v>
      </c>
      <c r="T29" s="580"/>
      <c r="U29" s="424">
        <v>0.06</v>
      </c>
      <c r="Z29" s="577"/>
      <c r="AA29" s="577"/>
      <c r="AC29" s="315"/>
    </row>
    <row r="30" spans="5:29" x14ac:dyDescent="0.25">
      <c r="E30" s="426"/>
      <c r="F30" s="588" t="s">
        <v>262</v>
      </c>
      <c r="G30" s="588"/>
      <c r="H30" s="588"/>
      <c r="M30" s="416"/>
      <c r="Q30" s="417"/>
      <c r="U30" s="417"/>
      <c r="Z30" s="577"/>
      <c r="AA30" s="577"/>
      <c r="AC30" s="315"/>
    </row>
    <row r="31" spans="5:29" x14ac:dyDescent="0.25">
      <c r="E31" s="426"/>
      <c r="F31" s="417"/>
      <c r="G31" s="417"/>
      <c r="H31" s="417"/>
      <c r="M31" s="416"/>
      <c r="Q31" s="417"/>
      <c r="U31" s="417"/>
      <c r="AC31" s="315"/>
    </row>
    <row r="32" spans="5:29" ht="15.6" x14ac:dyDescent="0.3">
      <c r="E32" s="426"/>
      <c r="F32" s="417"/>
      <c r="G32" s="417"/>
      <c r="H32" s="417"/>
      <c r="K32" s="578" t="s">
        <v>245</v>
      </c>
      <c r="L32" s="578"/>
      <c r="M32" s="415">
        <v>1000</v>
      </c>
      <c r="Q32" s="417"/>
      <c r="S32" s="578" t="s">
        <v>247</v>
      </c>
      <c r="T32" s="578"/>
      <c r="U32" s="424">
        <f>IF(U34="No",T36,Converter!X29)</f>
        <v>0.03</v>
      </c>
      <c r="Z32" s="581" t="s">
        <v>251</v>
      </c>
      <c r="AA32" s="581"/>
      <c r="AC32" s="315"/>
    </row>
    <row r="33" spans="5:29" ht="15.6" x14ac:dyDescent="0.3">
      <c r="E33" s="426"/>
      <c r="F33" s="589" t="s">
        <v>241</v>
      </c>
      <c r="G33" s="589"/>
      <c r="H33" s="589"/>
      <c r="M33" s="416"/>
      <c r="P33" s="320" t="s">
        <v>11</v>
      </c>
      <c r="Q33" s="420">
        <v>5</v>
      </c>
      <c r="U33" s="417"/>
      <c r="Z33" s="581"/>
      <c r="AA33" s="581"/>
      <c r="AC33" s="315"/>
    </row>
    <row r="34" spans="5:29" ht="16.2" thickBot="1" x14ac:dyDescent="0.35">
      <c r="E34" s="426"/>
      <c r="F34" s="588" t="s">
        <v>275</v>
      </c>
      <c r="G34" s="588"/>
      <c r="H34" s="588"/>
      <c r="M34" s="416"/>
      <c r="P34" s="320" t="s">
        <v>10</v>
      </c>
      <c r="Q34" s="421">
        <v>12</v>
      </c>
      <c r="S34" s="583" t="s">
        <v>249</v>
      </c>
      <c r="T34" s="584"/>
      <c r="U34" s="383" t="s">
        <v>15</v>
      </c>
      <c r="V34" s="313"/>
      <c r="Z34" s="577">
        <f>IF(AND(F30="Future value of saving",F37="Present Value"),'Increasing payments-BE'!I21,IF(AND(F30="Future value of saving",F37="Future Value"),'Increasing payments-BE'!H21,IF(AND(F30="Present value of saving",F37="Present Value"),'Increasing payments-BE'!I22,IF(AND(F30="Present value of saving",F37="Future Value"),'Increasing payments-BE'!H22,IF(AND(F30="Payments",F37="Present Value"),'Increasing payments-BE'!I20,IF(AND(F30="Payments",F37="Future Value"),'Increasing payments-BE'!H20,))))))</f>
        <v>3088.7634353873736</v>
      </c>
      <c r="AA34" s="577"/>
      <c r="AC34" s="315"/>
    </row>
    <row r="35" spans="5:29" ht="16.2" thickTop="1" x14ac:dyDescent="0.3">
      <c r="E35" s="426"/>
      <c r="F35" s="417"/>
      <c r="G35" s="417"/>
      <c r="H35" s="417"/>
      <c r="K35" s="578" t="s">
        <v>243</v>
      </c>
      <c r="L35" s="578"/>
      <c r="M35" s="415">
        <v>100</v>
      </c>
      <c r="P35" s="320" t="s">
        <v>246</v>
      </c>
      <c r="Q35" s="420">
        <f>Q33*Q34</f>
        <v>60</v>
      </c>
      <c r="S35" s="264"/>
      <c r="T35" s="260"/>
      <c r="U35" s="260"/>
      <c r="V35" s="315"/>
      <c r="Z35" s="577"/>
      <c r="AA35" s="577"/>
      <c r="AC35" s="315"/>
    </row>
    <row r="36" spans="5:29" ht="15.6" x14ac:dyDescent="0.25">
      <c r="E36" s="426"/>
      <c r="F36" s="590" t="s">
        <v>242</v>
      </c>
      <c r="G36" s="590"/>
      <c r="H36" s="590"/>
      <c r="Q36" s="322"/>
      <c r="S36" s="323" t="s">
        <v>9</v>
      </c>
      <c r="T36" s="425">
        <v>0.03</v>
      </c>
      <c r="U36" s="260"/>
      <c r="V36" s="315"/>
      <c r="Z36" s="577"/>
      <c r="AA36" s="577"/>
      <c r="AC36" s="315"/>
    </row>
    <row r="37" spans="5:29" x14ac:dyDescent="0.25">
      <c r="E37" s="426"/>
      <c r="F37" s="582" t="s">
        <v>31</v>
      </c>
      <c r="G37" s="582"/>
      <c r="H37" s="582"/>
      <c r="S37" s="314"/>
      <c r="V37" s="315"/>
      <c r="AC37" s="315"/>
    </row>
    <row r="38" spans="5:29" x14ac:dyDescent="0.25">
      <c r="E38" s="314"/>
      <c r="F38" s="312"/>
      <c r="G38" s="312"/>
      <c r="H38" s="312"/>
      <c r="S38" s="314"/>
      <c r="V38" s="315"/>
      <c r="AC38" s="315"/>
    </row>
    <row r="39" spans="5:29" x14ac:dyDescent="0.25">
      <c r="E39" s="312"/>
      <c r="F39" s="312"/>
      <c r="G39" s="312"/>
      <c r="H39" s="312"/>
      <c r="I39" s="312"/>
      <c r="J39" s="312"/>
      <c r="K39" s="312"/>
      <c r="L39" s="312"/>
      <c r="M39" s="312"/>
      <c r="N39" s="312"/>
      <c r="O39" s="312"/>
      <c r="P39" s="312"/>
      <c r="Q39" s="312"/>
      <c r="R39" s="312"/>
      <c r="S39" s="312"/>
      <c r="T39" s="312"/>
      <c r="U39" s="312"/>
      <c r="V39" s="312"/>
      <c r="W39" s="312"/>
      <c r="X39" s="312"/>
      <c r="Y39" s="312"/>
      <c r="Z39" s="312"/>
      <c r="AA39" s="312"/>
      <c r="AB39" s="312"/>
      <c r="AC39" s="312"/>
    </row>
  </sheetData>
  <sheetProtection algorithmName="SHA-512" hashValue="x2Uoc/whLkTUVQJsKk14WeRAdT9loOgBikZdPSJvju1A+nEHGZBpZ0J6TY15Zqyu4X2CuhX3GUZMkeNS491ZTw==" saltValue="socTxJNP2DRL7E9yyafTNQ==" spinCount="100000" sheet="1" objects="1" scenarios="1"/>
  <mergeCells count="34">
    <mergeCell ref="Z9:AA10"/>
    <mergeCell ref="Z11:AA13"/>
    <mergeCell ref="Z15:AA16"/>
    <mergeCell ref="Z17:AA19"/>
    <mergeCell ref="E6:H7"/>
    <mergeCell ref="F10:H12"/>
    <mergeCell ref="F13:H13"/>
    <mergeCell ref="F16:H16"/>
    <mergeCell ref="F19:H19"/>
    <mergeCell ref="F17:H17"/>
    <mergeCell ref="F37:H37"/>
    <mergeCell ref="K12:L12"/>
    <mergeCell ref="K15:L15"/>
    <mergeCell ref="S12:T12"/>
    <mergeCell ref="S15:T15"/>
    <mergeCell ref="S17:T17"/>
    <mergeCell ref="E23:H24"/>
    <mergeCell ref="F20:H20"/>
    <mergeCell ref="F27:H29"/>
    <mergeCell ref="F30:H30"/>
    <mergeCell ref="F33:H33"/>
    <mergeCell ref="F34:H34"/>
    <mergeCell ref="F36:H36"/>
    <mergeCell ref="S34:T34"/>
    <mergeCell ref="Z34:AA36"/>
    <mergeCell ref="K18:L18"/>
    <mergeCell ref="K35:L35"/>
    <mergeCell ref="Z26:AA27"/>
    <mergeCell ref="Z28:AA30"/>
    <mergeCell ref="K29:L29"/>
    <mergeCell ref="S29:T29"/>
    <mergeCell ref="S32:T32"/>
    <mergeCell ref="Z32:AA33"/>
    <mergeCell ref="K32:L32"/>
  </mergeCells>
  <conditionalFormatting sqref="Z9:AA13">
    <cfRule type="expression" dxfId="13" priority="4">
      <formula>$F$17="advance"</formula>
    </cfRule>
  </conditionalFormatting>
  <conditionalFormatting sqref="Z15:AA19">
    <cfRule type="expression" dxfId="12" priority="3">
      <formula>$F$17="arrears"</formula>
    </cfRule>
  </conditionalFormatting>
  <conditionalFormatting sqref="Z26:AA30">
    <cfRule type="expression" dxfId="11" priority="2">
      <formula>$F$34="advance"</formula>
    </cfRule>
  </conditionalFormatting>
  <conditionalFormatting sqref="Z32:AA36">
    <cfRule type="expression" dxfId="10" priority="1">
      <formula>$F$34="arrears"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5298" r:id="rId3" name="CommandButton1">
          <controlPr defaultSize="0" autoLine="0" r:id="rId4">
            <anchor moveWithCells="1">
              <from>
                <xdr:col>20</xdr:col>
                <xdr:colOff>335280</xdr:colOff>
                <xdr:row>17</xdr:row>
                <xdr:rowOff>137160</xdr:rowOff>
              </from>
              <to>
                <xdr:col>21</xdr:col>
                <xdr:colOff>487680</xdr:colOff>
                <xdr:row>19</xdr:row>
                <xdr:rowOff>76200</xdr:rowOff>
              </to>
            </anchor>
          </controlPr>
        </control>
      </mc:Choice>
      <mc:Fallback>
        <control shapeId="55298" r:id="rId3" name="CommandButton1"/>
      </mc:Fallback>
    </mc:AlternateContent>
    <mc:AlternateContent xmlns:mc="http://schemas.openxmlformats.org/markup-compatibility/2006">
      <mc:Choice Requires="x14">
        <control shapeId="55299" r:id="rId5" name="CommandButton2">
          <controlPr defaultSize="0" autoLine="0" r:id="rId4">
            <anchor moveWithCells="1">
              <from>
                <xdr:col>20</xdr:col>
                <xdr:colOff>335280</xdr:colOff>
                <xdr:row>34</xdr:row>
                <xdr:rowOff>137160</xdr:rowOff>
              </from>
              <to>
                <xdr:col>21</xdr:col>
                <xdr:colOff>487680</xdr:colOff>
                <xdr:row>36</xdr:row>
                <xdr:rowOff>76200</xdr:rowOff>
              </to>
            </anchor>
          </controlPr>
        </control>
      </mc:Choice>
      <mc:Fallback>
        <control shapeId="55299" r:id="rId5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241FEF5-DEB2-4B28-8A1E-F97C2864E898}">
          <x14:formula1>
            <xm:f>Dropdown!$F$10:$F$12</xm:f>
          </x14:formula1>
          <xm:sqref>F13:H13 F30:H30</xm:sqref>
        </x14:dataValidation>
        <x14:dataValidation type="list" allowBlank="1" showInputMessage="1" showErrorMessage="1" xr:uid="{5CA6851A-6AAA-49E5-945C-133969369D74}">
          <x14:formula1>
            <xm:f>Dropdown!$M$7:$M$8</xm:f>
          </x14:formula1>
          <xm:sqref>F17:H17 F34:H34</xm:sqref>
        </x14:dataValidation>
        <x14:dataValidation type="list" allowBlank="1" showInputMessage="1" showErrorMessage="1" xr:uid="{FF901903-4C57-4062-8FC6-7978104C2B2D}">
          <x14:formula1>
            <xm:f>Dropdown!$G$1:$G$2</xm:f>
          </x14:formula1>
          <xm:sqref>F20:H20 F37:H37</xm:sqref>
        </x14:dataValidation>
        <x14:dataValidation type="list" allowBlank="1" showInputMessage="1" showErrorMessage="1" xr:uid="{BEEB0E9A-5755-40A1-9951-AD2E1E825989}">
          <x14:formula1>
            <xm:f>Dropdown!$C$1:$C$2</xm:f>
          </x14:formula1>
          <xm:sqref>U17 U34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16032-2BBB-4967-B404-B729395AC68D}">
  <sheetPr codeName="Sheet20">
    <tabColor theme="2" tint="-0.749992370372631"/>
  </sheetPr>
  <dimension ref="D7:AB42"/>
  <sheetViews>
    <sheetView showGridLines="0" showRowColHeaders="0" zoomScale="63" zoomScaleNormal="70" workbookViewId="0">
      <selection activeCell="E12" sqref="E12:F12"/>
    </sheetView>
  </sheetViews>
  <sheetFormatPr defaultRowHeight="13.8" x14ac:dyDescent="0.25"/>
  <cols>
    <col min="1" max="4" width="8.796875" style="68"/>
    <col min="5" max="5" width="26.59765625" style="68" customWidth="1"/>
    <col min="6" max="6" width="16.59765625" style="68" customWidth="1"/>
    <col min="7" max="7" width="3.3984375" style="68" customWidth="1"/>
    <col min="8" max="8" width="8.796875" style="68"/>
    <col min="9" max="9" width="6.296875" style="68" customWidth="1"/>
    <col min="10" max="10" width="19.59765625" style="68" bestFit="1" customWidth="1"/>
    <col min="11" max="11" width="15.19921875" style="68" bestFit="1" customWidth="1"/>
    <col min="12" max="12" width="9.296875" style="68" customWidth="1"/>
    <col min="13" max="13" width="16.8984375" style="68" customWidth="1"/>
    <col min="14" max="14" width="16" style="68" bestFit="1" customWidth="1"/>
    <col min="15" max="15" width="14.59765625" style="68" customWidth="1"/>
    <col min="16" max="16" width="13.09765625" style="68" customWidth="1"/>
    <col min="17" max="17" width="4" style="68" customWidth="1"/>
    <col min="18" max="18" width="0.8984375" style="68" customWidth="1"/>
    <col min="19" max="19" width="16.5" style="68" customWidth="1"/>
    <col min="20" max="20" width="8.796875" style="68"/>
    <col min="21" max="21" width="6.19921875" style="68" customWidth="1"/>
    <col min="22" max="22" width="7.796875" style="68" customWidth="1"/>
    <col min="23" max="23" width="16" style="68" customWidth="1"/>
    <col min="24" max="24" width="8.796875" style="68"/>
    <col min="25" max="25" width="7.69921875" style="68" customWidth="1"/>
    <col min="26" max="30" width="8.796875" style="68"/>
    <col min="31" max="31" width="11.69921875" style="68" customWidth="1"/>
    <col min="32" max="16384" width="8.796875" style="68"/>
  </cols>
  <sheetData>
    <row r="7" spans="4:28" x14ac:dyDescent="0.25">
      <c r="K7" s="310" t="str">
        <f>K10</f>
        <v>Payments</v>
      </c>
    </row>
    <row r="8" spans="4:28" x14ac:dyDescent="0.25">
      <c r="D8" s="311"/>
      <c r="E8" s="312"/>
      <c r="F8" s="312"/>
      <c r="G8" s="312"/>
      <c r="H8" s="312"/>
      <c r="I8" s="312"/>
      <c r="J8" s="312"/>
      <c r="K8" s="312"/>
      <c r="L8" s="312"/>
      <c r="M8" s="312"/>
      <c r="N8" s="312"/>
      <c r="O8" s="312"/>
      <c r="P8" s="312"/>
      <c r="Q8" s="312"/>
      <c r="R8" s="312"/>
      <c r="S8" s="312"/>
      <c r="T8" s="312"/>
      <c r="U8" s="312"/>
      <c r="V8" s="312"/>
      <c r="W8" s="312"/>
      <c r="X8" s="312"/>
      <c r="Y8" s="312"/>
      <c r="Z8" s="312"/>
      <c r="AA8" s="312"/>
      <c r="AB8" s="314"/>
    </row>
    <row r="9" spans="4:28" x14ac:dyDescent="0.25">
      <c r="D9" s="314"/>
      <c r="E9" s="619" t="s">
        <v>221</v>
      </c>
      <c r="F9" s="619"/>
      <c r="G9" s="619"/>
      <c r="AB9" s="314"/>
    </row>
    <row r="10" spans="4:28" x14ac:dyDescent="0.25">
      <c r="D10" s="314"/>
      <c r="E10" s="619"/>
      <c r="F10" s="619"/>
      <c r="G10" s="619"/>
      <c r="J10" s="198" t="s">
        <v>281</v>
      </c>
      <c r="K10" s="383" t="s">
        <v>88</v>
      </c>
      <c r="P10" s="417"/>
      <c r="Q10" s="326"/>
      <c r="S10" s="616" t="s">
        <v>254</v>
      </c>
      <c r="T10" s="617"/>
      <c r="U10" s="618"/>
      <c r="W10" s="606" t="s">
        <v>256</v>
      </c>
      <c r="X10" s="607"/>
      <c r="Y10" s="608"/>
      <c r="AB10" s="314"/>
    </row>
    <row r="11" spans="4:28" x14ac:dyDescent="0.25">
      <c r="D11" s="314"/>
      <c r="E11" s="619"/>
      <c r="F11" s="619"/>
      <c r="G11" s="619"/>
      <c r="K11" s="416"/>
      <c r="M11" s="609" t="s">
        <v>253</v>
      </c>
      <c r="N11" s="609"/>
      <c r="O11" s="609"/>
      <c r="P11" s="415">
        <v>4000</v>
      </c>
      <c r="S11" s="314"/>
      <c r="U11" s="315"/>
      <c r="W11" s="314"/>
      <c r="Y11" s="315"/>
      <c r="AB11" s="314"/>
    </row>
    <row r="12" spans="4:28" x14ac:dyDescent="0.25">
      <c r="D12" s="314"/>
      <c r="E12" s="588" t="s">
        <v>280</v>
      </c>
      <c r="F12" s="588"/>
      <c r="G12" s="310"/>
      <c r="I12" s="624" t="s">
        <v>222</v>
      </c>
      <c r="J12" s="624"/>
      <c r="K12" s="415">
        <v>20000000</v>
      </c>
      <c r="L12" s="345"/>
      <c r="M12" s="345"/>
      <c r="P12" s="417"/>
      <c r="Q12" s="373"/>
      <c r="S12" s="314"/>
      <c r="U12" s="315"/>
      <c r="W12" s="314"/>
      <c r="Y12" s="315"/>
      <c r="AB12" s="314"/>
    </row>
    <row r="13" spans="4:28" x14ac:dyDescent="0.25">
      <c r="D13" s="314"/>
      <c r="K13" s="417"/>
      <c r="M13" s="609" t="s">
        <v>259</v>
      </c>
      <c r="N13" s="609"/>
      <c r="O13" s="609"/>
      <c r="P13" s="424">
        <v>0.06</v>
      </c>
      <c r="S13" s="325" t="s">
        <v>11</v>
      </c>
      <c r="T13" s="423">
        <v>40</v>
      </c>
      <c r="U13" s="315"/>
      <c r="W13" s="323" t="s">
        <v>11</v>
      </c>
      <c r="X13" s="423">
        <v>20</v>
      </c>
      <c r="Y13" s="315"/>
      <c r="AB13" s="314"/>
    </row>
    <row r="14" spans="4:28" x14ac:dyDescent="0.25">
      <c r="D14" s="314"/>
      <c r="J14" s="328" t="s">
        <v>258</v>
      </c>
      <c r="K14" s="415">
        <v>10000</v>
      </c>
      <c r="P14" s="417"/>
      <c r="S14" s="325" t="s">
        <v>255</v>
      </c>
      <c r="T14" s="430">
        <v>12</v>
      </c>
      <c r="U14" s="315"/>
      <c r="W14" s="323" t="s">
        <v>255</v>
      </c>
      <c r="X14" s="430">
        <v>12</v>
      </c>
      <c r="Y14" s="315"/>
      <c r="AB14" s="314"/>
    </row>
    <row r="15" spans="4:28" ht="15" x14ac:dyDescent="0.25">
      <c r="D15" s="314"/>
      <c r="E15" s="321" t="s">
        <v>257</v>
      </c>
      <c r="F15" s="434">
        <v>10000</v>
      </c>
      <c r="S15" s="325"/>
      <c r="T15" s="406"/>
      <c r="U15" s="315"/>
      <c r="W15" s="323"/>
      <c r="X15" s="406"/>
      <c r="Y15" s="315"/>
      <c r="AB15" s="314"/>
    </row>
    <row r="16" spans="4:28" ht="7.2" customHeight="1" x14ac:dyDescent="0.25">
      <c r="D16" s="314"/>
      <c r="F16" s="417"/>
      <c r="J16" s="598" t="s">
        <v>33</v>
      </c>
      <c r="K16" s="599"/>
      <c r="L16" s="600"/>
      <c r="M16" s="329"/>
      <c r="N16" s="312"/>
      <c r="O16" s="313"/>
      <c r="S16" s="314"/>
      <c r="T16" s="417"/>
      <c r="U16" s="315"/>
      <c r="W16" s="314"/>
      <c r="X16" s="406"/>
      <c r="Y16" s="315"/>
      <c r="AB16" s="314"/>
    </row>
    <row r="17" spans="4:28" ht="22.2" customHeight="1" x14ac:dyDescent="0.25">
      <c r="D17" s="314"/>
      <c r="F17" s="417"/>
      <c r="J17" s="601"/>
      <c r="K17" s="602"/>
      <c r="L17" s="603"/>
      <c r="M17" s="372">
        <f>IF(K19="No",M19,Converter!X29)</f>
        <v>0.01</v>
      </c>
      <c r="O17" s="315"/>
      <c r="S17" s="330" t="s">
        <v>10</v>
      </c>
      <c r="T17" s="431">
        <f>T13*T14</f>
        <v>480</v>
      </c>
      <c r="U17" s="318"/>
      <c r="W17" s="330" t="s">
        <v>10</v>
      </c>
      <c r="X17" s="431">
        <f>X13*X14</f>
        <v>240</v>
      </c>
      <c r="Y17" s="318"/>
      <c r="AB17" s="314"/>
    </row>
    <row r="18" spans="4:28" x14ac:dyDescent="0.25">
      <c r="D18" s="314"/>
      <c r="F18" s="417"/>
      <c r="J18" s="314"/>
      <c r="O18" s="315"/>
      <c r="AB18" s="314"/>
    </row>
    <row r="19" spans="4:28" ht="17.399999999999999" x14ac:dyDescent="0.3">
      <c r="D19" s="347"/>
      <c r="E19" s="327" t="s">
        <v>278</v>
      </c>
      <c r="F19" s="435">
        <f>Retirement!P27</f>
        <v>1186477.2510251577</v>
      </c>
      <c r="J19" s="331" t="s">
        <v>69</v>
      </c>
      <c r="K19" s="423" t="s">
        <v>15</v>
      </c>
      <c r="L19" s="432" t="s">
        <v>260</v>
      </c>
      <c r="M19" s="433">
        <v>0.01</v>
      </c>
      <c r="O19" s="315"/>
      <c r="AB19" s="314"/>
    </row>
    <row r="20" spans="4:28" x14ac:dyDescent="0.25">
      <c r="D20" s="316"/>
      <c r="E20" s="317"/>
      <c r="F20" s="317"/>
      <c r="G20" s="317"/>
      <c r="H20" s="317"/>
      <c r="I20" s="317"/>
      <c r="J20" s="316"/>
      <c r="K20" s="317"/>
      <c r="L20" s="317"/>
      <c r="M20" s="317"/>
      <c r="N20" s="317"/>
      <c r="O20" s="318"/>
      <c r="P20" s="317"/>
      <c r="Q20" s="317"/>
      <c r="R20" s="317"/>
      <c r="S20" s="317"/>
      <c r="T20" s="317"/>
      <c r="U20" s="317"/>
      <c r="V20" s="317"/>
      <c r="W20" s="317"/>
      <c r="X20" s="317"/>
      <c r="Y20" s="317"/>
      <c r="Z20" s="317"/>
      <c r="AA20" s="317"/>
      <c r="AB20" s="314"/>
    </row>
    <row r="21" spans="4:28" x14ac:dyDescent="0.25">
      <c r="D21" s="610" t="s">
        <v>266</v>
      </c>
      <c r="E21" s="610"/>
    </row>
    <row r="22" spans="4:28" x14ac:dyDescent="0.25">
      <c r="D22" s="611"/>
      <c r="E22" s="611"/>
    </row>
    <row r="23" spans="4:28" x14ac:dyDescent="0.25">
      <c r="D23" s="611"/>
      <c r="E23" s="611"/>
    </row>
    <row r="24" spans="4:28" x14ac:dyDescent="0.25">
      <c r="D24" s="311"/>
      <c r="E24" s="312"/>
      <c r="F24" s="312"/>
      <c r="G24" s="312"/>
      <c r="H24" s="312"/>
      <c r="I24" s="312"/>
      <c r="J24" s="312"/>
      <c r="K24" s="312"/>
      <c r="L24" s="312"/>
      <c r="M24" s="312"/>
      <c r="N24" s="312"/>
      <c r="O24" s="313"/>
    </row>
    <row r="25" spans="4:28" x14ac:dyDescent="0.25">
      <c r="D25" s="314"/>
      <c r="E25" s="625" t="s">
        <v>277</v>
      </c>
      <c r="F25" s="626"/>
      <c r="G25" s="626"/>
      <c r="H25" s="627"/>
      <c r="I25" s="612">
        <f>IF('Annuity - Retirement'!E42="What will I get with:",Retirement!F37,Retirement!L19)</f>
        <v>41142.871748503712</v>
      </c>
      <c r="J25" s="613"/>
      <c r="K25" s="598" t="s">
        <v>282</v>
      </c>
      <c r="L25" s="599"/>
      <c r="M25" s="600"/>
      <c r="N25" s="604">
        <f>IF(E12="What do I have to pay if:",P11,Retirement!L14)</f>
        <v>4000</v>
      </c>
      <c r="O25" s="315"/>
    </row>
    <row r="26" spans="4:28" x14ac:dyDescent="0.25">
      <c r="D26" s="314"/>
      <c r="E26" s="628"/>
      <c r="F26" s="629"/>
      <c r="G26" s="629"/>
      <c r="H26" s="630"/>
      <c r="I26" s="614"/>
      <c r="J26" s="615"/>
      <c r="K26" s="601"/>
      <c r="L26" s="602"/>
      <c r="M26" s="603"/>
      <c r="N26" s="605"/>
      <c r="O26" s="315"/>
    </row>
    <row r="27" spans="4:28" x14ac:dyDescent="0.25">
      <c r="D27" s="314"/>
      <c r="E27" s="364"/>
      <c r="O27" s="315"/>
    </row>
    <row r="28" spans="4:28" x14ac:dyDescent="0.25">
      <c r="D28" s="314"/>
      <c r="E28" s="597" t="s">
        <v>295</v>
      </c>
      <c r="F28" s="597"/>
      <c r="G28" s="597"/>
      <c r="H28" s="597"/>
      <c r="I28" s="620">
        <f>Retirement!L8</f>
        <v>4322845.4137264686</v>
      </c>
      <c r="J28" s="621"/>
      <c r="O28" s="315"/>
    </row>
    <row r="29" spans="4:28" x14ac:dyDescent="0.25">
      <c r="D29" s="314"/>
      <c r="E29" s="597"/>
      <c r="F29" s="597"/>
      <c r="G29" s="597"/>
      <c r="H29" s="597"/>
      <c r="I29" s="622"/>
      <c r="J29" s="623"/>
      <c r="O29" s="315"/>
    </row>
    <row r="30" spans="4:28" x14ac:dyDescent="0.25">
      <c r="D30" s="314"/>
      <c r="O30" s="315"/>
    </row>
    <row r="31" spans="4:28" x14ac:dyDescent="0.25">
      <c r="D31" s="314"/>
      <c r="E31" s="597" t="s">
        <v>263</v>
      </c>
      <c r="F31" s="597"/>
      <c r="G31" s="597"/>
      <c r="H31" s="597"/>
      <c r="I31" s="612">
        <f>Retirement!O29</f>
        <v>60010592.722309135</v>
      </c>
      <c r="J31" s="613"/>
      <c r="O31" s="315"/>
    </row>
    <row r="32" spans="4:28" x14ac:dyDescent="0.25">
      <c r="D32" s="314"/>
      <c r="E32" s="597"/>
      <c r="F32" s="597"/>
      <c r="G32" s="597"/>
      <c r="H32" s="597"/>
      <c r="I32" s="614"/>
      <c r="J32" s="615"/>
      <c r="O32" s="315"/>
    </row>
    <row r="33" spans="4:15" x14ac:dyDescent="0.25">
      <c r="D33" s="314"/>
      <c r="O33" s="315"/>
    </row>
    <row r="34" spans="4:15" x14ac:dyDescent="0.25">
      <c r="D34" s="314"/>
      <c r="E34" s="597" t="s">
        <v>222</v>
      </c>
      <c r="F34" s="597"/>
      <c r="G34" s="597"/>
      <c r="H34" s="597"/>
      <c r="I34" s="612">
        <f>Retirement!C37</f>
        <v>36434.288225849923</v>
      </c>
      <c r="J34" s="613"/>
      <c r="K34" s="631" t="s">
        <v>50</v>
      </c>
      <c r="L34" s="632"/>
      <c r="M34" s="632"/>
      <c r="N34" s="595">
        <f>Retirement!C36</f>
        <v>210.19716469017393</v>
      </c>
      <c r="O34" s="315"/>
    </row>
    <row r="35" spans="4:15" x14ac:dyDescent="0.25">
      <c r="D35" s="314"/>
      <c r="E35" s="597"/>
      <c r="F35" s="597"/>
      <c r="G35" s="597"/>
      <c r="H35" s="597"/>
      <c r="I35" s="614"/>
      <c r="J35" s="615"/>
      <c r="K35" s="631"/>
      <c r="L35" s="632"/>
      <c r="M35" s="632"/>
      <c r="N35" s="596"/>
      <c r="O35" s="315"/>
    </row>
    <row r="36" spans="4:15" x14ac:dyDescent="0.25">
      <c r="D36" s="314"/>
      <c r="O36" s="315"/>
    </row>
    <row r="37" spans="4:15" x14ac:dyDescent="0.25">
      <c r="D37" s="314"/>
      <c r="O37" s="315"/>
    </row>
    <row r="38" spans="4:15" x14ac:dyDescent="0.25">
      <c r="D38" s="314"/>
      <c r="O38" s="315"/>
    </row>
    <row r="39" spans="4:15" x14ac:dyDescent="0.25">
      <c r="D39" s="314"/>
      <c r="O39" s="315"/>
    </row>
    <row r="40" spans="4:15" x14ac:dyDescent="0.25">
      <c r="D40" s="316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8"/>
    </row>
    <row r="42" spans="4:15" x14ac:dyDescent="0.25">
      <c r="E42" s="346" t="str">
        <f>E12</f>
        <v>What do I have to pay if:</v>
      </c>
    </row>
  </sheetData>
  <sheetProtection algorithmName="SHA-512" hashValue="lEQ/u8HJPUAqnqRZm4iktEZgHLll0rKe7ICwQk27uCdDkv4nqkbHd7dStKDhvOqFNMpdbKo9pa9SuxuI/Rc75Q==" saltValue="hbcx8hQyLqQAr7wwcU5rFA==" spinCount="100000" sheet="1" objects="1" scenarios="1" selectLockedCells="1"/>
  <mergeCells count="21">
    <mergeCell ref="W10:Y10"/>
    <mergeCell ref="M13:O13"/>
    <mergeCell ref="D21:E23"/>
    <mergeCell ref="E34:H35"/>
    <mergeCell ref="I34:J35"/>
    <mergeCell ref="M11:O11"/>
    <mergeCell ref="S10:U10"/>
    <mergeCell ref="E9:G11"/>
    <mergeCell ref="E12:F12"/>
    <mergeCell ref="I25:J26"/>
    <mergeCell ref="I28:J29"/>
    <mergeCell ref="I31:J32"/>
    <mergeCell ref="I12:J12"/>
    <mergeCell ref="J16:L17"/>
    <mergeCell ref="E25:H26"/>
    <mergeCell ref="K34:M35"/>
    <mergeCell ref="N34:N35"/>
    <mergeCell ref="E31:H32"/>
    <mergeCell ref="E28:H29"/>
    <mergeCell ref="K25:M26"/>
    <mergeCell ref="N25:N26"/>
  </mergeCells>
  <conditionalFormatting sqref="L12">
    <cfRule type="expression" dxfId="9" priority="6">
      <formula>$E$12="Future value of saving"</formula>
    </cfRule>
  </conditionalFormatting>
  <conditionalFormatting sqref="M11:P11">
    <cfRule type="expression" dxfId="8" priority="5">
      <formula>$E$12="What will I get with:"</formula>
    </cfRule>
  </conditionalFormatting>
  <conditionalFormatting sqref="I10:K14">
    <cfRule type="expression" dxfId="7" priority="4">
      <formula>$E$12="What do I have to pay if:"</formula>
    </cfRule>
  </conditionalFormatting>
  <conditionalFormatting sqref="I12:K12">
    <cfRule type="expression" dxfId="6" priority="3">
      <formula>$K$10="Payments"</formula>
    </cfRule>
  </conditionalFormatting>
  <conditionalFormatting sqref="J14:K14">
    <cfRule type="expression" dxfId="5" priority="2">
      <formula>$K$10="Present value"</formula>
    </cfRule>
  </conditionalFormatting>
  <conditionalFormatting sqref="E34:N35">
    <cfRule type="expression" dxfId="4" priority="1">
      <formula>$E$12="What will I get with:"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4274" r:id="rId3" name="CommandButton1">
          <controlPr defaultSize="0" autoLine="0" r:id="rId4">
            <anchor moveWithCells="1">
              <from>
                <xdr:col>13</xdr:col>
                <xdr:colOff>220980</xdr:colOff>
                <xdr:row>16</xdr:row>
                <xdr:rowOff>167640</xdr:rowOff>
              </from>
              <to>
                <xdr:col>14</xdr:col>
                <xdr:colOff>190500</xdr:colOff>
                <xdr:row>18</xdr:row>
                <xdr:rowOff>152400</xdr:rowOff>
              </to>
            </anchor>
          </controlPr>
        </control>
      </mc:Choice>
      <mc:Fallback>
        <control shapeId="54274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3A63EE8-9095-4C4F-8A4A-69C775C0F770}">
          <x14:formula1>
            <xm:f>Dropdown!$A$13:$A$14</xm:f>
          </x14:formula1>
          <xm:sqref>E12:F12</xm:sqref>
        </x14:dataValidation>
        <x14:dataValidation type="list" allowBlank="1" showInputMessage="1" showErrorMessage="1" xr:uid="{B3DC4055-3A50-48F0-B6C4-0A29CCE350F2}">
          <x14:formula1>
            <xm:f>Dropdown!$J$11:$J$12</xm:f>
          </x14:formula1>
          <xm:sqref>K10</xm:sqref>
        </x14:dataValidation>
        <x14:dataValidation type="list" allowBlank="1" showInputMessage="1" showErrorMessage="1" xr:uid="{FC3B7E0A-D39B-4D30-A063-492546467B11}">
          <x14:formula1>
            <xm:f>Dropdown!$C$1:$C$2</xm:f>
          </x14:formula1>
          <xm:sqref>K19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45BBC-200E-41AF-8FA2-F15AC41F49D5}">
  <sheetPr codeName="Sheet14">
    <tabColor theme="2" tint="-0.749992370372631"/>
  </sheetPr>
  <dimension ref="A1:T38"/>
  <sheetViews>
    <sheetView zoomScale="56" workbookViewId="0">
      <selection activeCell="O22" sqref="O22"/>
    </sheetView>
  </sheetViews>
  <sheetFormatPr defaultRowHeight="13.8" x14ac:dyDescent="0.25"/>
  <cols>
    <col min="2" max="2" width="12.796875" bestFit="1" customWidth="1"/>
    <col min="3" max="3" width="16" bestFit="1" customWidth="1"/>
    <col min="4" max="5" width="12.796875" bestFit="1" customWidth="1"/>
    <col min="6" max="6" width="16.3984375" bestFit="1" customWidth="1"/>
    <col min="7" max="9" width="11.3984375" bestFit="1" customWidth="1"/>
    <col min="11" max="11" width="23.59765625" bestFit="1" customWidth="1"/>
    <col min="12" max="12" width="16" bestFit="1" customWidth="1"/>
    <col min="13" max="13" width="30.796875" bestFit="1" customWidth="1"/>
    <col min="14" max="15" width="16" bestFit="1" customWidth="1"/>
    <col min="16" max="16" width="17.5" bestFit="1" customWidth="1"/>
    <col min="17" max="18" width="16" bestFit="1" customWidth="1"/>
    <col min="19" max="19" width="15.796875" bestFit="1" customWidth="1"/>
    <col min="20" max="20" width="20.09765625" customWidth="1"/>
    <col min="21" max="21" width="18.59765625" customWidth="1"/>
  </cols>
  <sheetData>
    <row r="1" spans="1:20" x14ac:dyDescent="0.25">
      <c r="A1" s="133" t="s">
        <v>160</v>
      </c>
      <c r="B1" s="143" t="s">
        <v>147</v>
      </c>
      <c r="C1" t="s">
        <v>148</v>
      </c>
      <c r="D1" t="s">
        <v>147</v>
      </c>
      <c r="E1" s="145" t="s">
        <v>148</v>
      </c>
      <c r="F1" s="148" t="s">
        <v>147</v>
      </c>
      <c r="G1" s="148" t="s">
        <v>148</v>
      </c>
      <c r="H1" s="148" t="s">
        <v>147</v>
      </c>
      <c r="I1" s="4" t="s">
        <v>148</v>
      </c>
      <c r="J1" s="133"/>
      <c r="K1" s="143"/>
    </row>
    <row r="2" spans="1:20" x14ac:dyDescent="0.25">
      <c r="A2" s="15"/>
      <c r="B2" s="633" t="s">
        <v>138</v>
      </c>
      <c r="C2" s="633"/>
      <c r="D2" s="633"/>
      <c r="E2" s="634"/>
      <c r="F2" s="635" t="s">
        <v>139</v>
      </c>
      <c r="G2" s="635"/>
      <c r="H2" s="635"/>
      <c r="I2" s="636"/>
      <c r="J2" s="136"/>
      <c r="K2" s="149" t="s">
        <v>140</v>
      </c>
      <c r="L2" s="159" t="s">
        <v>158</v>
      </c>
      <c r="M2" s="339" t="s">
        <v>17</v>
      </c>
      <c r="N2" s="339" t="s">
        <v>16</v>
      </c>
      <c r="O2" s="339" t="s">
        <v>99</v>
      </c>
      <c r="P2" s="339" t="s">
        <v>267</v>
      </c>
      <c r="R2" s="150" t="s">
        <v>149</v>
      </c>
      <c r="S2" s="152" t="s">
        <v>150</v>
      </c>
      <c r="T2" s="154" t="s">
        <v>151</v>
      </c>
    </row>
    <row r="3" spans="1:20" x14ac:dyDescent="0.25">
      <c r="A3" s="134"/>
      <c r="B3" s="146" t="s">
        <v>144</v>
      </c>
      <c r="C3" s="144"/>
      <c r="D3" s="147" t="s">
        <v>145</v>
      </c>
      <c r="E3" s="144"/>
      <c r="F3" s="142" t="s">
        <v>144</v>
      </c>
      <c r="G3" s="139"/>
      <c r="H3" s="141" t="s">
        <v>145</v>
      </c>
      <c r="I3" s="139"/>
      <c r="J3" s="136"/>
      <c r="K3" s="138" t="s">
        <v>99</v>
      </c>
      <c r="L3" s="139">
        <f>IF('Annuity - Retirement'!E42="What do I have to pay if:",Retirement!O3,IF('Annuity - Retirement'!K7="Present value",G4,Retirement!P3))</f>
        <v>210.19716469017393</v>
      </c>
      <c r="M3" s="341"/>
      <c r="N3" s="341"/>
      <c r="O3" s="343">
        <f>F4</f>
        <v>210.19716469017393</v>
      </c>
      <c r="P3" s="114">
        <f>'Annuity - Retirement'!K14</f>
        <v>10000</v>
      </c>
      <c r="R3" s="151">
        <f>((1+L4)^(L10)-1)/L4</f>
        <v>12.682503013196976</v>
      </c>
      <c r="S3" s="153">
        <f>((1+L4)^(L10*L11)-(1+L7)^L11)</f>
        <v>108.36200716538985</v>
      </c>
      <c r="T3" s="155">
        <f>((1+L4)^(L10)-(1+L7))</f>
        <v>6.682503013196972E-2</v>
      </c>
    </row>
    <row r="4" spans="1:20" x14ac:dyDescent="0.25">
      <c r="A4" s="134" t="s">
        <v>146</v>
      </c>
      <c r="B4" s="5">
        <f>(L8/(((1+L4)^(L5*L6)-(1+L7)^(L6*L5))/(L4-L7)))</f>
        <v>1.5414320423431237E-7</v>
      </c>
      <c r="C4" s="145">
        <f>((L9*(1+L4)^(L6*L5))*(L4-L7))/((1+L4)^(L6*L5)-(1+L7)^(L6*L5))</f>
        <v>1.5414320423431237E-7</v>
      </c>
      <c r="D4" s="133">
        <f>(L8/((((1+L4)^(L5*L6)-(1+L7)^(L6*L5))/(L4-L7))*(1+L4)))</f>
        <v>1.5261703389535881E-7</v>
      </c>
      <c r="E4" s="145">
        <f>((L9*((1+L4)^(L6*L5))*(L4-L7))/((1+L4)^(L6*L5)-(1+L7)^(L6*L5)*(1+L4)))</f>
        <v>1.5261703389523093E-7</v>
      </c>
      <c r="F4">
        <f>(L8/(R3*(S3/T3)))</f>
        <v>210.19716469017393</v>
      </c>
      <c r="G4" s="382">
        <f>((L9*(1+L4)^(L5*L6))/(R3*(S3/T3)))</f>
        <v>210.19716469017393</v>
      </c>
      <c r="H4">
        <f>(L8/(R3*(S3/T3)*(1+L4)))</f>
        <v>208.11600464373655</v>
      </c>
      <c r="I4" s="10"/>
      <c r="J4" s="136"/>
      <c r="K4" s="138" t="s">
        <v>141</v>
      </c>
      <c r="L4" s="160">
        <f>'Annuity - Retirement'!M17</f>
        <v>0.01</v>
      </c>
      <c r="M4" s="339"/>
      <c r="N4" s="339"/>
      <c r="O4" s="339"/>
    </row>
    <row r="5" spans="1:20" x14ac:dyDescent="0.25">
      <c r="A5" s="134" t="s">
        <v>16</v>
      </c>
      <c r="B5" s="10">
        <f>(L3*((1+L4)^(L5*L6)-(1+L7)^(L6*L5))/(L4-L7))</f>
        <v>5894842097469254</v>
      </c>
      <c r="C5" s="145">
        <f>L9*(1+L4)^(L6*L5)</f>
        <v>4322845.4137264686</v>
      </c>
      <c r="D5" s="133">
        <f>(L3*((1+L4)^(L5*L6)-(1+L7)^(L6*L5))/(L4-L7))*(1+L4)</f>
        <v>5953790518443947</v>
      </c>
      <c r="E5" s="145">
        <f>L9*(1+L4)*(1+L4)^(L6*L5)</f>
        <v>4366073.8678637333</v>
      </c>
      <c r="F5">
        <f>L3*R3*(S3/T3)</f>
        <v>4322845.4137264686</v>
      </c>
      <c r="G5" s="10">
        <f>L3*R3*(S3/T3)</f>
        <v>4322845.4137264686</v>
      </c>
      <c r="H5">
        <f>L3*R3*(S3/T3)*(1+L4)</f>
        <v>4366073.8678637333</v>
      </c>
      <c r="I5" s="10">
        <f>L3*R3*(S3/T3)*(1+L4)</f>
        <v>4366073.8678637333</v>
      </c>
      <c r="J5" s="136"/>
      <c r="K5" s="138" t="s">
        <v>22</v>
      </c>
      <c r="L5" s="139">
        <f>'Annuity - Retirement'!T14</f>
        <v>12</v>
      </c>
      <c r="M5" s="339"/>
      <c r="N5" s="339"/>
      <c r="O5" s="340"/>
    </row>
    <row r="6" spans="1:20" x14ac:dyDescent="0.25">
      <c r="A6" s="134" t="s">
        <v>17</v>
      </c>
      <c r="B6" s="10">
        <f>((L3*((1+L4)^(L5*L6)-(1+L7)^(L6*L5))/(L4-L7))/((1+L4)^(L6*L5)))</f>
        <v>49683566139813.508</v>
      </c>
      <c r="C6" s="145">
        <f>((L3*((1+L4)^(L5*L6)-(1+L7)^(L6*L5))/(L4-L7))/((1+L4)^(L6*L5)))</f>
        <v>49683566139813.508</v>
      </c>
      <c r="D6" s="133">
        <f>((L3*((1+L4)^(L5*L6)-(1+L7)^(L6*L5))*(1+L4)/(L4-L7))/((1+L4)^(L6*L5)))</f>
        <v>50180401801211.648</v>
      </c>
      <c r="E6" s="145">
        <f>((L3*((1+L4)^(L5*L6)-(1+L7)^(L6*L5))*(1+L4)/(L4-L7))/((1+L4)^(L6*L5)))</f>
        <v>50180401801211.648</v>
      </c>
      <c r="F6">
        <f>(L3*R3*(S3/T3))/((1+L4)^(L6*L5))</f>
        <v>36434.288225849923</v>
      </c>
      <c r="G6" s="10">
        <f>(L3*R3*(S3/T3))/((1+L4)^(L6*L5))</f>
        <v>36434.288225849923</v>
      </c>
      <c r="H6">
        <f>(L3*R3*(S3/T3)*(1+L4))/((1+L4)^(L6*L5))</f>
        <v>36798.63110810842</v>
      </c>
      <c r="I6" s="10">
        <f>(L3*R3*(S3/T3)*(1+L4))/((1+L4)^(L6*L5))</f>
        <v>36798.63110810842</v>
      </c>
      <c r="J6" s="136"/>
      <c r="K6" s="140" t="s">
        <v>142</v>
      </c>
      <c r="L6" s="139">
        <f>'Annuity - Retirement'!T13</f>
        <v>40</v>
      </c>
      <c r="M6" s="339"/>
      <c r="N6" s="339"/>
      <c r="O6" s="339"/>
    </row>
    <row r="7" spans="1:20" x14ac:dyDescent="0.25">
      <c r="A7" s="134"/>
      <c r="C7" s="10"/>
      <c r="D7" s="133"/>
      <c r="E7" s="145"/>
      <c r="G7" s="10"/>
      <c r="I7" s="10"/>
      <c r="J7" s="136"/>
      <c r="K7" s="138" t="s">
        <v>143</v>
      </c>
      <c r="L7" s="160">
        <f>'Annuity - Retirement'!P13</f>
        <v>0.06</v>
      </c>
      <c r="M7" s="339"/>
      <c r="N7" s="339"/>
      <c r="O7" s="339"/>
    </row>
    <row r="8" spans="1:20" x14ac:dyDescent="0.25">
      <c r="A8" s="134"/>
      <c r="C8" s="10"/>
      <c r="D8" s="10"/>
      <c r="E8" s="145"/>
      <c r="G8" s="10"/>
      <c r="I8" s="10"/>
      <c r="J8" s="136"/>
      <c r="K8" s="138" t="s">
        <v>16</v>
      </c>
      <c r="L8" s="336">
        <f>IF('Annuity - Retirement'!E42="What will I get with:",Retirement!N8,Retirement!O8)</f>
        <v>4322845.4137264686</v>
      </c>
      <c r="M8" s="338"/>
      <c r="N8" s="342">
        <f>IF('Annuity - Retirement'!K10="Present value",Retirement!G5,Retirement!F5)</f>
        <v>4322845.4137264686</v>
      </c>
      <c r="O8" s="342">
        <f>S22</f>
        <v>4322845.4137264686</v>
      </c>
    </row>
    <row r="9" spans="1:20" x14ac:dyDescent="0.25">
      <c r="A9" s="134"/>
      <c r="C9" s="10"/>
      <c r="D9" s="133"/>
      <c r="E9" s="145"/>
      <c r="G9" s="10"/>
      <c r="I9" s="10"/>
      <c r="J9" s="136"/>
      <c r="K9" s="138" t="s">
        <v>17</v>
      </c>
      <c r="L9" s="337">
        <f>IF('Annuity - Retirement'!E42="What do I have to pay if:",Retirement!M9,Retirement!P9)</f>
        <v>36434.288225849923</v>
      </c>
      <c r="M9" s="343">
        <f>F6</f>
        <v>36434.288225849923</v>
      </c>
      <c r="N9" s="343">
        <f>G6</f>
        <v>36434.288225849923</v>
      </c>
      <c r="O9" s="341"/>
      <c r="P9">
        <f>'Annuity - Retirement'!K12</f>
        <v>20000000</v>
      </c>
    </row>
    <row r="10" spans="1:20" x14ac:dyDescent="0.25">
      <c r="A10" s="134"/>
      <c r="C10" s="10"/>
      <c r="D10" s="133"/>
      <c r="E10" s="145"/>
      <c r="G10" s="10"/>
      <c r="I10" s="10"/>
      <c r="J10" s="136"/>
      <c r="K10" s="138" t="s">
        <v>152</v>
      </c>
      <c r="L10" s="199">
        <f>L5</f>
        <v>12</v>
      </c>
    </row>
    <row r="11" spans="1:20" x14ac:dyDescent="0.25">
      <c r="A11" s="134"/>
      <c r="C11" s="10"/>
      <c r="D11" s="133"/>
      <c r="E11" s="145"/>
      <c r="G11" s="10"/>
      <c r="I11" s="10"/>
      <c r="J11" s="136"/>
      <c r="K11" s="138" t="s">
        <v>153</v>
      </c>
      <c r="L11" s="139">
        <f>L6</f>
        <v>40</v>
      </c>
    </row>
    <row r="12" spans="1:20" x14ac:dyDescent="0.25">
      <c r="A12" s="134"/>
      <c r="C12" s="10"/>
      <c r="D12" s="133"/>
      <c r="E12" s="145"/>
      <c r="G12" s="10"/>
      <c r="I12" s="10"/>
      <c r="J12" s="136"/>
      <c r="K12" s="137" t="s">
        <v>154</v>
      </c>
      <c r="L12" s="371">
        <f>'Annuity - Retirement'!F15</f>
        <v>10000</v>
      </c>
    </row>
    <row r="13" spans="1:20" x14ac:dyDescent="0.25">
      <c r="A13" s="134"/>
      <c r="C13" s="10"/>
      <c r="D13" s="133"/>
      <c r="E13" s="145"/>
      <c r="G13" s="10"/>
      <c r="I13" s="10"/>
      <c r="J13" s="135"/>
      <c r="K13" s="137" t="s">
        <v>155</v>
      </c>
      <c r="L13" s="139"/>
    </row>
    <row r="14" spans="1:20" x14ac:dyDescent="0.25">
      <c r="A14" s="134"/>
      <c r="C14" s="10"/>
      <c r="D14" s="133"/>
      <c r="E14" s="145"/>
      <c r="G14" s="10"/>
      <c r="I14" s="10"/>
      <c r="J14" s="136"/>
      <c r="K14" s="137" t="s">
        <v>156</v>
      </c>
      <c r="L14" s="139">
        <f>IF('Annuity - Retirement'!E42="What do I have to pay if:",'Annuity - Retirement'!P11,M14)</f>
        <v>4000</v>
      </c>
      <c r="M14" s="384">
        <f>T35*((1+L7)^(-1*L6))</f>
        <v>3999.9999999999995</v>
      </c>
    </row>
    <row r="15" spans="1:20" x14ac:dyDescent="0.25">
      <c r="A15" s="134"/>
      <c r="C15" s="10"/>
      <c r="D15" s="133"/>
      <c r="E15" s="145"/>
      <c r="G15" s="10"/>
      <c r="I15" s="10"/>
      <c r="J15" s="136"/>
    </row>
    <row r="16" spans="1:20" x14ac:dyDescent="0.25">
      <c r="A16" s="134"/>
      <c r="C16" s="10"/>
      <c r="D16" s="133"/>
      <c r="E16" s="145"/>
      <c r="G16" s="10"/>
      <c r="I16" s="10"/>
      <c r="J16" s="136"/>
    </row>
    <row r="17" spans="1:20" x14ac:dyDescent="0.25">
      <c r="A17" s="133"/>
      <c r="B17" s="143" t="s">
        <v>147</v>
      </c>
      <c r="C17" t="s">
        <v>148</v>
      </c>
      <c r="D17" t="s">
        <v>147</v>
      </c>
      <c r="E17" s="145" t="s">
        <v>148</v>
      </c>
      <c r="F17" s="148" t="s">
        <v>147</v>
      </c>
      <c r="G17" s="148"/>
      <c r="H17" s="148"/>
      <c r="I17" s="4"/>
      <c r="J17" s="133"/>
      <c r="K17" s="143"/>
    </row>
    <row r="18" spans="1:20" x14ac:dyDescent="0.25">
      <c r="A18" s="15" t="s">
        <v>159</v>
      </c>
      <c r="B18" s="633" t="s">
        <v>138</v>
      </c>
      <c r="C18" s="633"/>
      <c r="D18" s="633"/>
      <c r="E18" s="634"/>
      <c r="F18" s="635" t="s">
        <v>139</v>
      </c>
      <c r="G18" s="635"/>
      <c r="H18" s="635"/>
      <c r="I18" s="636"/>
      <c r="J18" s="136"/>
      <c r="K18" s="149" t="s">
        <v>140</v>
      </c>
      <c r="L18" s="159" t="s">
        <v>157</v>
      </c>
      <c r="R18" s="150" t="s">
        <v>149</v>
      </c>
      <c r="S18" s="152" t="s">
        <v>150</v>
      </c>
      <c r="T18" s="154" t="s">
        <v>151</v>
      </c>
    </row>
    <row r="19" spans="1:20" x14ac:dyDescent="0.25">
      <c r="A19" s="134"/>
      <c r="B19" s="146" t="s">
        <v>144</v>
      </c>
      <c r="C19" s="144"/>
      <c r="D19" s="147" t="s">
        <v>145</v>
      </c>
      <c r="E19" s="144"/>
      <c r="F19" s="142" t="s">
        <v>144</v>
      </c>
      <c r="G19" s="139"/>
      <c r="H19" s="141" t="s">
        <v>145</v>
      </c>
      <c r="I19" s="139"/>
      <c r="J19" s="136"/>
      <c r="K19" s="138" t="s">
        <v>99</v>
      </c>
      <c r="L19" s="139">
        <f>IF('Annuity - Retirement'!E42="What will I get with:",T35,O22)</f>
        <v>41142.871748503712</v>
      </c>
      <c r="R19" s="151">
        <f>((1+L20)^(L26)-1)/L20</f>
        <v>12.682503013196976</v>
      </c>
      <c r="S19" s="153">
        <f>((1+L20)^(L26*L27)-(1+L23)^L27)</f>
        <v>7.6854181816607827</v>
      </c>
      <c r="T19" s="155">
        <f>((1+L20)^(L26)-(1+L23))</f>
        <v>6.682503013196972E-2</v>
      </c>
    </row>
    <row r="20" spans="1:20" x14ac:dyDescent="0.25">
      <c r="A20" s="134" t="s">
        <v>146</v>
      </c>
      <c r="B20" s="5">
        <f>(L24/(((1+L20)^(L21*L22)-(1+L23)^(L22*L21))/(L20-L23)))</f>
        <v>2.5339278920462665</v>
      </c>
      <c r="C20" s="145">
        <f>((L25*(1+L20)^(L22*L21))*((L20-L23))/((1+L20)^(L22*L21)-(1+L23)^(L22*L21))^-1)</f>
        <v>3553052210154.5127</v>
      </c>
      <c r="D20" s="133">
        <f>(L24/((((1+L20)^(L21*L22)-(1+L23)^(L22*L21))/(L20-L23))*(1+L20)))</f>
        <v>2.5088394970755115</v>
      </c>
      <c r="E20" s="145">
        <f>((L25*((1+L20)^(L22*L21))*(L20-L23))/((1+L20)^(L22*L21)-(1+L23)^(L22*L21)*(1+L20)))</f>
        <v>2.5088392685800889</v>
      </c>
      <c r="F20">
        <f>(L24/(R19*(S19/T19)))</f>
        <v>41142.871748503712</v>
      </c>
      <c r="G20" s="10">
        <f>((L25*(1+L20)^(L21*L22))/(R19*(S19/T19)))</f>
        <v>41142.871748503712</v>
      </c>
      <c r="H20">
        <f>(L24/(R19*(S19/T19)*(1+L20)))</f>
        <v>40735.516582676944</v>
      </c>
      <c r="I20" s="10"/>
      <c r="J20" s="136"/>
      <c r="K20" s="138" t="s">
        <v>141</v>
      </c>
      <c r="L20" s="160">
        <f>L4</f>
        <v>0.01</v>
      </c>
    </row>
    <row r="21" spans="1:20" x14ac:dyDescent="0.25">
      <c r="A21" s="134" t="s">
        <v>16</v>
      </c>
      <c r="B21" s="10">
        <f>(L19*((1+L20)^(L21*L22)-(1+L23)^(L22*L21))/(L20-L23))</f>
        <v>974379787079.0293</v>
      </c>
      <c r="C21" s="145">
        <f>L25*(1+L20)^(L22*L21)</f>
        <v>60010592.722309135</v>
      </c>
      <c r="D21" s="133">
        <f>(L19*((1+L20)^(L21*L22)-(1+L23)^(L22*L21))/(L20-L23))*(1+L20)</f>
        <v>984123584949.81958</v>
      </c>
      <c r="E21" s="145">
        <f>L25*(1+L20)*(1+L20)^(L22*L21)</f>
        <v>60610698.649532229</v>
      </c>
      <c r="F21">
        <f>L19*R19*(S19/T19)</f>
        <v>60010592.722309135</v>
      </c>
      <c r="G21" s="10">
        <f>L19*R19*(S19/T19)</f>
        <v>60010592.722309135</v>
      </c>
      <c r="H21">
        <f>L19*R19*(S19/T19)*(1+L20)</f>
        <v>60610698.649532229</v>
      </c>
      <c r="I21" s="10">
        <f>L19*R19*(S19/T19)*(1+L20)</f>
        <v>60610698.649532229</v>
      </c>
      <c r="J21" s="136"/>
      <c r="K21" s="138" t="s">
        <v>22</v>
      </c>
      <c r="L21" s="139">
        <f>'Annuity - Retirement'!X14</f>
        <v>12</v>
      </c>
      <c r="O21" s="4" t="s">
        <v>161</v>
      </c>
      <c r="P21" s="4" t="s">
        <v>162</v>
      </c>
      <c r="Q21" s="4"/>
      <c r="R21" s="4" t="s">
        <v>163</v>
      </c>
      <c r="S21" s="4" t="s">
        <v>165</v>
      </c>
      <c r="T21" s="4" t="s">
        <v>165</v>
      </c>
    </row>
    <row r="22" spans="1:20" x14ac:dyDescent="0.25">
      <c r="A22" s="134" t="s">
        <v>17</v>
      </c>
      <c r="B22" s="10">
        <f>((L19*((1+L20)^(L21*L22)-(1+L23)^(L22*L21))/(L20-L23))/((1+L20)^(L22*L21)))</f>
        <v>89453751438.031113</v>
      </c>
      <c r="C22" s="145">
        <f>((L19*((1+L20)^(L21*L22)-(1+L23)^(L22*L21))/(L20-L23))/((1+L20)^(L22*L21)))</f>
        <v>89453751438.031113</v>
      </c>
      <c r="D22" s="133">
        <f>((L19*((1+L20)^(L21*L22)-(1+L23)^(L22*L21))*(1+L20)/(L20-L23))/((1+L20)^(L22*L21)))</f>
        <v>90348288952.411423</v>
      </c>
      <c r="E22" s="145">
        <f>((L19*((1+L20)^(L21*L22)-(1+L23)^(L22*L21))*(1+L20)/(L20-L23))/((1+L20)^(L22*L21)))</f>
        <v>90348288952.411423</v>
      </c>
      <c r="F22">
        <f>(L19*R19*(S19/T19))/((1+L20)^(L22*L21))</f>
        <v>5509322.6647516266</v>
      </c>
      <c r="G22" s="10">
        <f>(L19*R19*(S19/T19))/((1+L20)^(L22*L21))</f>
        <v>5509322.6647516266</v>
      </c>
      <c r="H22">
        <f>(L19*R19*(S19/T19)*(1+L20))/((1+L20)^(L22*L21))</f>
        <v>5564415.8913991433</v>
      </c>
      <c r="I22" s="10">
        <f>(L19*R19*(S19/T19)*(1+L20))/((1+L20)^(L22*L21))</f>
        <v>5564415.8913991433</v>
      </c>
      <c r="J22" s="136"/>
      <c r="K22" s="140" t="s">
        <v>142</v>
      </c>
      <c r="L22" s="139">
        <f>'Annuity - Retirement'!X13</f>
        <v>20</v>
      </c>
      <c r="O22" s="161">
        <f>L14*(1+L7)^L6</f>
        <v>41142.871748503712</v>
      </c>
      <c r="P22" s="161">
        <f>L12*(1+L4)^(L6*L5)</f>
        <v>1186477.2510251577</v>
      </c>
      <c r="Q22" s="161"/>
      <c r="R22" s="161">
        <f>B4</f>
        <v>1.5414320423431237E-7</v>
      </c>
      <c r="S22" s="161">
        <f>O24-P22</f>
        <v>4322845.4137264686</v>
      </c>
      <c r="T22" s="161"/>
    </row>
    <row r="23" spans="1:20" x14ac:dyDescent="0.25">
      <c r="A23" s="134"/>
      <c r="C23" s="10"/>
      <c r="D23" s="133"/>
      <c r="E23" s="145"/>
      <c r="G23" s="10"/>
      <c r="I23" s="10"/>
      <c r="J23" s="136"/>
      <c r="K23" s="138" t="s">
        <v>143</v>
      </c>
      <c r="L23" s="160">
        <f>L7</f>
        <v>0.06</v>
      </c>
      <c r="O23" s="4" t="s">
        <v>164</v>
      </c>
      <c r="P23" t="s">
        <v>167</v>
      </c>
      <c r="Q23" s="4"/>
      <c r="R23" s="4"/>
      <c r="S23" s="4" t="s">
        <v>166</v>
      </c>
      <c r="T23" s="4"/>
    </row>
    <row r="24" spans="1:20" x14ac:dyDescent="0.25">
      <c r="A24" s="134"/>
      <c r="C24" s="10"/>
      <c r="D24" s="10"/>
      <c r="E24" s="145"/>
      <c r="G24" s="10"/>
      <c r="I24" s="10"/>
      <c r="J24" s="136"/>
      <c r="K24" s="138" t="s">
        <v>16</v>
      </c>
      <c r="L24" s="371">
        <f>O29</f>
        <v>60010592.722309135</v>
      </c>
      <c r="O24" s="161">
        <f>F22</f>
        <v>5509322.6647516266</v>
      </c>
      <c r="P24" s="161">
        <f>P22*(1+L20)^(L21*L22)</f>
        <v>12923767.115892023</v>
      </c>
      <c r="Q24" s="161"/>
      <c r="R24" s="161"/>
      <c r="S24" s="161">
        <f>F21</f>
        <v>60010592.722309135</v>
      </c>
      <c r="T24" s="161"/>
    </row>
    <row r="25" spans="1:20" x14ac:dyDescent="0.25">
      <c r="A25" s="134"/>
      <c r="C25" s="10"/>
      <c r="D25" s="133"/>
      <c r="E25" s="145"/>
      <c r="G25" s="10"/>
      <c r="I25" s="10"/>
      <c r="J25" s="136"/>
      <c r="K25" s="138" t="s">
        <v>17</v>
      </c>
      <c r="L25" s="374">
        <f>IF('Annuity - Retirement'!E42="What will I get with:",R35,F22)</f>
        <v>5509322.6647516266</v>
      </c>
    </row>
    <row r="26" spans="1:20" x14ac:dyDescent="0.25">
      <c r="A26" s="134"/>
      <c r="C26" s="10"/>
      <c r="D26" s="133"/>
      <c r="E26" s="145"/>
      <c r="G26" s="10"/>
      <c r="I26" s="10"/>
      <c r="J26" s="136"/>
      <c r="K26" s="138" t="s">
        <v>152</v>
      </c>
      <c r="L26" s="139">
        <f>L21</f>
        <v>12</v>
      </c>
      <c r="O26" t="s">
        <v>161</v>
      </c>
      <c r="P26" t="s">
        <v>168</v>
      </c>
      <c r="Q26" t="s">
        <v>169</v>
      </c>
      <c r="R26" t="s">
        <v>17</v>
      </c>
    </row>
    <row r="27" spans="1:20" x14ac:dyDescent="0.25">
      <c r="A27" s="134"/>
      <c r="C27" s="10"/>
      <c r="D27" s="133"/>
      <c r="E27" s="145"/>
      <c r="G27" s="10"/>
      <c r="I27" s="10"/>
      <c r="J27" s="136"/>
      <c r="K27" s="138" t="s">
        <v>153</v>
      </c>
      <c r="L27" s="139">
        <f>L22</f>
        <v>20</v>
      </c>
      <c r="O27" s="319">
        <f>L14*(1+L7)^L6</f>
        <v>41142.871748503712</v>
      </c>
      <c r="P27" s="319">
        <f>L12*(1+L4)^(L5*L6)</f>
        <v>1186477.2510251577</v>
      </c>
      <c r="Q27" s="319">
        <f>F5</f>
        <v>4322845.4137264686</v>
      </c>
      <c r="R27" s="319">
        <f>P27+Q27</f>
        <v>5509322.6647516266</v>
      </c>
    </row>
    <row r="28" spans="1:20" x14ac:dyDescent="0.25">
      <c r="A28" s="134"/>
      <c r="C28" s="10"/>
      <c r="D28" s="133"/>
      <c r="E28" s="145"/>
      <c r="G28" s="10"/>
      <c r="I28" s="10"/>
      <c r="J28" s="136"/>
      <c r="K28" s="137" t="s">
        <v>154</v>
      </c>
      <c r="L28" s="139"/>
      <c r="O28" t="s">
        <v>170</v>
      </c>
      <c r="Q28" t="s">
        <v>264</v>
      </c>
    </row>
    <row r="29" spans="1:20" x14ac:dyDescent="0.25">
      <c r="A29" s="134"/>
      <c r="C29" s="10"/>
      <c r="D29" s="133"/>
      <c r="E29" s="145"/>
      <c r="G29" s="10"/>
      <c r="I29" s="10"/>
      <c r="J29" s="135"/>
      <c r="K29" s="137" t="s">
        <v>155</v>
      </c>
      <c r="L29" s="139"/>
      <c r="O29" s="319">
        <f>F21</f>
        <v>60010592.722309135</v>
      </c>
      <c r="Q29" s="319">
        <f>F4</f>
        <v>210.19716469017393</v>
      </c>
    </row>
    <row r="30" spans="1:20" x14ac:dyDescent="0.25">
      <c r="A30" s="134"/>
      <c r="C30" s="10"/>
      <c r="D30" s="133"/>
      <c r="E30" s="145"/>
      <c r="G30" s="10"/>
      <c r="I30" s="10"/>
      <c r="J30" s="136"/>
      <c r="K30" s="375" t="s">
        <v>156</v>
      </c>
      <c r="L30" s="376"/>
      <c r="Q30" t="s">
        <v>291</v>
      </c>
    </row>
    <row r="31" spans="1:20" x14ac:dyDescent="0.25">
      <c r="Q31" s="319">
        <f>F6</f>
        <v>36434.288225849923</v>
      </c>
    </row>
    <row r="34" spans="2:20" x14ac:dyDescent="0.25">
      <c r="B34" t="s">
        <v>284</v>
      </c>
      <c r="E34" t="s">
        <v>287</v>
      </c>
      <c r="O34" t="s">
        <v>292</v>
      </c>
      <c r="P34" t="s">
        <v>293</v>
      </c>
      <c r="R34" t="s">
        <v>294</v>
      </c>
      <c r="T34" t="s">
        <v>283</v>
      </c>
    </row>
    <row r="35" spans="2:20" x14ac:dyDescent="0.25">
      <c r="O35" s="54">
        <f>N8</f>
        <v>4322845.4137264686</v>
      </c>
      <c r="P35" s="54">
        <f>L12*(1+L4)^(L5*L6)</f>
        <v>1186477.2510251577</v>
      </c>
      <c r="R35" s="54">
        <f>O35+P35</f>
        <v>5509322.6647516266</v>
      </c>
      <c r="T35">
        <f>G20</f>
        <v>41142.871748503712</v>
      </c>
    </row>
    <row r="36" spans="2:20" x14ac:dyDescent="0.25">
      <c r="B36" t="s">
        <v>285</v>
      </c>
      <c r="C36" s="54">
        <f>Q29</f>
        <v>210.19716469017393</v>
      </c>
      <c r="E36" t="s">
        <v>289</v>
      </c>
      <c r="F36">
        <f>L14</f>
        <v>4000</v>
      </c>
    </row>
    <row r="37" spans="2:20" x14ac:dyDescent="0.25">
      <c r="B37" t="s">
        <v>19</v>
      </c>
      <c r="C37" s="54">
        <f>Q31</f>
        <v>36434.288225849923</v>
      </c>
      <c r="E37" t="s">
        <v>288</v>
      </c>
      <c r="F37">
        <f>T35</f>
        <v>41142.871748503712</v>
      </c>
    </row>
    <row r="38" spans="2:20" x14ac:dyDescent="0.25">
      <c r="B38" t="s">
        <v>286</v>
      </c>
      <c r="C38" s="54">
        <f>R27</f>
        <v>5509322.6647516266</v>
      </c>
      <c r="E38" t="s">
        <v>290</v>
      </c>
      <c r="F38" s="54">
        <f>L8+P22</f>
        <v>5509322.6647516266</v>
      </c>
    </row>
  </sheetData>
  <mergeCells count="4">
    <mergeCell ref="B2:E2"/>
    <mergeCell ref="F2:I2"/>
    <mergeCell ref="B18:E18"/>
    <mergeCell ref="F18:I18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AB994-D24E-4DA3-8365-93F7A5665D96}">
  <sheetPr codeName="Sheet12">
    <tabColor theme="2" tint="-0.749992370372631"/>
  </sheetPr>
  <dimension ref="A1:T30"/>
  <sheetViews>
    <sheetView workbookViewId="0">
      <selection activeCell="G20" sqref="G20"/>
    </sheetView>
  </sheetViews>
  <sheetFormatPr defaultRowHeight="13.8" x14ac:dyDescent="0.25"/>
  <cols>
    <col min="1" max="1" width="9" style="134"/>
    <col min="3" max="3" width="9" style="10"/>
    <col min="4" max="4" width="9" style="133"/>
    <col min="5" max="5" width="9" style="145"/>
    <col min="7" max="7" width="9" style="10"/>
    <col min="9" max="9" width="9" style="10"/>
    <col min="10" max="10" width="9" style="136"/>
    <col min="11" max="11" width="25.8984375" bestFit="1" customWidth="1"/>
    <col min="15" max="15" width="14.3984375" bestFit="1" customWidth="1"/>
  </cols>
  <sheetData>
    <row r="1" spans="1:20" x14ac:dyDescent="0.25">
      <c r="A1" s="133"/>
      <c r="B1" s="143" t="s">
        <v>147</v>
      </c>
      <c r="C1" t="s">
        <v>148</v>
      </c>
      <c r="D1" t="s">
        <v>147</v>
      </c>
      <c r="E1" s="145" t="s">
        <v>148</v>
      </c>
      <c r="F1" s="148" t="s">
        <v>147</v>
      </c>
      <c r="G1" s="148"/>
      <c r="H1" s="148"/>
      <c r="I1" s="4"/>
      <c r="J1" s="133"/>
      <c r="K1" s="143"/>
    </row>
    <row r="2" spans="1:20" x14ac:dyDescent="0.25">
      <c r="A2" s="15"/>
      <c r="B2" s="633" t="s">
        <v>138</v>
      </c>
      <c r="C2" s="633"/>
      <c r="D2" s="633"/>
      <c r="E2" s="634"/>
      <c r="F2" s="635" t="s">
        <v>139</v>
      </c>
      <c r="G2" s="635"/>
      <c r="H2" s="635"/>
      <c r="I2" s="636"/>
      <c r="K2" s="149" t="s">
        <v>140</v>
      </c>
      <c r="L2" s="159" t="s">
        <v>158</v>
      </c>
      <c r="M2" s="158" t="s">
        <v>157</v>
      </c>
      <c r="O2" s="157"/>
      <c r="R2" s="150" t="s">
        <v>149</v>
      </c>
      <c r="S2" s="152" t="s">
        <v>150</v>
      </c>
      <c r="T2" s="154" t="s">
        <v>151</v>
      </c>
    </row>
    <row r="3" spans="1:20" x14ac:dyDescent="0.25">
      <c r="B3" s="146" t="s">
        <v>144</v>
      </c>
      <c r="C3" s="144"/>
      <c r="D3" s="147" t="s">
        <v>145</v>
      </c>
      <c r="E3" s="144"/>
      <c r="F3" s="142" t="s">
        <v>144</v>
      </c>
      <c r="G3" s="139"/>
      <c r="H3" s="141" t="s">
        <v>145</v>
      </c>
      <c r="I3" s="139"/>
      <c r="K3" s="138" t="s">
        <v>99</v>
      </c>
      <c r="L3" s="139">
        <f>'Increasing Annuity'!M18</f>
        <v>100</v>
      </c>
      <c r="R3" s="151">
        <f>((1+L4)^(L10)-1)/L4</f>
        <v>4.1836269999999978</v>
      </c>
      <c r="S3" s="153">
        <f>((1+L4)^(L10*L11)-(1+L7)^L11)</f>
        <v>0.46788565706941276</v>
      </c>
      <c r="T3" s="155">
        <f>((1+L4)^(L10)-(1+L7))</f>
        <v>6.5508809999999862E-2</v>
      </c>
    </row>
    <row r="4" spans="1:20" x14ac:dyDescent="0.25">
      <c r="A4" s="134" t="s">
        <v>146</v>
      </c>
      <c r="B4" s="5">
        <f>(L8/(((1+L4)^(L5*L6)-(1+L7)^(L6*L5))/(L4-L7)))</f>
        <v>11.071709051720813</v>
      </c>
      <c r="C4" s="145">
        <f>((L9*(1+L4)^(L6*L5))*(L4-L7))/((1+L4)^(L6*L5)-(1+L7)^(L6*L5))</f>
        <v>6.5230115416209564</v>
      </c>
      <c r="D4" s="133">
        <f>(L8/((((1+L4)^(L5*L6)-(1+L7)^(L6*L5))/(L4-L7))*(1+L4)))</f>
        <v>10.749232089049332</v>
      </c>
      <c r="E4" s="145">
        <f>((L9*((1+L4)^(L6*L5))*(L4-L7))/((1+L4)^(L6*L5)-(1+L7)^(L6*L5)*(1+L4)))</f>
        <v>6.293166161279216</v>
      </c>
      <c r="F4" s="381">
        <f>(L8/(R3*(S3/T3)))</f>
        <v>334.66247686434298</v>
      </c>
      <c r="G4" s="380">
        <f>((L9*(1+L4)^(L5*L6))/(R3*(S3/T3)))</f>
        <v>197.16984875015959</v>
      </c>
      <c r="H4" s="381">
        <f>(L8/(R3*(S3/T3)*(1+L4)))</f>
        <v>324.91502608188637</v>
      </c>
      <c r="I4" s="380">
        <f>((L9*(1+L4)^(L5*L6))/(R3*(S3/T3)*(1+L4)))</f>
        <v>191.42703762151416</v>
      </c>
      <c r="K4" s="138" t="s">
        <v>141</v>
      </c>
      <c r="L4" s="160">
        <f>'Increasing Annuity'!U15</f>
        <v>0.03</v>
      </c>
    </row>
    <row r="5" spans="1:20" x14ac:dyDescent="0.25">
      <c r="A5" s="134" t="s">
        <v>16</v>
      </c>
      <c r="B5" s="10">
        <f>(L3*(((1+L4)^(L5*L6)-(1+L7)^(L6*L5))/(L4-L7)))</f>
        <v>90320.29249762265</v>
      </c>
      <c r="C5" s="145">
        <f>L9*(1+L4)^(L6*L5)</f>
        <v>5891.603104045731</v>
      </c>
      <c r="D5" s="133">
        <f>(L3*((1+L4)^(L5*L6)-(1+L7)^(L6*L5))/(L4-L7))*(1+L4)</f>
        <v>93029.901272551317</v>
      </c>
      <c r="E5" s="145">
        <f>L9*(1+L4)*(1+L4)^(L6*L5)</f>
        <v>6068.3511971671032</v>
      </c>
      <c r="F5" s="381">
        <f>L3*R3*(S3/T3)</f>
        <v>2988.085217588809</v>
      </c>
      <c r="G5" s="380">
        <f>L3*R3*(S3/T3)</f>
        <v>2988.085217588809</v>
      </c>
      <c r="H5" s="381">
        <f>L3*R3*(S3/T3)*(1+L4)</f>
        <v>3077.7277741164735</v>
      </c>
      <c r="I5" s="380">
        <f>L3*R3*(S3/T3)*(1+L4)</f>
        <v>3077.7277741164735</v>
      </c>
      <c r="K5" s="138" t="s">
        <v>22</v>
      </c>
      <c r="L5" s="139">
        <f>'Increasing Annuity'!Q17</f>
        <v>12</v>
      </c>
      <c r="O5" s="156"/>
    </row>
    <row r="6" spans="1:20" x14ac:dyDescent="0.25">
      <c r="A6" s="134" t="s">
        <v>17</v>
      </c>
      <c r="B6" s="10">
        <f>(L8*(1+L4)^(L6*L5*-1))</f>
        <v>1697.3309001641771</v>
      </c>
      <c r="C6" s="145">
        <f>((L3*((1+L4)^(L5*L6)-(1+L7)^(L6*L5))/(L4-L7))/((1+L4)^(L6*L5)))</f>
        <v>15330.342336808159</v>
      </c>
      <c r="D6" s="133">
        <f>((L3*((1+L4)^(L5*L6)-(1+L7)^(L6*L5))*(1+L4)/(L4-L7))/((1+L4)^(L6*L5)))</f>
        <v>15790.252606912403</v>
      </c>
      <c r="E6" s="145">
        <f>((L3*((1+L4)^(L5*L6)-(1+L7)^(L6*L5))*(1+L4)/(L4-L7))/((1+L4)^(L6*L5)))</f>
        <v>15790.252606912403</v>
      </c>
      <c r="F6" s="381">
        <f>(L3*R3*(S3/T3))/((1+L4)^(L6*L5))</f>
        <v>507.17693721372837</v>
      </c>
      <c r="G6" s="380">
        <f>(L3*R3*(S3/T3))/((1+L4)^(L6*L5))</f>
        <v>507.17693721372837</v>
      </c>
      <c r="H6" s="381">
        <f>(L3*R3*(S3/T3)*(1+L4))/((1+L4)^(L6*L5))</f>
        <v>522.39224533014033</v>
      </c>
      <c r="I6" s="380">
        <f>(L3*R3*(S3/T3)*(1+L4))/((1+L4)^(L6*L5))</f>
        <v>522.39224533014033</v>
      </c>
      <c r="K6" s="140" t="s">
        <v>142</v>
      </c>
      <c r="L6" s="139">
        <f>'Increasing Annuity'!Q16</f>
        <v>5</v>
      </c>
    </row>
    <row r="7" spans="1:20" x14ac:dyDescent="0.25">
      <c r="K7" s="138" t="s">
        <v>143</v>
      </c>
      <c r="L7" s="160">
        <f>'Increasing Annuity'!U12</f>
        <v>0.06</v>
      </c>
    </row>
    <row r="8" spans="1:20" x14ac:dyDescent="0.25">
      <c r="D8" s="10"/>
      <c r="K8" s="138" t="s">
        <v>16</v>
      </c>
      <c r="L8" s="139">
        <f>'Increasing Annuity'!M12</f>
        <v>10000</v>
      </c>
    </row>
    <row r="9" spans="1:20" x14ac:dyDescent="0.25">
      <c r="K9" s="138" t="s">
        <v>17</v>
      </c>
      <c r="L9" s="139">
        <f>'Increasing Annuity'!M15</f>
        <v>1000</v>
      </c>
    </row>
    <row r="10" spans="1:20" x14ac:dyDescent="0.25">
      <c r="K10" s="138" t="s">
        <v>152</v>
      </c>
      <c r="L10" s="139">
        <v>4</v>
      </c>
    </row>
    <row r="11" spans="1:20" x14ac:dyDescent="0.25">
      <c r="K11" s="138" t="s">
        <v>153</v>
      </c>
      <c r="L11" s="139">
        <v>5</v>
      </c>
    </row>
    <row r="12" spans="1:20" x14ac:dyDescent="0.25">
      <c r="K12" s="137" t="s">
        <v>154</v>
      </c>
      <c r="L12" s="139"/>
    </row>
    <row r="13" spans="1:20" x14ac:dyDescent="0.25">
      <c r="J13" s="135"/>
      <c r="K13" s="137" t="s">
        <v>155</v>
      </c>
      <c r="L13" s="139"/>
    </row>
    <row r="14" spans="1:20" x14ac:dyDescent="0.25">
      <c r="K14" s="137" t="s">
        <v>156</v>
      </c>
      <c r="L14" s="139"/>
    </row>
    <row r="17" spans="1:20" x14ac:dyDescent="0.25">
      <c r="A17" s="133"/>
      <c r="B17" s="143" t="s">
        <v>147</v>
      </c>
      <c r="C17" t="s">
        <v>148</v>
      </c>
      <c r="D17" t="s">
        <v>147</v>
      </c>
      <c r="E17" s="145" t="s">
        <v>148</v>
      </c>
      <c r="F17" s="148" t="s">
        <v>147</v>
      </c>
      <c r="G17" s="148"/>
      <c r="H17" s="148"/>
      <c r="I17" s="4"/>
      <c r="J17" s="133"/>
      <c r="K17" s="143"/>
    </row>
    <row r="18" spans="1:20" x14ac:dyDescent="0.25">
      <c r="A18" s="15"/>
      <c r="B18" s="633" t="s">
        <v>138</v>
      </c>
      <c r="C18" s="633"/>
      <c r="D18" s="633"/>
      <c r="E18" s="634"/>
      <c r="F18" s="635" t="s">
        <v>139</v>
      </c>
      <c r="G18" s="635"/>
      <c r="H18" s="635"/>
      <c r="I18" s="636"/>
      <c r="K18" s="149" t="s">
        <v>140</v>
      </c>
      <c r="L18" s="159" t="s">
        <v>158</v>
      </c>
      <c r="R18" s="150" t="s">
        <v>149</v>
      </c>
      <c r="S18" s="152" t="s">
        <v>150</v>
      </c>
      <c r="T18" s="154" t="s">
        <v>151</v>
      </c>
    </row>
    <row r="19" spans="1:20" x14ac:dyDescent="0.25">
      <c r="B19" s="146" t="s">
        <v>144</v>
      </c>
      <c r="C19" s="144"/>
      <c r="D19" s="147" t="s">
        <v>145</v>
      </c>
      <c r="E19" s="144"/>
      <c r="F19" s="142" t="s">
        <v>144</v>
      </c>
      <c r="G19" s="139"/>
      <c r="H19" s="141" t="s">
        <v>145</v>
      </c>
      <c r="I19" s="139"/>
      <c r="K19" s="138" t="s">
        <v>99</v>
      </c>
      <c r="L19" s="139">
        <f>'Increasing Annuity'!M35</f>
        <v>100</v>
      </c>
      <c r="R19" s="151">
        <f>((1+L20)^(L26)-1)/L20</f>
        <v>14.192029561539288</v>
      </c>
      <c r="S19" s="153">
        <f>((1+L20)^(L26*L27)-(1+L23)^L27)</f>
        <v>4.5533775264457308</v>
      </c>
      <c r="T19" s="155">
        <f>((1+L20)^(L26)-(1+L23))</f>
        <v>0.36576088684617858</v>
      </c>
    </row>
    <row r="20" spans="1:20" x14ac:dyDescent="0.25">
      <c r="A20" s="134" t="s">
        <v>146</v>
      </c>
      <c r="B20" s="377">
        <f>(L24/(((1+L20)^(L21*L22)-(1+L23)^(L22*L21))/(L20-L23)))</f>
        <v>11.071709051720813</v>
      </c>
      <c r="C20" s="378">
        <f>((L25*(1+L20)^(L22*L21))*(L20-L23))/((1+L20)^(L22*L21)-(1+L23)^(L22*L21))</f>
        <v>6.5230115416209564</v>
      </c>
      <c r="D20" s="379">
        <f>(L24/((((1+L20)^(L21*L22)-(1+L23)^(L22*L21))/(L20-L23))*(1+L20)))</f>
        <v>10.749232089049332</v>
      </c>
      <c r="E20" s="378">
        <f>((L25*((1+L20)^(L22*L21))*(L20-L23))/((1+L20)^(L22*L21)-(1+L23)^(L22*L21)*(1+L20)))</f>
        <v>6.293166161279216</v>
      </c>
      <c r="F20">
        <f>(L24/(R19*(S19/T19)))</f>
        <v>56.600347153159291</v>
      </c>
      <c r="G20" s="10">
        <f>((L25*(1+L20)^(L21*L22))/(R19*(S19/T19)))</f>
        <v>33.346678097761924</v>
      </c>
      <c r="H20">
        <f>(L24/(R19*(S19/T19)*(1+L20)))</f>
        <v>54.951793352581838</v>
      </c>
      <c r="I20" s="10">
        <f>((L25*(1+L20)^(L21*L22))/(R19*(S19/T19)*(1+L20)))</f>
        <v>32.37541562889507</v>
      </c>
      <c r="K20" s="138" t="s">
        <v>141</v>
      </c>
      <c r="L20" s="160">
        <f>'Increasing Annuity'!U32</f>
        <v>0.03</v>
      </c>
    </row>
    <row r="21" spans="1:20" x14ac:dyDescent="0.25">
      <c r="A21" s="134" t="s">
        <v>16</v>
      </c>
      <c r="B21" s="380">
        <f>(L19*((1+L20)^(L21*L22)-(1+L23)^(L22*L21))/(L20-L23))</f>
        <v>90320.292497622635</v>
      </c>
      <c r="C21" s="378">
        <f>L25*(1+L20)^(L22*L21)</f>
        <v>5891.603104045731</v>
      </c>
      <c r="D21" s="379">
        <f>(L19*((1+L20)^(L21*L22)-(1+L23)^(L22*L21))/(L20-L23))*(1+L20)</f>
        <v>93029.901272551317</v>
      </c>
      <c r="E21" s="378">
        <f>L25*(1+L20)*(1+L20)^(L22*L21)</f>
        <v>6068.3511971671032</v>
      </c>
      <c r="F21">
        <f>L19*R19*(S19/T19)</f>
        <v>17667.736158826414</v>
      </c>
      <c r="G21" s="10">
        <f>L19*R19*(S19/T19)</f>
        <v>17667.736158826414</v>
      </c>
      <c r="H21">
        <f>L19*R19*(S19/T19)*(1+L20)</f>
        <v>18197.768243591207</v>
      </c>
      <c r="I21" s="10">
        <f>L19*R19*(S19/T19)*(1+L20)</f>
        <v>18197.768243591207</v>
      </c>
      <c r="K21" s="138" t="s">
        <v>22</v>
      </c>
      <c r="L21" s="139">
        <f>'Increasing Annuity'!Q34</f>
        <v>12</v>
      </c>
    </row>
    <row r="22" spans="1:20" x14ac:dyDescent="0.25">
      <c r="A22" s="134" t="s">
        <v>17</v>
      </c>
      <c r="B22" s="380">
        <f>((L19*((1+L20)^(L21*L22)-(1+L23)^(L22*L21))/(L20-L23))/((1+L20)^(L22*L21)))</f>
        <v>15330.342336808159</v>
      </c>
      <c r="C22" s="378">
        <f>((L19*((1+L20)^(L21*L22)-(1+L23)^(L22*L21))/(L20-L23))/((1+L20)^(L22*L21)))</f>
        <v>15330.342336808159</v>
      </c>
      <c r="D22" s="379">
        <f>((L19*((1+L20)^(L21*L22)-(1+L23)^(L22*L21))*(1+L20)/(L20-L23))/((1+L20)^(L22*L21)))</f>
        <v>15790.252606912403</v>
      </c>
      <c r="E22" s="378">
        <f>((L19*((1+L20)^(L21*L22)-(1+L23)^(L22*L21))*(1+L20)/(L20-L23))/((1+L20)^(L22*L21)))</f>
        <v>15790.252606912403</v>
      </c>
      <c r="F22">
        <f>(L19*R19*(S19/T19))/((1+L20)^(L22*L21))</f>
        <v>2998.7994518324017</v>
      </c>
      <c r="G22" s="10">
        <f>(L19*R19*(S19/T19))/((1+L20)^(L22*L21))</f>
        <v>2998.7994518324017</v>
      </c>
      <c r="H22">
        <f>(L19*R19*(S19/T19)*(1+L20))/((1+L20)^(L22*L21))</f>
        <v>3088.7634353873736</v>
      </c>
      <c r="I22" s="10">
        <f>(L19*R19*(S19/T19)*(1+L20))/((1+L20)^(L22*L21))</f>
        <v>3088.7634353873736</v>
      </c>
      <c r="K22" s="140" t="s">
        <v>142</v>
      </c>
      <c r="L22" s="139">
        <f>'Increasing Annuity'!Q33</f>
        <v>5</v>
      </c>
    </row>
    <row r="23" spans="1:20" x14ac:dyDescent="0.25">
      <c r="K23" s="138" t="s">
        <v>143</v>
      </c>
      <c r="L23" s="160">
        <f>'Increasing Annuity'!U29</f>
        <v>0.06</v>
      </c>
    </row>
    <row r="24" spans="1:20" x14ac:dyDescent="0.25">
      <c r="D24" s="10"/>
      <c r="K24" s="138" t="s">
        <v>16</v>
      </c>
      <c r="L24" s="139">
        <f>'Increasing Annuity'!M29</f>
        <v>10000</v>
      </c>
    </row>
    <row r="25" spans="1:20" x14ac:dyDescent="0.25">
      <c r="K25" s="138" t="s">
        <v>17</v>
      </c>
      <c r="L25" s="139">
        <f>'Increasing Annuity'!M32</f>
        <v>1000</v>
      </c>
    </row>
    <row r="26" spans="1:20" x14ac:dyDescent="0.25">
      <c r="K26" s="138" t="s">
        <v>152</v>
      </c>
      <c r="L26" s="139">
        <f>'Increasing Annuity'!Q29</f>
        <v>12</v>
      </c>
    </row>
    <row r="27" spans="1:20" x14ac:dyDescent="0.25">
      <c r="K27" s="138" t="s">
        <v>153</v>
      </c>
      <c r="L27" s="139">
        <f>'Increasing Annuity'!Q35/'Increasing Annuity'!Q29</f>
        <v>5</v>
      </c>
    </row>
    <row r="28" spans="1:20" x14ac:dyDescent="0.25">
      <c r="K28" s="137" t="s">
        <v>154</v>
      </c>
      <c r="L28" s="139"/>
    </row>
    <row r="29" spans="1:20" x14ac:dyDescent="0.25">
      <c r="J29" s="135"/>
      <c r="K29" s="137" t="s">
        <v>155</v>
      </c>
      <c r="L29" s="139"/>
    </row>
    <row r="30" spans="1:20" x14ac:dyDescent="0.25">
      <c r="K30" s="137" t="s">
        <v>156</v>
      </c>
      <c r="L30" s="139"/>
    </row>
  </sheetData>
  <mergeCells count="4">
    <mergeCell ref="B2:E2"/>
    <mergeCell ref="F2:I2"/>
    <mergeCell ref="B18:E18"/>
    <mergeCell ref="F18:I18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DA4-B4D8-49BD-AB13-684978758DB8}">
  <sheetPr codeName="Sheet9">
    <tabColor theme="2" tint="-0.749992370372631"/>
  </sheetPr>
  <dimension ref="B1:Y30"/>
  <sheetViews>
    <sheetView zoomScale="77" zoomScaleNormal="90" workbookViewId="0">
      <selection activeCell="G23" sqref="G23:P28"/>
    </sheetView>
  </sheetViews>
  <sheetFormatPr defaultColWidth="8.69921875" defaultRowHeight="13.8" x14ac:dyDescent="0.25"/>
  <cols>
    <col min="1" max="4" width="8.69921875" style="15"/>
    <col min="5" max="5" width="10.69921875" style="15" customWidth="1"/>
    <col min="6" max="6" width="26.3984375" style="15" customWidth="1"/>
    <col min="7" max="7" width="4.69921875" style="15" customWidth="1"/>
    <col min="8" max="8" width="3" style="15" customWidth="1"/>
    <col min="9" max="9" width="3.3984375" style="15" customWidth="1"/>
    <col min="10" max="10" width="3.69921875" style="15" customWidth="1"/>
    <col min="11" max="11" width="2.8984375" style="15" customWidth="1"/>
    <col min="12" max="12" width="6.19921875" style="15" customWidth="1"/>
    <col min="13" max="13" width="2.69921875" style="15" customWidth="1"/>
    <col min="14" max="14" width="3.19921875" style="15" customWidth="1"/>
    <col min="15" max="15" width="8.69921875" style="15"/>
    <col min="16" max="16" width="4.5" style="15" customWidth="1"/>
    <col min="17" max="19" width="8.69921875" style="15"/>
    <col min="20" max="20" width="24.59765625" style="15" customWidth="1"/>
    <col min="21" max="21" width="1.8984375" style="15" customWidth="1"/>
    <col min="22" max="22" width="0.8984375" style="15" customWidth="1"/>
    <col min="23" max="23" width="8.69921875" style="15"/>
    <col min="24" max="24" width="12.59765625" style="15" bestFit="1" customWidth="1"/>
    <col min="25" max="16384" width="8.69921875" style="15"/>
  </cols>
  <sheetData>
    <row r="1" spans="2:25" ht="14.4" thickBot="1" x14ac:dyDescent="0.3"/>
    <row r="2" spans="2:25" x14ac:dyDescent="0.25">
      <c r="B2" s="643" t="s">
        <v>91</v>
      </c>
      <c r="C2" s="644"/>
      <c r="D2" s="644"/>
      <c r="E2" s="644"/>
      <c r="F2" s="644"/>
      <c r="G2" s="644"/>
      <c r="H2" s="644"/>
      <c r="I2" s="644"/>
      <c r="J2" s="644"/>
      <c r="K2" s="644"/>
      <c r="L2" s="644"/>
      <c r="M2" s="644"/>
      <c r="N2" s="644"/>
      <c r="O2" s="644"/>
      <c r="P2" s="644"/>
      <c r="Q2" s="644"/>
      <c r="R2" s="644"/>
      <c r="S2" s="644"/>
      <c r="T2" s="644"/>
      <c r="U2" s="644"/>
      <c r="V2" s="644"/>
      <c r="W2" s="644"/>
      <c r="X2" s="644"/>
      <c r="Y2" s="645"/>
    </row>
    <row r="3" spans="2:25" x14ac:dyDescent="0.25">
      <c r="B3" s="646"/>
      <c r="C3" s="647"/>
      <c r="D3" s="647"/>
      <c r="E3" s="647"/>
      <c r="F3" s="647"/>
      <c r="G3" s="647"/>
      <c r="H3" s="647"/>
      <c r="I3" s="647"/>
      <c r="J3" s="647"/>
      <c r="K3" s="647"/>
      <c r="L3" s="647"/>
      <c r="M3" s="647"/>
      <c r="N3" s="647"/>
      <c r="O3" s="647"/>
      <c r="P3" s="647"/>
      <c r="Q3" s="647"/>
      <c r="R3" s="647"/>
      <c r="S3" s="647"/>
      <c r="T3" s="647"/>
      <c r="U3" s="647"/>
      <c r="V3" s="647"/>
      <c r="W3" s="647"/>
      <c r="X3" s="647"/>
      <c r="Y3" s="648"/>
    </row>
    <row r="4" spans="2:25" x14ac:dyDescent="0.25">
      <c r="B4" s="646"/>
      <c r="C4" s="647"/>
      <c r="D4" s="647"/>
      <c r="E4" s="647"/>
      <c r="F4" s="647"/>
      <c r="G4" s="647"/>
      <c r="H4" s="647"/>
      <c r="I4" s="647"/>
      <c r="J4" s="647"/>
      <c r="K4" s="647"/>
      <c r="L4" s="647"/>
      <c r="M4" s="647"/>
      <c r="N4" s="647"/>
      <c r="O4" s="647"/>
      <c r="P4" s="647"/>
      <c r="Q4" s="647"/>
      <c r="R4" s="647"/>
      <c r="S4" s="647"/>
      <c r="T4" s="647"/>
      <c r="U4" s="647"/>
      <c r="V4" s="647"/>
      <c r="W4" s="647"/>
      <c r="X4" s="647"/>
      <c r="Y4" s="648"/>
    </row>
    <row r="5" spans="2:25" x14ac:dyDescent="0.25">
      <c r="B5" s="646"/>
      <c r="C5" s="647"/>
      <c r="D5" s="647"/>
      <c r="E5" s="647"/>
      <c r="F5" s="647"/>
      <c r="G5" s="647"/>
      <c r="H5" s="647"/>
      <c r="I5" s="647"/>
      <c r="J5" s="647"/>
      <c r="K5" s="647"/>
      <c r="L5" s="647"/>
      <c r="M5" s="647"/>
      <c r="N5" s="647"/>
      <c r="O5" s="647"/>
      <c r="P5" s="647"/>
      <c r="Q5" s="647"/>
      <c r="R5" s="647"/>
      <c r="S5" s="647"/>
      <c r="T5" s="647"/>
      <c r="U5" s="647"/>
      <c r="V5" s="647"/>
      <c r="W5" s="647"/>
      <c r="X5" s="647"/>
      <c r="Y5" s="648"/>
    </row>
    <row r="6" spans="2:25" x14ac:dyDescent="0.25">
      <c r="B6" s="646"/>
      <c r="C6" s="647"/>
      <c r="D6" s="647"/>
      <c r="E6" s="647"/>
      <c r="F6" s="647"/>
      <c r="G6" s="647"/>
      <c r="H6" s="647"/>
      <c r="I6" s="647"/>
      <c r="J6" s="647"/>
      <c r="K6" s="647"/>
      <c r="L6" s="647"/>
      <c r="M6" s="647"/>
      <c r="N6" s="647"/>
      <c r="O6" s="647"/>
      <c r="P6" s="647"/>
      <c r="Q6" s="647"/>
      <c r="R6" s="647"/>
      <c r="S6" s="647"/>
      <c r="T6" s="647"/>
      <c r="U6" s="647"/>
      <c r="V6" s="647"/>
      <c r="W6" s="647"/>
      <c r="X6" s="647"/>
      <c r="Y6" s="648"/>
    </row>
    <row r="7" spans="2:25" x14ac:dyDescent="0.25">
      <c r="B7" s="62"/>
      <c r="Y7" s="63"/>
    </row>
    <row r="8" spans="2:25" x14ac:dyDescent="0.25">
      <c r="B8" s="62"/>
      <c r="C8" s="649" t="s">
        <v>92</v>
      </c>
      <c r="D8" s="649"/>
      <c r="E8" s="649"/>
      <c r="Y8" s="63"/>
    </row>
    <row r="9" spans="2:25" ht="21" x14ac:dyDescent="0.4">
      <c r="B9" s="62"/>
      <c r="C9" s="649"/>
      <c r="D9" s="649"/>
      <c r="E9" s="649"/>
      <c r="F9" s="164">
        <v>4.65E-2</v>
      </c>
      <c r="Q9" s="652" t="s">
        <v>11</v>
      </c>
      <c r="R9" s="652"/>
      <c r="S9" s="652"/>
      <c r="Y9" s="63"/>
    </row>
    <row r="10" spans="2:25" ht="21" x14ac:dyDescent="0.4">
      <c r="B10" s="62"/>
      <c r="C10" s="649"/>
      <c r="D10" s="649"/>
      <c r="E10" s="649"/>
      <c r="Q10" s="652"/>
      <c r="R10" s="652"/>
      <c r="S10" s="652"/>
      <c r="T10" s="163">
        <v>1</v>
      </c>
      <c r="U10" s="162"/>
      <c r="Y10" s="63"/>
    </row>
    <row r="11" spans="2:25" x14ac:dyDescent="0.25">
      <c r="B11" s="62"/>
      <c r="T11" s="32"/>
      <c r="V11" s="68"/>
      <c r="Y11" s="63"/>
    </row>
    <row r="12" spans="2:25" ht="19.8" customHeight="1" x14ac:dyDescent="0.4">
      <c r="B12" s="62"/>
      <c r="C12" s="650" t="s">
        <v>93</v>
      </c>
      <c r="D12" s="650"/>
      <c r="E12" s="650"/>
      <c r="F12" s="165">
        <v>2</v>
      </c>
      <c r="I12" s="651"/>
      <c r="J12" s="651"/>
      <c r="K12" s="651"/>
      <c r="L12" s="651"/>
      <c r="M12" s="651"/>
      <c r="N12" s="651"/>
      <c r="O12" s="651"/>
      <c r="Y12" s="63"/>
    </row>
    <row r="13" spans="2:25" ht="3.6" customHeight="1" x14ac:dyDescent="0.25">
      <c r="B13" s="62"/>
      <c r="C13" s="650"/>
      <c r="D13" s="650"/>
      <c r="E13" s="650"/>
      <c r="I13" s="651"/>
      <c r="J13" s="651"/>
      <c r="K13" s="651"/>
      <c r="L13" s="651"/>
      <c r="M13" s="651"/>
      <c r="N13" s="651"/>
      <c r="O13" s="651"/>
      <c r="Q13" s="641" t="s">
        <v>97</v>
      </c>
      <c r="R13" s="641"/>
      <c r="S13" s="641"/>
      <c r="U13" s="99"/>
      <c r="V13" s="99"/>
      <c r="Y13" s="63"/>
    </row>
    <row r="14" spans="2:25" ht="22.2" customHeight="1" x14ac:dyDescent="0.25">
      <c r="B14" s="62"/>
      <c r="C14" s="650"/>
      <c r="D14" s="650"/>
      <c r="E14" s="650"/>
      <c r="I14" s="651"/>
      <c r="J14" s="651"/>
      <c r="K14" s="651"/>
      <c r="L14" s="651"/>
      <c r="M14" s="651"/>
      <c r="N14" s="651"/>
      <c r="O14" s="651"/>
      <c r="Q14" s="641"/>
      <c r="R14" s="641"/>
      <c r="S14" s="641"/>
      <c r="T14" s="86">
        <v>4</v>
      </c>
      <c r="U14" s="101"/>
      <c r="V14" s="99"/>
      <c r="Y14" s="63"/>
    </row>
    <row r="15" spans="2:25" ht="13.95" customHeight="1" x14ac:dyDescent="0.25">
      <c r="B15" s="62"/>
      <c r="C15" s="649" t="s">
        <v>94</v>
      </c>
      <c r="D15" s="649"/>
      <c r="E15" s="649"/>
      <c r="I15" s="651"/>
      <c r="J15" s="651"/>
      <c r="K15" s="651"/>
      <c r="L15" s="651"/>
      <c r="M15" s="651"/>
      <c r="N15" s="651"/>
      <c r="O15" s="651"/>
      <c r="Q15" s="641"/>
      <c r="R15" s="641"/>
      <c r="S15" s="641"/>
      <c r="T15" s="99"/>
      <c r="U15" s="100"/>
      <c r="V15" s="99"/>
      <c r="Y15" s="63"/>
    </row>
    <row r="16" spans="2:25" ht="19.8" customHeight="1" x14ac:dyDescent="0.4">
      <c r="B16" s="62"/>
      <c r="C16" s="649"/>
      <c r="D16" s="649"/>
      <c r="E16" s="649"/>
      <c r="F16" s="166" t="s">
        <v>6</v>
      </c>
      <c r="I16" s="651"/>
      <c r="J16" s="651"/>
      <c r="K16" s="651"/>
      <c r="L16" s="651"/>
      <c r="M16" s="651"/>
      <c r="N16" s="651"/>
      <c r="O16" s="651"/>
      <c r="Y16" s="63"/>
    </row>
    <row r="17" spans="2:25" ht="14.4" customHeight="1" x14ac:dyDescent="0.25">
      <c r="B17" s="62"/>
      <c r="C17" s="649"/>
      <c r="D17" s="649"/>
      <c r="E17" s="649"/>
      <c r="Q17" s="641" t="s">
        <v>96</v>
      </c>
      <c r="R17" s="641"/>
      <c r="S17" s="641"/>
      <c r="T17" s="246" t="s">
        <v>137</v>
      </c>
      <c r="U17" s="246"/>
      <c r="V17" s="246"/>
      <c r="Y17" s="63"/>
    </row>
    <row r="18" spans="2:25" ht="18" customHeight="1" x14ac:dyDescent="0.25">
      <c r="B18" s="62"/>
      <c r="C18" s="169"/>
      <c r="D18" s="169"/>
      <c r="E18" s="169"/>
      <c r="Q18" s="641"/>
      <c r="R18" s="641"/>
      <c r="S18" s="641"/>
      <c r="T18" s="246"/>
      <c r="U18" s="246"/>
      <c r="V18" s="246"/>
      <c r="Y18" s="63"/>
    </row>
    <row r="19" spans="2:25" ht="16.2" customHeight="1" x14ac:dyDescent="0.4">
      <c r="B19" s="62"/>
      <c r="C19" s="650" t="s">
        <v>11</v>
      </c>
      <c r="D19" s="650"/>
      <c r="E19" s="650"/>
      <c r="F19" s="168">
        <v>1</v>
      </c>
      <c r="Q19" s="641"/>
      <c r="R19" s="641"/>
      <c r="S19" s="641"/>
      <c r="T19" s="101"/>
      <c r="U19" s="101"/>
      <c r="V19" s="101"/>
      <c r="Y19" s="63"/>
    </row>
    <row r="20" spans="2:25" x14ac:dyDescent="0.25">
      <c r="B20" s="62"/>
      <c r="C20" s="650"/>
      <c r="D20" s="650"/>
      <c r="E20" s="650"/>
      <c r="Y20" s="63"/>
    </row>
    <row r="21" spans="2:25" ht="21" customHeight="1" x14ac:dyDescent="0.25">
      <c r="B21" s="62"/>
      <c r="C21" s="650"/>
      <c r="D21" s="650"/>
      <c r="E21" s="650"/>
      <c r="Y21" s="63"/>
    </row>
    <row r="22" spans="2:25" ht="17.399999999999999" customHeight="1" x14ac:dyDescent="0.25">
      <c r="B22" s="62"/>
      <c r="C22" s="167"/>
      <c r="D22" s="167"/>
      <c r="E22" s="167"/>
      <c r="Y22" s="63"/>
    </row>
    <row r="23" spans="2:25" ht="13.95" customHeight="1" x14ac:dyDescent="0.25">
      <c r="B23" s="62"/>
      <c r="D23" s="529" t="s">
        <v>40</v>
      </c>
      <c r="E23" s="529"/>
      <c r="F23" s="529"/>
      <c r="G23" s="642">
        <f>IF(AND(F16="effective annual",T17="effective periodic"),'Convert-BE'!C8,IF(AND(F16="effective periodic",T17="effective periodic"),'Convert-BE'!C9,IF(AND(F16="nominal",T17="effective periodic"),'Convert-BE'!C10,IF(AND(F16="simple",T17="effective periodic"),'Convert-BE'!C11,IF(AND(F16="continues",T17="effective periodic"),'Convert-BE'!C12,IF(AND(F19="effective annual",T17="effective annual"),'Convert-BE'!B8,IF(AND(F16="effective periodic",T17="effective annual"),'Convert-BE'!B9,IF(AND(F16="nominal",T17="effective annual"),'Convert-BE'!B10,IF(AND(F16="simple",T17="effective annual"),'Convert-BE'!B11,IF(AND(F16="continues",T17="effective annual"),'Convert-BE'!B12,IF(AND(F16="effective annual",T17="nominal"),'Convert-BE'!D8,IF(AND(F16="effective periodic",T17="nominal"),'Convert-BE'!D9,IF(AND(F16="nominal",T17="nominal"),'Convert-BE'!D10,IF(AND(F16="simple",T17="nominal"),'Convert-BE'!D11,IF(AND(F16="continues",T17="nominal"),'Convert-BE'!D12,IF(AND(F16="effective annual",T17="simple"),'Convert-BE'!E8,IF(AND(F16="effective periodic",T17="simple"),'Convert-BE'!E9,IF(AND(F16="nominal",T17="simple"),'Convert-BE'!E10,IF(AND(F19="simple",T17="simple"),'Convert-BE'!E11,IF(AND(F16="continues",T17="simple"),'Convert-BE'!E12,IF(AND(F16="effective annual",T17="continues"),'Convert-BE'!F8,IF(AND(F19="effective periodic",T17="continues"),'Convert-BE'!F9,IF(AND(F16="nominal",T17="continues"),'Convert-BE'!F10,IF(AND(F19="simple",T17="continues interest"),'Convert-BE'!F11,IF(AND(F16="continues interest",T17="continues"),'Convert-BE'!F12,IF(AND(F16="effective periodic","continues"),'Convert-BE'!F9))))))))))))))))))))))))))</f>
        <v>9.0902525807834714E-2</v>
      </c>
      <c r="H23" s="642"/>
      <c r="I23" s="642"/>
      <c r="J23" s="642"/>
      <c r="K23" s="642"/>
      <c r="L23" s="642"/>
      <c r="M23" s="642"/>
      <c r="N23" s="642"/>
      <c r="O23" s="642"/>
      <c r="P23" s="642"/>
      <c r="Y23" s="63"/>
    </row>
    <row r="24" spans="2:25" ht="13.95" customHeight="1" x14ac:dyDescent="0.25">
      <c r="B24" s="62"/>
      <c r="D24" s="529"/>
      <c r="E24" s="529"/>
      <c r="F24" s="529"/>
      <c r="G24" s="642"/>
      <c r="H24" s="642"/>
      <c r="I24" s="642"/>
      <c r="J24" s="642"/>
      <c r="K24" s="642"/>
      <c r="L24" s="642"/>
      <c r="M24" s="642"/>
      <c r="N24" s="642"/>
      <c r="O24" s="642"/>
      <c r="P24" s="642"/>
      <c r="Y24" s="63"/>
    </row>
    <row r="25" spans="2:25" ht="13.95" customHeight="1" x14ac:dyDescent="0.25">
      <c r="B25" s="62"/>
      <c r="D25" s="529"/>
      <c r="E25" s="529"/>
      <c r="F25" s="529"/>
      <c r="G25" s="642"/>
      <c r="H25" s="642"/>
      <c r="I25" s="642"/>
      <c r="J25" s="642"/>
      <c r="K25" s="642"/>
      <c r="L25" s="642"/>
      <c r="M25" s="642"/>
      <c r="N25" s="642"/>
      <c r="O25" s="642"/>
      <c r="P25" s="642"/>
      <c r="Y25" s="63"/>
    </row>
    <row r="26" spans="2:25" ht="13.95" customHeight="1" x14ac:dyDescent="0.25">
      <c r="B26" s="62"/>
      <c r="D26" s="529"/>
      <c r="E26" s="529"/>
      <c r="F26" s="529"/>
      <c r="G26" s="642"/>
      <c r="H26" s="642"/>
      <c r="I26" s="642"/>
      <c r="J26" s="642"/>
      <c r="K26" s="642"/>
      <c r="L26" s="642"/>
      <c r="M26" s="642"/>
      <c r="N26" s="642"/>
      <c r="O26" s="642"/>
      <c r="P26" s="642"/>
      <c r="W26" s="637" t="s">
        <v>100</v>
      </c>
      <c r="X26" s="638"/>
      <c r="Y26" s="63"/>
    </row>
    <row r="27" spans="2:25" ht="13.95" customHeight="1" x14ac:dyDescent="0.25">
      <c r="B27" s="62"/>
      <c r="D27" s="529"/>
      <c r="E27" s="529"/>
      <c r="F27" s="529"/>
      <c r="G27" s="642"/>
      <c r="H27" s="642"/>
      <c r="I27" s="642"/>
      <c r="J27" s="642"/>
      <c r="K27" s="642"/>
      <c r="L27" s="642"/>
      <c r="M27" s="642"/>
      <c r="N27" s="642"/>
      <c r="O27" s="642"/>
      <c r="P27" s="642"/>
      <c r="W27" s="639"/>
      <c r="X27" s="640"/>
      <c r="Y27" s="63"/>
    </row>
    <row r="28" spans="2:25" ht="13.95" customHeight="1" x14ac:dyDescent="0.25">
      <c r="B28" s="62"/>
      <c r="D28" s="529"/>
      <c r="E28" s="529"/>
      <c r="F28" s="529"/>
      <c r="G28" s="642"/>
      <c r="H28" s="642"/>
      <c r="I28" s="642"/>
      <c r="J28" s="642"/>
      <c r="K28" s="642"/>
      <c r="L28" s="642"/>
      <c r="M28" s="642"/>
      <c r="N28" s="642"/>
      <c r="O28" s="642"/>
      <c r="P28" s="642"/>
      <c r="W28" s="30"/>
      <c r="X28" s="31"/>
      <c r="Y28" s="63"/>
    </row>
    <row r="29" spans="2:25" x14ac:dyDescent="0.25">
      <c r="B29" s="62"/>
      <c r="W29" s="35"/>
      <c r="X29" s="247">
        <f>G23</f>
        <v>9.0902525807834714E-2</v>
      </c>
      <c r="Y29" s="63"/>
    </row>
    <row r="30" spans="2:25" ht="14.4" thickBot="1" x14ac:dyDescent="0.3">
      <c r="B30" s="64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6"/>
    </row>
  </sheetData>
  <sheetProtection selectLockedCells="1"/>
  <mergeCells count="12">
    <mergeCell ref="W26:X27"/>
    <mergeCell ref="Q13:S15"/>
    <mergeCell ref="D23:F28"/>
    <mergeCell ref="G23:P28"/>
    <mergeCell ref="B2:Y6"/>
    <mergeCell ref="C8:E10"/>
    <mergeCell ref="C12:E14"/>
    <mergeCell ref="I12:O16"/>
    <mergeCell ref="Q17:S19"/>
    <mergeCell ref="Q9:S10"/>
    <mergeCell ref="C15:E17"/>
    <mergeCell ref="C19:E21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5FF39-8558-4C4A-8E0B-033EC13F968A}">
  <sheetPr codeName="Sheet13">
    <tabColor theme="2" tint="-0.749992370372631"/>
  </sheetPr>
  <dimension ref="D7:AC29"/>
  <sheetViews>
    <sheetView showGridLines="0" showRowColHeaders="0" zoomScale="63" workbookViewId="0">
      <selection activeCell="R11" sqref="R11"/>
    </sheetView>
  </sheetViews>
  <sheetFormatPr defaultRowHeight="13.8" x14ac:dyDescent="0.25"/>
  <cols>
    <col min="1" max="4" width="8.796875" style="260"/>
    <col min="5" max="5" width="13.69921875" style="260" customWidth="1"/>
    <col min="6" max="6" width="7.19921875" style="260" customWidth="1"/>
    <col min="7" max="9" width="8.796875" style="260"/>
    <col min="10" max="10" width="23.09765625" style="260" bestFit="1" customWidth="1"/>
    <col min="11" max="11" width="18.3984375" style="260" bestFit="1" customWidth="1"/>
    <col min="12" max="12" width="8.796875" style="260"/>
    <col min="13" max="13" width="11" style="260" customWidth="1"/>
    <col min="14" max="14" width="20.59765625" style="260" bestFit="1" customWidth="1"/>
    <col min="15" max="15" width="14.19921875" style="260" bestFit="1" customWidth="1"/>
    <col min="16" max="16" width="8.796875" style="260" customWidth="1"/>
    <col min="17" max="17" width="11.796875" style="260" bestFit="1" customWidth="1"/>
    <col min="18" max="18" width="16.8984375" style="260" bestFit="1" customWidth="1"/>
    <col min="19" max="19" width="17.296875" style="260" bestFit="1" customWidth="1"/>
    <col min="20" max="20" width="12.296875" style="260" bestFit="1" customWidth="1"/>
    <col min="21" max="21" width="14" style="260" bestFit="1" customWidth="1"/>
    <col min="22" max="22" width="13.3984375" style="260" bestFit="1" customWidth="1"/>
    <col min="23" max="23" width="15.09765625" style="260" bestFit="1" customWidth="1"/>
    <col min="24" max="16384" width="8.796875" style="260"/>
  </cols>
  <sheetData>
    <row r="7" spans="4:29" x14ac:dyDescent="0.25">
      <c r="D7" s="261"/>
      <c r="E7" s="262"/>
      <c r="F7" s="262"/>
      <c r="G7" s="262"/>
      <c r="H7" s="262"/>
      <c r="I7" s="262"/>
      <c r="J7" s="262"/>
      <c r="K7" s="262"/>
      <c r="L7" s="262"/>
      <c r="M7" s="262"/>
      <c r="N7" s="262"/>
      <c r="O7" s="262"/>
      <c r="P7" s="262"/>
      <c r="Q7" s="262"/>
      <c r="R7" s="262"/>
      <c r="S7" s="262"/>
      <c r="T7" s="262"/>
      <c r="U7" s="262"/>
      <c r="V7" s="262"/>
      <c r="W7" s="262"/>
      <c r="X7" s="262"/>
      <c r="Y7" s="262"/>
      <c r="Z7" s="262"/>
      <c r="AA7" s="262"/>
      <c r="AB7" s="263"/>
    </row>
    <row r="8" spans="4:29" ht="13.8" customHeight="1" x14ac:dyDescent="0.25">
      <c r="D8" s="264"/>
      <c r="E8" s="657" t="s">
        <v>221</v>
      </c>
      <c r="F8" s="657"/>
      <c r="G8" s="657"/>
      <c r="AB8" s="265"/>
      <c r="AC8" s="310" t="str">
        <f>E10</f>
        <v>Loan amount</v>
      </c>
    </row>
    <row r="9" spans="4:29" ht="17.399999999999999" customHeight="1" x14ac:dyDescent="0.3">
      <c r="D9" s="264"/>
      <c r="E9" s="657"/>
      <c r="F9" s="657"/>
      <c r="G9" s="657"/>
      <c r="J9" s="270" t="s">
        <v>136</v>
      </c>
      <c r="K9" s="409">
        <v>50000</v>
      </c>
      <c r="N9" s="269" t="s">
        <v>229</v>
      </c>
      <c r="O9" s="410">
        <v>11000</v>
      </c>
      <c r="Q9" s="269" t="s">
        <v>9</v>
      </c>
      <c r="R9" s="361">
        <f>IF(R11="No",R13,Converter!X29)</f>
        <v>0.03</v>
      </c>
      <c r="V9" s="653" t="s">
        <v>40</v>
      </c>
      <c r="W9" s="653"/>
      <c r="X9" s="653"/>
      <c r="Y9" s="653"/>
      <c r="AB9" s="265"/>
    </row>
    <row r="10" spans="4:29" ht="33.6" customHeight="1" x14ac:dyDescent="0.25">
      <c r="D10" s="264"/>
      <c r="E10" s="658" t="s">
        <v>130</v>
      </c>
      <c r="F10" s="658"/>
      <c r="G10" s="658"/>
      <c r="K10" s="271"/>
      <c r="O10" s="408"/>
      <c r="V10" s="653"/>
      <c r="W10" s="653"/>
      <c r="X10" s="653"/>
      <c r="Y10" s="653"/>
      <c r="AB10" s="265"/>
    </row>
    <row r="11" spans="4:29" ht="17.399999999999999" customHeight="1" x14ac:dyDescent="0.3">
      <c r="D11" s="264"/>
      <c r="O11" s="408"/>
      <c r="Q11" s="274" t="s">
        <v>69</v>
      </c>
      <c r="R11" s="413" t="s">
        <v>15</v>
      </c>
      <c r="S11" s="262"/>
      <c r="T11" s="263"/>
      <c r="V11" s="653"/>
      <c r="W11" s="653"/>
      <c r="X11" s="653"/>
      <c r="Y11" s="653"/>
      <c r="AB11" s="265"/>
    </row>
    <row r="12" spans="4:29" ht="17.399999999999999" customHeight="1" x14ac:dyDescent="0.3">
      <c r="D12" s="264"/>
      <c r="J12" s="270"/>
      <c r="K12" s="309"/>
      <c r="N12" s="270" t="s">
        <v>11</v>
      </c>
      <c r="O12" s="411">
        <v>12</v>
      </c>
      <c r="Q12" s="264"/>
      <c r="R12" s="408"/>
      <c r="T12" s="265"/>
      <c r="W12" s="654" t="str">
        <f>IF(E10="Payments",TEXT('Loans-BE'!D13,"R#,00"),IF(E10="Loan amount",TEXT('Loans-BE'!D8,"R#,00"),IF(E10="Number of payments",TEXT('Loans-BE'!B13,"#,00"),IF(E10="Last payment",TEXT('Loans-BE'!I12,"R#,00")))))</f>
        <v>R361470,16</v>
      </c>
      <c r="X12" s="654"/>
      <c r="AB12" s="265"/>
    </row>
    <row r="13" spans="4:29" ht="21" customHeight="1" thickBot="1" x14ac:dyDescent="0.35">
      <c r="D13" s="264"/>
      <c r="N13" s="270" t="s">
        <v>10</v>
      </c>
      <c r="O13" s="412">
        <v>12</v>
      </c>
      <c r="Q13" s="275" t="s">
        <v>223</v>
      </c>
      <c r="R13" s="414">
        <v>0.03</v>
      </c>
      <c r="T13" s="265"/>
      <c r="W13" s="654"/>
      <c r="X13" s="654"/>
      <c r="AB13" s="265"/>
    </row>
    <row r="14" spans="4:29" ht="18" thickTop="1" x14ac:dyDescent="0.3">
      <c r="D14" s="264"/>
      <c r="N14" s="270" t="s">
        <v>51</v>
      </c>
      <c r="O14" s="407">
        <f>O12*O13</f>
        <v>144</v>
      </c>
      <c r="Q14" s="266"/>
      <c r="R14" s="267"/>
      <c r="S14" s="267"/>
      <c r="T14" s="268"/>
      <c r="AB14" s="265"/>
    </row>
    <row r="15" spans="4:29" x14ac:dyDescent="0.25">
      <c r="D15" s="264"/>
      <c r="AB15" s="265"/>
    </row>
    <row r="16" spans="4:29" x14ac:dyDescent="0.25">
      <c r="D16" s="266"/>
      <c r="E16" s="267"/>
      <c r="F16" s="267"/>
      <c r="G16" s="267"/>
      <c r="H16" s="267"/>
      <c r="I16" s="267"/>
      <c r="J16" s="267"/>
      <c r="K16" s="267"/>
      <c r="L16" s="267"/>
      <c r="M16" s="267"/>
      <c r="N16" s="267"/>
      <c r="O16" s="267"/>
      <c r="P16" s="267"/>
      <c r="Q16" s="267"/>
      <c r="R16" s="267"/>
      <c r="S16" s="267"/>
      <c r="T16" s="267"/>
      <c r="U16" s="267"/>
      <c r="V16" s="267"/>
      <c r="W16" s="267"/>
      <c r="X16" s="267"/>
      <c r="Y16" s="267"/>
      <c r="Z16" s="267"/>
      <c r="AA16" s="267"/>
      <c r="AB16" s="268"/>
    </row>
    <row r="18" spans="4:28" x14ac:dyDescent="0.25">
      <c r="D18" s="659" t="s">
        <v>224</v>
      </c>
      <c r="E18" s="659"/>
      <c r="F18" s="659"/>
    </row>
    <row r="19" spans="4:28" ht="15" x14ac:dyDescent="0.25">
      <c r="D19" s="660"/>
      <c r="E19" s="660"/>
      <c r="F19" s="660"/>
      <c r="Q19" s="366" t="str">
        <f>'Loans-BE'!B16</f>
        <v>Period</v>
      </c>
      <c r="R19" s="366" t="str">
        <f>'Loans-BE'!C16</f>
        <v>Balance @ begin</v>
      </c>
      <c r="S19" s="366" t="str">
        <f>'Loans-BE'!D16</f>
        <v>Balance after pay</v>
      </c>
      <c r="T19" s="366" t="str">
        <f>'Loans-BE'!E16</f>
        <v>Payments</v>
      </c>
      <c r="U19" s="366" t="str">
        <f>'Loans-BE'!F16</f>
        <v>Interest</v>
      </c>
      <c r="V19" s="366" t="str">
        <f>'Loans-BE'!G16</f>
        <v>Capital</v>
      </c>
      <c r="W19" s="366" t="str">
        <f>'Loans-BE'!H16</f>
        <v>Balance @ end</v>
      </c>
    </row>
    <row r="20" spans="4:28" x14ac:dyDescent="0.25">
      <c r="D20" s="261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3"/>
      <c r="Q20" s="365">
        <f ca="1">OFFSET('Loans-BE'!B16,'Loans - In arrears'!$AB$20,0)</f>
        <v>20</v>
      </c>
      <c r="R20" s="367">
        <f ca="1">IF($Q20=0,"",OFFSET('Loans-BE'!C16,'Loans - In arrears'!$AB$20,0))</f>
        <v>357554.56949778157</v>
      </c>
      <c r="S20" s="367">
        <f ca="1">IF($Q20=0,"",OFFSET('Loans-BE'!D16,'Loans - In arrears'!$AB$20,0))</f>
        <v>357281.20658271504</v>
      </c>
      <c r="T20" s="367">
        <f ca="1">IF($Q20=0,"",OFFSET('Loans-BE'!E16,'Loans - In arrears'!$AB$20,0))</f>
        <v>11000</v>
      </c>
      <c r="U20" s="367">
        <f ca="1">IF($Q20=0,"",OFFSET('Loans-BE'!F16,'Loans - In arrears'!$AB$20,0))</f>
        <v>10726.637084933447</v>
      </c>
      <c r="V20" s="367">
        <f ca="1">IF($Q20=0,"",OFFSET('Loans-BE'!G16,'Loans - In arrears'!$AB$20,0))</f>
        <v>273.36291506655289</v>
      </c>
      <c r="W20" s="367">
        <f ca="1">IF($Q20=0,"",OFFSET('Loans-BE'!H16,'Loans - In arrears'!$AB$20,0))</f>
        <v>357281.20658271504</v>
      </c>
      <c r="AB20" s="406">
        <v>20</v>
      </c>
    </row>
    <row r="21" spans="4:28" ht="20.399999999999999" x14ac:dyDescent="0.35">
      <c r="D21" s="264"/>
      <c r="E21" s="270" t="s">
        <v>225</v>
      </c>
      <c r="F21" s="407">
        <v>4</v>
      </c>
      <c r="J21" s="272" t="str">
        <f>"Capital @ t:"</f>
        <v>Capital @ t:</v>
      </c>
      <c r="K21" s="359">
        <f>'Loans-BE'!G8</f>
        <v>170.35073107831522</v>
      </c>
      <c r="O21" s="265"/>
      <c r="Q21" s="365">
        <f ca="1">OFFSET('Loans-BE'!B17,'Loans - In arrears'!$AB$20,0)</f>
        <v>21</v>
      </c>
      <c r="R21" s="367">
        <f ca="1">IF($Q21=0,"",OFFSET('Loans-BE'!C17,'Loans - In arrears'!$AB$20,0))</f>
        <v>357281.20658271504</v>
      </c>
      <c r="S21" s="367">
        <f ca="1">IF($Q21=0,"",OFFSET('Loans-BE'!D17,'Loans - In arrears'!$AB$20,0))</f>
        <v>356999.6427801965</v>
      </c>
      <c r="T21" s="367">
        <f ca="1">IF($Q21=0,"",OFFSET('Loans-BE'!E17,'Loans - In arrears'!$AB$20,0))</f>
        <v>11000</v>
      </c>
      <c r="U21" s="367">
        <f ca="1">IF($Q21=0,"",OFFSET('Loans-BE'!F17,'Loans - In arrears'!$AB$20,0))</f>
        <v>10718.436197481451</v>
      </c>
      <c r="V21" s="367">
        <f ca="1">IF($Q21=0,"",OFFSET('Loans-BE'!G17,'Loans - In arrears'!$AB$20,0))</f>
        <v>281.56380251854898</v>
      </c>
      <c r="W21" s="367">
        <f ca="1">IF($Q21=0,"",OFFSET('Loans-BE'!H17,'Loans - In arrears'!$AB$20,0))</f>
        <v>356999.6427801965</v>
      </c>
    </row>
    <row r="22" spans="4:28" ht="20.399999999999999" x14ac:dyDescent="0.35">
      <c r="D22" s="264"/>
      <c r="F22" s="408"/>
      <c r="J22" s="331" t="s">
        <v>123</v>
      </c>
      <c r="K22" s="362">
        <f>'Loans-BE'!G9</f>
        <v>10829.649268921685</v>
      </c>
      <c r="M22" s="272" t="s">
        <v>103</v>
      </c>
      <c r="N22" s="359">
        <f>'Loans-BE'!D11</f>
        <v>361470.16497629887</v>
      </c>
      <c r="O22" s="265"/>
      <c r="Q22" s="365">
        <f ca="1">OFFSET('Loans-BE'!B18,'Loans - In arrears'!$AB$20,0)</f>
        <v>22</v>
      </c>
      <c r="R22" s="367">
        <f ca="1">IF($Q22=0,"",OFFSET('Loans-BE'!C18,'Loans - In arrears'!$AB$20,0))</f>
        <v>356999.6427801965</v>
      </c>
      <c r="S22" s="367">
        <f ca="1">IF($Q22=0,"",OFFSET('Loans-BE'!D18,'Loans - In arrears'!$AB$20,0))</f>
        <v>356709.63206360239</v>
      </c>
      <c r="T22" s="367">
        <f ca="1">IF($Q22=0,"",OFFSET('Loans-BE'!E18,'Loans - In arrears'!$AB$20,0))</f>
        <v>11000</v>
      </c>
      <c r="U22" s="367">
        <f ca="1">IF($Q22=0,"",OFFSET('Loans-BE'!F18,'Loans - In arrears'!$AB$20,0))</f>
        <v>10709.989283405896</v>
      </c>
      <c r="V22" s="367">
        <f ca="1">IF($Q22=0,"",OFFSET('Loans-BE'!G18,'Loans - In arrears'!$AB$20,0))</f>
        <v>290.01071659410445</v>
      </c>
      <c r="W22" s="367">
        <f ca="1">IF($Q22=0,"",OFFSET('Loans-BE'!H18,'Loans - In arrears'!$AB$20,0))</f>
        <v>356709.63206360239</v>
      </c>
    </row>
    <row r="23" spans="4:28" ht="20.399999999999999" x14ac:dyDescent="0.35">
      <c r="D23" s="264"/>
      <c r="F23" s="408"/>
      <c r="J23" s="273" t="s">
        <v>126</v>
      </c>
      <c r="K23" s="363"/>
      <c r="M23" s="264"/>
      <c r="N23" s="265"/>
      <c r="O23" s="265"/>
      <c r="Q23" s="365">
        <f ca="1">OFFSET('Loans-BE'!B19,'Loans - In arrears'!$AB$20,0)</f>
        <v>23</v>
      </c>
      <c r="R23" s="367">
        <f ca="1">IF($Q23=0,"",OFFSET('Loans-BE'!C19,'Loans - In arrears'!$AB$20,0))</f>
        <v>356709.63206360239</v>
      </c>
      <c r="S23" s="367">
        <f ca="1">IF($Q23=0,"",OFFSET('Loans-BE'!D19,'Loans - In arrears'!$AB$20,0))</f>
        <v>356410.92102551047</v>
      </c>
      <c r="T23" s="367">
        <f ca="1">IF($Q23=0,"",OFFSET('Loans-BE'!E19,'Loans - In arrears'!$AB$20,0))</f>
        <v>11000</v>
      </c>
      <c r="U23" s="367">
        <f ca="1">IF($Q23=0,"",OFFSET('Loans-BE'!F19,'Loans - In arrears'!$AB$20,0))</f>
        <v>10701.288961908071</v>
      </c>
      <c r="V23" s="367">
        <f ca="1">IF($Q23=0,"",OFFSET('Loans-BE'!G19,'Loans - In arrears'!$AB$20,0))</f>
        <v>298.71103809192937</v>
      </c>
      <c r="W23" s="367">
        <f ca="1">IF($Q23=0,"",OFFSET('Loans-BE'!H19,'Loans - In arrears'!$AB$20,0))</f>
        <v>356410.92102551047</v>
      </c>
    </row>
    <row r="24" spans="4:28" ht="21.6" customHeight="1" x14ac:dyDescent="0.3">
      <c r="D24" s="264"/>
      <c r="E24" s="270" t="s">
        <v>226</v>
      </c>
      <c r="F24" s="407">
        <v>5</v>
      </c>
      <c r="M24" s="264"/>
      <c r="N24" s="265"/>
      <c r="O24" s="265"/>
      <c r="Q24" s="365">
        <f ca="1">OFFSET('Loans-BE'!B20,'Loans - In arrears'!$AB$20,0)</f>
        <v>24</v>
      </c>
      <c r="R24" s="367">
        <f ca="1">IF($Q24=0,"",OFFSET('Loans-BE'!C20,'Loans - In arrears'!$AB$20,0))</f>
        <v>356410.92102551047</v>
      </c>
      <c r="S24" s="367">
        <f ca="1">IF($Q24=0,"",OFFSET('Loans-BE'!D20,'Loans - In arrears'!$AB$20,0))</f>
        <v>356103.2486562758</v>
      </c>
      <c r="T24" s="367">
        <f ca="1">IF($Q24=0,"",OFFSET('Loans-BE'!E20,'Loans - In arrears'!$AB$20,0))</f>
        <v>11000</v>
      </c>
      <c r="U24" s="367">
        <f ca="1">IF($Q24=0,"",OFFSET('Loans-BE'!F20,'Loans - In arrears'!$AB$20,0))</f>
        <v>10692.327630765314</v>
      </c>
      <c r="V24" s="367">
        <f ca="1">IF($Q24=0,"",OFFSET('Loans-BE'!G20,'Loans - In arrears'!$AB$20,0))</f>
        <v>307.6723692346859</v>
      </c>
      <c r="W24" s="367">
        <f ca="1">IF($Q24=0,"",OFFSET('Loans-BE'!H20,'Loans - In arrears'!$AB$20,0))</f>
        <v>356103.2486562758</v>
      </c>
    </row>
    <row r="25" spans="4:28" ht="20.399999999999999" x14ac:dyDescent="0.35">
      <c r="D25" s="264"/>
      <c r="J25" s="272" t="s">
        <v>231</v>
      </c>
      <c r="K25" s="359">
        <f>'Loans-BE'!G11</f>
        <v>175.46125301066786</v>
      </c>
      <c r="M25" s="264"/>
      <c r="N25" s="265"/>
      <c r="O25" s="265"/>
      <c r="Q25" s="365">
        <f ca="1">OFFSET('Loans-BE'!B21,'Loans - In arrears'!$AB$20,0)</f>
        <v>25</v>
      </c>
      <c r="R25" s="367">
        <f ca="1">IF($Q25=0,"",OFFSET('Loans-BE'!C21,'Loans - In arrears'!$AB$20,0))</f>
        <v>356103.2486562758</v>
      </c>
      <c r="S25" s="367">
        <f ca="1">IF($Q25=0,"",OFFSET('Loans-BE'!D21,'Loans - In arrears'!$AB$20,0))</f>
        <v>355786.34611596406</v>
      </c>
      <c r="T25" s="367">
        <f ca="1">IF($Q25=0,"",OFFSET('Loans-BE'!E21,'Loans - In arrears'!$AB$20,0))</f>
        <v>11000</v>
      </c>
      <c r="U25" s="367">
        <f ca="1">IF($Q25=0,"",OFFSET('Loans-BE'!F21,'Loans - In arrears'!$AB$20,0))</f>
        <v>10683.097459688273</v>
      </c>
      <c r="V25" s="367">
        <f ca="1">IF($Q25=0,"",OFFSET('Loans-BE'!G21,'Loans - In arrears'!$AB$20,0))</f>
        <v>316.90254031172663</v>
      </c>
      <c r="W25" s="367">
        <f ca="1">IF($Q25=0,"",OFFSET('Loans-BE'!H21,'Loans - In arrears'!$AB$20,0))</f>
        <v>355786.34611596406</v>
      </c>
    </row>
    <row r="26" spans="4:28" ht="20.399999999999999" x14ac:dyDescent="0.35">
      <c r="D26" s="264"/>
      <c r="J26" s="264"/>
      <c r="K26" s="265"/>
      <c r="M26" s="273" t="s">
        <v>227</v>
      </c>
      <c r="N26" s="360">
        <f>'Loans-BE'!D10</f>
        <v>1222529.8350237012</v>
      </c>
      <c r="O26" s="265"/>
      <c r="Q26" s="365">
        <f ca="1">OFFSET('Loans-BE'!B22,'Loans - In arrears'!$AB$20,0)</f>
        <v>26</v>
      </c>
      <c r="R26" s="367">
        <f ca="1">IF($Q26=0,"",OFFSET('Loans-BE'!C22,'Loans - In arrears'!$AB$20,0))</f>
        <v>355786.34611596406</v>
      </c>
      <c r="S26" s="367">
        <f ca="1">IF($Q26=0,"",OFFSET('Loans-BE'!D22,'Loans - In arrears'!$AB$20,0))</f>
        <v>355459.93649944296</v>
      </c>
      <c r="T26" s="367">
        <f ca="1">IF($Q26=0,"",OFFSET('Loans-BE'!E22,'Loans - In arrears'!$AB$20,0))</f>
        <v>11000</v>
      </c>
      <c r="U26" s="367">
        <f ca="1">IF($Q26=0,"",OFFSET('Loans-BE'!F22,'Loans - In arrears'!$AB$20,0))</f>
        <v>10673.590383478921</v>
      </c>
      <c r="V26" s="367">
        <f ca="1">IF($Q26=0,"",OFFSET('Loans-BE'!G22,'Loans - In arrears'!$AB$20,0))</f>
        <v>326.40961652107944</v>
      </c>
      <c r="W26" s="367">
        <f ca="1">IF($Q26=0,"",OFFSET('Loans-BE'!H22,'Loans - In arrears'!$AB$20,0))</f>
        <v>355459.93649944296</v>
      </c>
    </row>
    <row r="27" spans="4:28" ht="20.399999999999999" x14ac:dyDescent="0.35">
      <c r="D27" s="655" t="s">
        <v>228</v>
      </c>
      <c r="E27" s="656"/>
      <c r="F27" s="656"/>
      <c r="G27" s="656"/>
      <c r="H27" s="656"/>
      <c r="J27" s="273" t="s">
        <v>232</v>
      </c>
      <c r="K27" s="360">
        <f>'Loans-BE'!G12</f>
        <v>10824.538746989332</v>
      </c>
      <c r="O27" s="265"/>
      <c r="Q27" s="365">
        <f ca="1">OFFSET('Loans-BE'!B23,'Loans - In arrears'!$AB$20,0)</f>
        <v>27</v>
      </c>
      <c r="R27" s="367">
        <f ca="1">IF($Q27=0,"",OFFSET('Loans-BE'!C23,'Loans - In arrears'!$AB$20,0))</f>
        <v>355459.93649944296</v>
      </c>
      <c r="S27" s="367">
        <f ca="1">IF($Q27=0,"",OFFSET('Loans-BE'!D23,'Loans - In arrears'!$AB$20,0))</f>
        <v>355123.73459442623</v>
      </c>
      <c r="T27" s="367">
        <f ca="1">IF($Q27=0,"",OFFSET('Loans-BE'!E23,'Loans - In arrears'!$AB$20,0))</f>
        <v>11000</v>
      </c>
      <c r="U27" s="367">
        <f ca="1">IF($Q27=0,"",OFFSET('Loans-BE'!F23,'Loans - In arrears'!$AB$20,0))</f>
        <v>10663.798094983289</v>
      </c>
      <c r="V27" s="367">
        <f ca="1">IF($Q27=0,"",OFFSET('Loans-BE'!G23,'Loans - In arrears'!$AB$20,0))</f>
        <v>336.20190501671095</v>
      </c>
      <c r="W27" s="367">
        <f ca="1">IF($Q27=0,"",OFFSET('Loans-BE'!H23,'Loans - In arrears'!$AB$20,0))</f>
        <v>355123.73459442623</v>
      </c>
    </row>
    <row r="28" spans="4:28" x14ac:dyDescent="0.25">
      <c r="D28" s="264"/>
      <c r="O28" s="265"/>
      <c r="Q28" s="365">
        <f ca="1">OFFSET('Loans-BE'!B24,'Loans - In arrears'!$AB$20,0)</f>
        <v>28</v>
      </c>
      <c r="R28" s="367">
        <f ca="1">IF($Q28=0,"",OFFSET('Loans-BE'!C24,'Loans - In arrears'!$AB$20,0))</f>
        <v>355123.73459442623</v>
      </c>
      <c r="S28" s="367">
        <f ca="1">IF($Q28=0,"",OFFSET('Loans-BE'!D24,'Loans - In arrears'!$AB$20,0))</f>
        <v>354777.44663225906</v>
      </c>
      <c r="T28" s="367">
        <f ca="1">IF($Q28=0,"",OFFSET('Loans-BE'!E24,'Loans - In arrears'!$AB$20,0))</f>
        <v>11000</v>
      </c>
      <c r="U28" s="367">
        <f ca="1">IF($Q28=0,"",OFFSET('Loans-BE'!F24,'Loans - In arrears'!$AB$20,0))</f>
        <v>10653.712037832787</v>
      </c>
      <c r="V28" s="367">
        <f ca="1">IF($Q28=0,"",OFFSET('Loans-BE'!G24,'Loans - In arrears'!$AB$20,0))</f>
        <v>346.28796216721275</v>
      </c>
      <c r="W28" s="367">
        <f ca="1">IF($Q28=0,"",OFFSET('Loans-BE'!H24,'Loans - In arrears'!$AB$20,0))</f>
        <v>354777.44663225906</v>
      </c>
    </row>
    <row r="29" spans="4:28" x14ac:dyDescent="0.25">
      <c r="D29" s="266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8"/>
      <c r="Q29" s="365">
        <f ca="1">OFFSET('Loans-BE'!B25,'Loans - In arrears'!$AB$20,0)</f>
        <v>29</v>
      </c>
      <c r="R29" s="367">
        <f ca="1">IF($Q29=0,"",OFFSET('Loans-BE'!C25,'Loans - In arrears'!$AB$20,0))</f>
        <v>354777.44663225906</v>
      </c>
      <c r="S29" s="367">
        <f ca="1">IF($Q29=0,"",OFFSET('Loans-BE'!D25,'Loans - In arrears'!$AB$20,0))</f>
        <v>354420.77003122686</v>
      </c>
      <c r="T29" s="367">
        <f ca="1">IF($Q29=0,"",OFFSET('Loans-BE'!E25,'Loans - In arrears'!$AB$20,0))</f>
        <v>11000</v>
      </c>
      <c r="U29" s="367">
        <f ca="1">IF($Q29=0,"",OFFSET('Loans-BE'!F25,'Loans - In arrears'!$AB$20,0))</f>
        <v>10643.323398967772</v>
      </c>
      <c r="V29" s="367">
        <f ca="1">IF($Q29=0,"",OFFSET('Loans-BE'!G25,'Loans - In arrears'!$AB$20,0))</f>
        <v>356.67660103222806</v>
      </c>
      <c r="W29" s="367">
        <f ca="1">IF($Q29=0,"",OFFSET('Loans-BE'!H25,'Loans - In arrears'!$AB$20,0))</f>
        <v>354420.77003122686</v>
      </c>
    </row>
  </sheetData>
  <sheetProtection algorithmName="SHA-512" hashValue="nzIz9wCZSZ2cTp93e3ZICm0erORw+PNFfS90zo1c9Eests9EaJUmYQjQinpM7msSx5J0FnQt4Vkpgh6+Prp1zg==" saltValue="XD41qHrwb3qOFTsWovQ3bQ==" spinCount="100000" sheet="1" objects="1" scenarios="1"/>
  <mergeCells count="6">
    <mergeCell ref="V9:Y11"/>
    <mergeCell ref="W12:X13"/>
    <mergeCell ref="D27:H27"/>
    <mergeCell ref="E8:G9"/>
    <mergeCell ref="E10:G10"/>
    <mergeCell ref="D18:F19"/>
  </mergeCells>
  <conditionalFormatting sqref="D27:H27">
    <cfRule type="expression" dxfId="3" priority="2">
      <formula>$F$21&lt;$F$24</formula>
    </cfRule>
  </conditionalFormatting>
  <conditionalFormatting sqref="J25:K27">
    <cfRule type="expression" dxfId="2" priority="1">
      <formula>$F$21&gt;=$F$24</formula>
    </cfRule>
  </conditionalFormatting>
  <dataValidations count="1">
    <dataValidation operator="lessThan" allowBlank="1" showInputMessage="1" showErrorMessage="1" sqref="AB20" xr:uid="{FF3053F6-157B-45E3-BB46-0EA918E7D7C4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69" r:id="rId3" name="SpinButton2">
          <controlPr defaultSize="0" autoLine="0" linkedCell="F24" r:id="rId4">
            <anchor moveWithCells="1">
              <from>
                <xdr:col>6</xdr:col>
                <xdr:colOff>76200</xdr:colOff>
                <xdr:row>23</xdr:row>
                <xdr:rowOff>0</xdr:rowOff>
              </from>
              <to>
                <xdr:col>6</xdr:col>
                <xdr:colOff>510540</xdr:colOff>
                <xdr:row>24</xdr:row>
                <xdr:rowOff>121920</xdr:rowOff>
              </to>
            </anchor>
          </controlPr>
        </control>
      </mc:Choice>
      <mc:Fallback>
        <control shapeId="36869" r:id="rId3" name="SpinButton2"/>
      </mc:Fallback>
    </mc:AlternateContent>
    <mc:AlternateContent xmlns:mc="http://schemas.openxmlformats.org/markup-compatibility/2006">
      <mc:Choice Requires="x14">
        <control shapeId="36867" r:id="rId5" name="SpinButton1">
          <controlPr defaultSize="0" autoLine="0" linkedCell="F21" r:id="rId6">
            <anchor moveWithCells="1">
              <from>
                <xdr:col>6</xdr:col>
                <xdr:colOff>60960</xdr:colOff>
                <xdr:row>19</xdr:row>
                <xdr:rowOff>83820</xdr:rowOff>
              </from>
              <to>
                <xdr:col>6</xdr:col>
                <xdr:colOff>502920</xdr:colOff>
                <xdr:row>21</xdr:row>
                <xdr:rowOff>38100</xdr:rowOff>
              </to>
            </anchor>
          </controlPr>
        </control>
      </mc:Choice>
      <mc:Fallback>
        <control shapeId="36867" r:id="rId5" name="SpinButton1"/>
      </mc:Fallback>
    </mc:AlternateContent>
    <mc:AlternateContent xmlns:mc="http://schemas.openxmlformats.org/markup-compatibility/2006">
      <mc:Choice Requires="x14">
        <control shapeId="36865" r:id="rId7" name="ConvertLoanA">
          <controlPr defaultSize="0" autoLine="0" r:id="rId8">
            <anchor moveWithCells="1">
              <from>
                <xdr:col>18</xdr:col>
                <xdr:colOff>236220</xdr:colOff>
                <xdr:row>10</xdr:row>
                <xdr:rowOff>160020</xdr:rowOff>
              </from>
              <to>
                <xdr:col>18</xdr:col>
                <xdr:colOff>1181100</xdr:colOff>
                <xdr:row>12</xdr:row>
                <xdr:rowOff>137160</xdr:rowOff>
              </to>
            </anchor>
          </controlPr>
        </control>
      </mc:Choice>
      <mc:Fallback>
        <control shapeId="36865" r:id="rId7" name="ConvertLoanA"/>
      </mc:Fallback>
    </mc:AlternateContent>
    <mc:AlternateContent xmlns:mc="http://schemas.openxmlformats.org/markup-compatibility/2006">
      <mc:Choice Requires="x14">
        <control shapeId="36872" r:id="rId9" name="Scroll Bar 8">
          <controlPr locked="0" defaultSize="0" autoPict="0">
            <anchor moveWithCells="1">
              <from>
                <xdr:col>23</xdr:col>
                <xdr:colOff>45720</xdr:colOff>
                <xdr:row>17</xdr:row>
                <xdr:rowOff>137160</xdr:rowOff>
              </from>
              <to>
                <xdr:col>23</xdr:col>
                <xdr:colOff>365760</xdr:colOff>
                <xdr:row>29</xdr:row>
                <xdr:rowOff>15240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34C4827-EEAB-4DA5-B76C-8D9FE984E166}">
          <x14:formula1>
            <xm:f>Dropdown!$R$1:$R$4</xm:f>
          </x14:formula1>
          <xm:sqref>E10:G10</xm:sqref>
        </x14:dataValidation>
        <x14:dataValidation type="list" allowBlank="1" showInputMessage="1" showErrorMessage="1" xr:uid="{B631AFBF-8473-46B0-85A8-BBA87B29E4C2}">
          <x14:formula1>
            <xm:f>Dropdown!$C$1:$C$2</xm:f>
          </x14:formula1>
          <xm:sqref>R11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49014-F7EE-41B9-8E0F-25C88A1EE841}">
  <sheetPr codeName="Sheet18">
    <tabColor theme="2" tint="-0.749992370372631"/>
  </sheetPr>
  <dimension ref="D7:AB29"/>
  <sheetViews>
    <sheetView showGridLines="0" showRowColHeaders="0" zoomScale="58" zoomScaleNormal="63" workbookViewId="0">
      <selection activeCell="E10" sqref="E10:G10"/>
    </sheetView>
  </sheetViews>
  <sheetFormatPr defaultRowHeight="13.8" x14ac:dyDescent="0.25"/>
  <cols>
    <col min="1" max="4" width="8.796875" style="279"/>
    <col min="5" max="5" width="15.69921875" style="279" bestFit="1" customWidth="1"/>
    <col min="6" max="9" width="8.796875" style="279"/>
    <col min="10" max="10" width="20.3984375" style="279" customWidth="1"/>
    <col min="11" max="11" width="17.796875" style="279" customWidth="1"/>
    <col min="12" max="12" width="8.796875" style="279"/>
    <col min="13" max="13" width="15.796875" style="279" customWidth="1"/>
    <col min="14" max="14" width="18.3984375" style="279" bestFit="1" customWidth="1"/>
    <col min="15" max="15" width="11.69921875" style="279" customWidth="1"/>
    <col min="16" max="16" width="8.796875" style="279"/>
    <col min="17" max="17" width="12.09765625" style="279" bestFit="1" customWidth="1"/>
    <col min="18" max="18" width="25.59765625" style="279" bestFit="1" customWidth="1"/>
    <col min="19" max="19" width="23.796875" style="279" bestFit="1" customWidth="1"/>
    <col min="20" max="21" width="11.09765625" style="279" bestFit="1" customWidth="1"/>
    <col min="22" max="22" width="10.59765625" style="279" bestFit="1" customWidth="1"/>
    <col min="23" max="23" width="14.296875" style="279" bestFit="1" customWidth="1"/>
    <col min="24" max="25" width="8.796875" style="279"/>
    <col min="26" max="26" width="12.3984375" style="279" customWidth="1"/>
    <col min="27" max="16384" width="8.796875" style="279"/>
  </cols>
  <sheetData>
    <row r="7" spans="4:28" x14ac:dyDescent="0.25">
      <c r="D7" s="276"/>
      <c r="E7" s="277"/>
      <c r="F7" s="277"/>
      <c r="G7" s="277"/>
      <c r="H7" s="277"/>
      <c r="I7" s="277"/>
      <c r="J7" s="277"/>
      <c r="K7" s="277"/>
      <c r="L7" s="277"/>
      <c r="M7" s="277"/>
      <c r="N7" s="277"/>
      <c r="O7" s="277"/>
      <c r="P7" s="277"/>
      <c r="Q7" s="277"/>
      <c r="R7" s="277"/>
      <c r="S7" s="277"/>
      <c r="T7" s="277"/>
      <c r="U7" s="277"/>
      <c r="V7" s="277"/>
      <c r="W7" s="277"/>
      <c r="X7" s="277"/>
      <c r="Y7" s="277"/>
      <c r="Z7" s="277"/>
      <c r="AA7" s="277"/>
      <c r="AB7" s="278"/>
    </row>
    <row r="8" spans="4:28" ht="13.8" customHeight="1" x14ac:dyDescent="0.25">
      <c r="D8" s="280"/>
      <c r="E8" s="661" t="s">
        <v>221</v>
      </c>
      <c r="F8" s="661"/>
      <c r="G8" s="661"/>
      <c r="Z8" s="404" t="str">
        <f>E10</f>
        <v>Last payment</v>
      </c>
      <c r="AB8" s="281"/>
    </row>
    <row r="9" spans="4:28" ht="13.8" customHeight="1" x14ac:dyDescent="0.25">
      <c r="D9" s="280"/>
      <c r="E9" s="661"/>
      <c r="F9" s="661"/>
      <c r="G9" s="661"/>
      <c r="U9" s="661" t="s">
        <v>233</v>
      </c>
      <c r="V9" s="661"/>
      <c r="W9" s="661"/>
      <c r="X9" s="661"/>
      <c r="AB9" s="281"/>
    </row>
    <row r="10" spans="4:28" ht="20.399999999999999" customHeight="1" x14ac:dyDescent="0.35">
      <c r="D10" s="280"/>
      <c r="E10" s="667" t="s">
        <v>114</v>
      </c>
      <c r="F10" s="667"/>
      <c r="G10" s="667"/>
      <c r="J10" s="285" t="s">
        <v>136</v>
      </c>
      <c r="K10" s="395">
        <v>500000</v>
      </c>
      <c r="N10" s="286" t="s">
        <v>230</v>
      </c>
      <c r="O10" s="396">
        <v>900</v>
      </c>
      <c r="Q10" s="285" t="s">
        <v>9</v>
      </c>
      <c r="R10" s="387">
        <f>IF(R12="No",R14,Converter!X29)</f>
        <v>0.01</v>
      </c>
      <c r="U10" s="661"/>
      <c r="V10" s="661"/>
      <c r="W10" s="661"/>
      <c r="X10" s="661"/>
      <c r="AB10" s="281"/>
    </row>
    <row r="11" spans="4:28" ht="13.8" customHeight="1" x14ac:dyDescent="0.25">
      <c r="D11" s="280"/>
      <c r="O11" s="397"/>
      <c r="U11" s="661"/>
      <c r="V11" s="661"/>
      <c r="W11" s="661"/>
      <c r="X11" s="661"/>
      <c r="AB11" s="281"/>
    </row>
    <row r="12" spans="4:28" ht="20.399999999999999" customHeight="1" x14ac:dyDescent="0.35">
      <c r="D12" s="280"/>
      <c r="O12" s="397"/>
      <c r="Q12" s="289" t="s">
        <v>69</v>
      </c>
      <c r="R12" s="401" t="s">
        <v>15</v>
      </c>
      <c r="S12" s="277"/>
      <c r="T12" s="278"/>
      <c r="U12" s="661"/>
      <c r="V12" s="661"/>
      <c r="W12" s="661"/>
      <c r="X12" s="661"/>
      <c r="AB12" s="281"/>
    </row>
    <row r="13" spans="4:28" ht="20.399999999999999" customHeight="1" x14ac:dyDescent="0.35">
      <c r="D13" s="280"/>
      <c r="N13" s="285" t="s">
        <v>11</v>
      </c>
      <c r="O13" s="398">
        <v>20</v>
      </c>
      <c r="Q13" s="280"/>
      <c r="R13" s="397"/>
      <c r="T13" s="281"/>
      <c r="V13" s="662" t="e">
        <f>IF('Loans - In advance'!E10="Payments",TEXT('Loans-BE'!R13,"R#,00"),IF('Loans - In advance'!E10="Loan amount",TEXT('Loans-BE'!R8,"R#,00"),IF('Loans - In advance'!E10="Number of payments",TEXT('Loans-BE'!P14,"#,00"),IF('Loans - In advance'!E10="Last payment",TEXT('Loans-BE'!W11,"R#,00")))))</f>
        <v>#NUM!</v>
      </c>
      <c r="W13" s="662"/>
      <c r="AB13" s="281"/>
    </row>
    <row r="14" spans="4:28" ht="25.2" customHeight="1" thickBot="1" x14ac:dyDescent="0.4">
      <c r="D14" s="280"/>
      <c r="N14" s="285" t="s">
        <v>10</v>
      </c>
      <c r="O14" s="399">
        <v>12</v>
      </c>
      <c r="Q14" s="288" t="s">
        <v>9</v>
      </c>
      <c r="R14" s="402">
        <v>0.01</v>
      </c>
      <c r="T14" s="281"/>
      <c r="V14" s="662"/>
      <c r="W14" s="662"/>
      <c r="AB14" s="281"/>
    </row>
    <row r="15" spans="4:28" ht="21.6" thickTop="1" thickBot="1" x14ac:dyDescent="0.4">
      <c r="D15" s="280"/>
      <c r="N15" s="285" t="s">
        <v>51</v>
      </c>
      <c r="O15" s="400">
        <f>O13*O14</f>
        <v>240</v>
      </c>
      <c r="Q15" s="282"/>
      <c r="R15" s="283"/>
      <c r="S15" s="283"/>
      <c r="T15" s="284"/>
      <c r="AB15" s="281"/>
    </row>
    <row r="16" spans="4:28" ht="14.4" thickTop="1" x14ac:dyDescent="0.25">
      <c r="D16" s="282"/>
      <c r="E16" s="283"/>
      <c r="F16" s="283"/>
      <c r="G16" s="283"/>
      <c r="H16" s="283"/>
      <c r="I16" s="283"/>
      <c r="J16" s="283"/>
      <c r="K16" s="283"/>
      <c r="L16" s="283"/>
      <c r="M16" s="283"/>
      <c r="N16" s="283"/>
      <c r="O16" s="283"/>
      <c r="P16" s="283"/>
      <c r="Q16" s="283"/>
      <c r="R16" s="283"/>
      <c r="S16" s="283"/>
      <c r="T16" s="283"/>
      <c r="U16" s="283"/>
      <c r="V16" s="283"/>
      <c r="W16" s="283"/>
      <c r="X16" s="283"/>
      <c r="Y16" s="283"/>
      <c r="Z16" s="283"/>
      <c r="AA16" s="283"/>
      <c r="AB16" s="284"/>
    </row>
    <row r="18" spans="4:25" ht="13.8" customHeight="1" x14ac:dyDescent="0.5">
      <c r="D18" s="663" t="s">
        <v>224</v>
      </c>
      <c r="E18" s="663"/>
      <c r="F18" s="663"/>
      <c r="G18" s="290"/>
    </row>
    <row r="19" spans="4:25" ht="13.8" customHeight="1" x14ac:dyDescent="0.5">
      <c r="D19" s="664"/>
      <c r="E19" s="664"/>
      <c r="F19" s="664"/>
      <c r="G19" s="291"/>
      <c r="Q19" s="368" t="str">
        <f>'Loans-BE'!O17</f>
        <v>Period</v>
      </c>
      <c r="R19" s="368" t="str">
        <f>'Loans-BE'!P17</f>
        <v>Balance @ start(before pmt)</v>
      </c>
      <c r="S19" s="368" t="str">
        <f>'Loans-BE'!Q17</f>
        <v>Balance @ start(after pmt)</v>
      </c>
      <c r="T19" s="368" t="str">
        <f>'Loans-BE'!R17</f>
        <v>payments</v>
      </c>
      <c r="U19" s="368" t="str">
        <f>'Loans-BE'!S17</f>
        <v>Interest</v>
      </c>
      <c r="V19" s="368" t="str">
        <f>'Loans-BE'!T17</f>
        <v>Capital</v>
      </c>
      <c r="W19" s="368" t="str">
        <f>'Loans-BE'!U17</f>
        <v>Balance @ end</v>
      </c>
    </row>
    <row r="20" spans="4:25" ht="17.399999999999999" x14ac:dyDescent="0.3">
      <c r="D20" s="287"/>
      <c r="E20" s="277"/>
      <c r="F20" s="277"/>
      <c r="G20" s="277"/>
      <c r="H20" s="277"/>
      <c r="I20" s="277"/>
      <c r="J20" s="277"/>
      <c r="K20" s="277"/>
      <c r="L20" s="277"/>
      <c r="M20" s="277"/>
      <c r="N20" s="277"/>
      <c r="O20" s="278"/>
      <c r="Q20" s="369">
        <f ca="1">OFFSET('Loans-BE'!O17,'Loans - In advance'!$Y$20,0)</f>
        <v>22</v>
      </c>
      <c r="R20" s="370">
        <f ca="1">IF(Q20="0","",OFFSET('Loans-BE'!P17,'Loans - In advance'!$Y$20,0))</f>
        <v>595071.54279614042</v>
      </c>
      <c r="S20" s="370">
        <f ca="1">IF(R20="0","",OFFSET('Loans-BE'!Q17,'Loans - In advance'!$Y$20,0))</f>
        <v>594171.54279614042</v>
      </c>
      <c r="T20" s="370">
        <f ca="1">IF(S20="0","",OFFSET('Loans-BE'!R17,'Loans - In advance'!$Y$20,0))</f>
        <v>900</v>
      </c>
      <c r="U20" s="370">
        <f ca="1">IF(T20="0","",OFFSET('Loans-BE'!S17,'Loans - In advance'!$Y$20,0))</f>
        <v>5891.7974534271334</v>
      </c>
      <c r="V20" s="370">
        <f ca="1">IF(U20="0","",OFFSET('Loans-BE'!T17,'Loans - In advance'!$Y$20,0))</f>
        <v>-4991.7974534271334</v>
      </c>
      <c r="W20" s="370">
        <f ca="1">IF(V20="0","",OFFSET('Loans-BE'!U17,'Loans - In advance'!$Y$20,0))</f>
        <v>600113.25822410185</v>
      </c>
      <c r="Y20" s="405">
        <v>22</v>
      </c>
    </row>
    <row r="21" spans="4:25" ht="20.399999999999999" x14ac:dyDescent="0.35">
      <c r="D21" s="280"/>
      <c r="E21" s="285" t="s">
        <v>225</v>
      </c>
      <c r="F21" s="403">
        <v>18</v>
      </c>
      <c r="J21" s="293" t="s">
        <v>234</v>
      </c>
      <c r="K21" s="299">
        <f>'Loans-BE'!U8</f>
        <v>-4797.0192363828519</v>
      </c>
      <c r="O21" s="281"/>
      <c r="Q21" s="369">
        <f ca="1">OFFSET('Loans-BE'!O18,'Loans - In advance'!$Y$20,0)</f>
        <v>23</v>
      </c>
      <c r="R21" s="370">
        <f ca="1">IF(Q21="0","",OFFSET('Loans-BE'!P18,'Loans - In advance'!$Y$20,0))</f>
        <v>600113.25822410185</v>
      </c>
      <c r="S21" s="370">
        <f ca="1">IF(R21="0","",OFFSET('Loans-BE'!Q18,'Loans - In advance'!$Y$20,0))</f>
        <v>599213.25822410185</v>
      </c>
      <c r="T21" s="370">
        <f ca="1">IF(S21="0","",OFFSET('Loans-BE'!R18,'Loans - In advance'!$Y$20,0))</f>
        <v>900</v>
      </c>
      <c r="U21" s="370">
        <f ca="1">IF(T21="0","",OFFSET('Loans-BE'!S18,'Loans - In advance'!$Y$20,0))</f>
        <v>5941.7154279614042</v>
      </c>
      <c r="V21" s="370">
        <f ca="1">IF(U21="0","",OFFSET('Loans-BE'!T18,'Loans - In advance'!$Y$20,0))</f>
        <v>-5041.7154279614042</v>
      </c>
      <c r="W21" s="370">
        <f ca="1">IF(V21="0","",OFFSET('Loans-BE'!U18,'Loans - In advance'!$Y$20,0))</f>
        <v>605205.39080634282</v>
      </c>
    </row>
    <row r="22" spans="4:25" ht="20.399999999999999" x14ac:dyDescent="0.35">
      <c r="D22" s="280"/>
      <c r="F22" s="397"/>
      <c r="J22" s="300" t="s">
        <v>235</v>
      </c>
      <c r="K22" s="298">
        <f>'Loans-BE'!U9</f>
        <v>5697.0192363828519</v>
      </c>
      <c r="M22" s="289" t="s">
        <v>121</v>
      </c>
      <c r="N22" s="296">
        <f>'Loans-BE'!R11</f>
        <v>500000</v>
      </c>
      <c r="O22" s="281"/>
      <c r="Q22" s="369">
        <f ca="1">OFFSET('Loans-BE'!O19,'Loans - In advance'!$Y$20,0)</f>
        <v>24</v>
      </c>
      <c r="R22" s="370">
        <f ca="1">IF(Q22="0","",OFFSET('Loans-BE'!P19,'Loans - In advance'!$Y$20,0))</f>
        <v>605205.39080634282</v>
      </c>
      <c r="S22" s="370">
        <f ca="1">IF(R22="0","",OFFSET('Loans-BE'!Q19,'Loans - In advance'!$Y$20,0))</f>
        <v>604305.39080634282</v>
      </c>
      <c r="T22" s="370">
        <f ca="1">IF(S22="0","",OFFSET('Loans-BE'!R19,'Loans - In advance'!$Y$20,0))</f>
        <v>900</v>
      </c>
      <c r="U22" s="370">
        <f ca="1">IF(T22="0","",OFFSET('Loans-BE'!S19,'Loans - In advance'!$Y$20,0))</f>
        <v>5992.132582241019</v>
      </c>
      <c r="V22" s="370">
        <f ca="1">IF(U22="0","",OFFSET('Loans-BE'!T19,'Loans - In advance'!$Y$20,0))</f>
        <v>-5092.132582241019</v>
      </c>
      <c r="W22" s="370">
        <f ca="1">IF(V22="0","",OFFSET('Loans-BE'!U19,'Loans - In advance'!$Y$20,0))</f>
        <v>610348.44471440627</v>
      </c>
    </row>
    <row r="23" spans="4:25" ht="17.399999999999999" x14ac:dyDescent="0.3">
      <c r="D23" s="280"/>
      <c r="F23" s="397"/>
      <c r="J23" s="294" t="s">
        <v>236</v>
      </c>
      <c r="K23" s="297">
        <f>'Loans-BE'!W8</f>
        <v>580243.93230341468</v>
      </c>
      <c r="M23" s="280"/>
      <c r="N23" s="281"/>
      <c r="O23" s="281"/>
      <c r="Q23" s="369">
        <f ca="1">OFFSET('Loans-BE'!O20,'Loans - In advance'!$Y$20,0)</f>
        <v>25</v>
      </c>
      <c r="R23" s="370">
        <f ca="1">IF(Q23="0","",OFFSET('Loans-BE'!P20,'Loans - In advance'!$Y$20,0))</f>
        <v>610348.44471440627</v>
      </c>
      <c r="S23" s="370">
        <f ca="1">IF(R23="0","",OFFSET('Loans-BE'!Q20,'Loans - In advance'!$Y$20,0))</f>
        <v>609448.44471440627</v>
      </c>
      <c r="T23" s="370">
        <f ca="1">IF(S23="0","",OFFSET('Loans-BE'!R20,'Loans - In advance'!$Y$20,0))</f>
        <v>900</v>
      </c>
      <c r="U23" s="370">
        <f ca="1">IF(T23="0","",OFFSET('Loans-BE'!S20,'Loans - In advance'!$Y$20,0))</f>
        <v>6043.053908063428</v>
      </c>
      <c r="V23" s="370">
        <f ca="1">IF(U23="0","",OFFSET('Loans-BE'!T20,'Loans - In advance'!$Y$20,0))</f>
        <v>-5143.053908063428</v>
      </c>
      <c r="W23" s="370">
        <f ca="1">IF(V23="0","",OFFSET('Loans-BE'!U20,'Loans - In advance'!$Y$20,0))</f>
        <v>615542.92916155036</v>
      </c>
    </row>
    <row r="24" spans="4:25" ht="20.399999999999999" x14ac:dyDescent="0.35">
      <c r="D24" s="280"/>
      <c r="E24" s="286" t="s">
        <v>226</v>
      </c>
      <c r="F24" s="403">
        <v>17</v>
      </c>
      <c r="M24" s="280"/>
      <c r="N24" s="281"/>
      <c r="O24" s="281"/>
      <c r="Q24" s="369">
        <f ca="1">OFFSET('Loans-BE'!O21,'Loans - In advance'!$Y$20,0)</f>
        <v>26</v>
      </c>
      <c r="R24" s="370">
        <f ca="1">IF(Q24="0","",OFFSET('Loans-BE'!P21,'Loans - In advance'!$Y$20,0))</f>
        <v>615542.92916155036</v>
      </c>
      <c r="S24" s="370">
        <f ca="1">IF(R24="0","",OFFSET('Loans-BE'!Q21,'Loans - In advance'!$Y$20,0))</f>
        <v>614642.92916155036</v>
      </c>
      <c r="T24" s="370">
        <f ca="1">IF(S24="0","",OFFSET('Loans-BE'!R21,'Loans - In advance'!$Y$20,0))</f>
        <v>900</v>
      </c>
      <c r="U24" s="370">
        <f ca="1">IF(T24="0","",OFFSET('Loans-BE'!S21,'Loans - In advance'!$Y$20,0))</f>
        <v>6094.4844471440629</v>
      </c>
      <c r="V24" s="370">
        <f ca="1">IF(U24="0","",OFFSET('Loans-BE'!T21,'Loans - In advance'!$Y$20,0))</f>
        <v>-5194.4844471440629</v>
      </c>
      <c r="W24" s="370">
        <f ca="1">IF(V24="0","",OFFSET('Loans-BE'!U21,'Loans - In advance'!$Y$20,0))</f>
        <v>620789.35845316586</v>
      </c>
    </row>
    <row r="25" spans="4:25" ht="17.399999999999999" x14ac:dyDescent="0.3">
      <c r="D25" s="280"/>
      <c r="J25" s="293" t="s">
        <v>231</v>
      </c>
      <c r="K25" s="296">
        <f>'Loans-BE'!U11</f>
        <v>4797.0192363829119</v>
      </c>
      <c r="M25" s="280"/>
      <c r="N25" s="281"/>
      <c r="O25" s="281"/>
      <c r="Q25" s="369">
        <f ca="1">OFFSET('Loans-BE'!O22,'Loans - In advance'!$Y$20,0)</f>
        <v>27</v>
      </c>
      <c r="R25" s="370">
        <f ca="1">IF(Q25="0","",OFFSET('Loans-BE'!P22,'Loans - In advance'!$Y$20,0))</f>
        <v>620789.35845316586</v>
      </c>
      <c r="S25" s="370">
        <f ca="1">IF(R25="0","",OFFSET('Loans-BE'!Q22,'Loans - In advance'!$Y$20,0))</f>
        <v>619889.35845316586</v>
      </c>
      <c r="T25" s="370">
        <f ca="1">IF(S25="0","",OFFSET('Loans-BE'!R22,'Loans - In advance'!$Y$20,0))</f>
        <v>900</v>
      </c>
      <c r="U25" s="370">
        <f ca="1">IF(T25="0","",OFFSET('Loans-BE'!S22,'Loans - In advance'!$Y$20,0))</f>
        <v>6146.4292916155036</v>
      </c>
      <c r="V25" s="370">
        <f ca="1">IF(U25="0","",OFFSET('Loans-BE'!T22,'Loans - In advance'!$Y$20,0))</f>
        <v>-5246.4292916155036</v>
      </c>
      <c r="W25" s="370">
        <f ca="1">IF(V25="0","",OFFSET('Loans-BE'!U22,'Loans - In advance'!$Y$20,0))</f>
        <v>626088.25203769747</v>
      </c>
    </row>
    <row r="26" spans="4:25" ht="20.399999999999999" x14ac:dyDescent="0.35">
      <c r="D26" s="280"/>
      <c r="J26" s="280"/>
      <c r="K26" s="281"/>
      <c r="M26" s="292" t="s">
        <v>227</v>
      </c>
      <c r="N26" s="297">
        <f>'Loans-BE'!R10</f>
        <v>-284000</v>
      </c>
      <c r="O26" s="281"/>
      <c r="Q26" s="369">
        <f ca="1">OFFSET('Loans-BE'!O23,'Loans - In advance'!$Y$20,0)</f>
        <v>28</v>
      </c>
      <c r="R26" s="370">
        <f ca="1">IF(Q26="0","",OFFSET('Loans-BE'!P23,'Loans - In advance'!$Y$20,0))</f>
        <v>626088.25203769747</v>
      </c>
      <c r="S26" s="370">
        <f ca="1">IF(R26="0","",OFFSET('Loans-BE'!Q23,'Loans - In advance'!$Y$20,0))</f>
        <v>625188.25203769747</v>
      </c>
      <c r="T26" s="370">
        <f ca="1">IF(S26="0","",OFFSET('Loans-BE'!R23,'Loans - In advance'!$Y$20,0))</f>
        <v>900</v>
      </c>
      <c r="U26" s="370">
        <f ca="1">IF(T26="0","",OFFSET('Loans-BE'!S23,'Loans - In advance'!$Y$20,0))</f>
        <v>6198.8935845316591</v>
      </c>
      <c r="V26" s="370">
        <f ca="1">IF(U26="0","",OFFSET('Loans-BE'!T23,'Loans - In advance'!$Y$20,0))</f>
        <v>-5298.8935845316591</v>
      </c>
      <c r="W26" s="370">
        <f ca="1">IF(V26="0","",OFFSET('Loans-BE'!U23,'Loans - In advance'!$Y$20,0))</f>
        <v>631440.13455807441</v>
      </c>
    </row>
    <row r="27" spans="4:25" ht="13.8" customHeight="1" x14ac:dyDescent="0.25">
      <c r="D27" s="665" t="s">
        <v>228</v>
      </c>
      <c r="E27" s="666"/>
      <c r="F27" s="666"/>
      <c r="G27" s="666"/>
      <c r="J27" s="280"/>
      <c r="K27" s="281"/>
      <c r="O27" s="281"/>
      <c r="Q27" s="369">
        <f ca="1">OFFSET('Loans-BE'!O24,'Loans - In advance'!$Y$20,0)</f>
        <v>29</v>
      </c>
      <c r="R27" s="370">
        <f ca="1">IF(Q27="0","",OFFSET('Loans-BE'!P24,'Loans - In advance'!$Y$20,0))</f>
        <v>631440.13455807441</v>
      </c>
      <c r="S27" s="370">
        <f ca="1">IF(R27="0","",OFFSET('Loans-BE'!Q24,'Loans - In advance'!$Y$20,0))</f>
        <v>630540.13455807441</v>
      </c>
      <c r="T27" s="370">
        <f ca="1">IF(S27="0","",OFFSET('Loans-BE'!R24,'Loans - In advance'!$Y$20,0))</f>
        <v>900</v>
      </c>
      <c r="U27" s="370">
        <f ca="1">IF(T27="0","",OFFSET('Loans-BE'!S24,'Loans - In advance'!$Y$20,0))</f>
        <v>6251.8825203769748</v>
      </c>
      <c r="V27" s="370">
        <f ca="1">IF(U27="0","",OFFSET('Loans-BE'!T24,'Loans - In advance'!$Y$20,0))</f>
        <v>-5351.8825203769748</v>
      </c>
      <c r="W27" s="370">
        <f ca="1">IF(V27="0","",OFFSET('Loans-BE'!U24,'Loans - In advance'!$Y$20,0))</f>
        <v>636845.53590365511</v>
      </c>
    </row>
    <row r="28" spans="4:25" ht="20.399999999999999" customHeight="1" x14ac:dyDescent="0.3">
      <c r="D28" s="665"/>
      <c r="E28" s="666"/>
      <c r="F28" s="666"/>
      <c r="G28" s="666"/>
      <c r="J28" s="294" t="s">
        <v>232</v>
      </c>
      <c r="K28" s="297">
        <f>'Loans-BE'!U12</f>
        <v>-5697.0192363829119</v>
      </c>
      <c r="O28" s="281"/>
      <c r="Q28" s="369">
        <f ca="1">OFFSET('Loans-BE'!O25,'Loans - In advance'!$Y$20,0)</f>
        <v>30</v>
      </c>
      <c r="R28" s="370">
        <f ca="1">IF(Q28="0","",OFFSET('Loans-BE'!P25,'Loans - In advance'!$Y$20,0))</f>
        <v>636845.53590365511</v>
      </c>
      <c r="S28" s="370">
        <f ca="1">IF(R28="0","",OFFSET('Loans-BE'!Q25,'Loans - In advance'!$Y$20,0))</f>
        <v>635945.53590365511</v>
      </c>
      <c r="T28" s="370">
        <f ca="1">IF(S28="0","",OFFSET('Loans-BE'!R25,'Loans - In advance'!$Y$20,0))</f>
        <v>900</v>
      </c>
      <c r="U28" s="370">
        <f ca="1">IF(T28="0","",OFFSET('Loans-BE'!S25,'Loans - In advance'!$Y$20,0))</f>
        <v>6305.4013455807444</v>
      </c>
      <c r="V28" s="370">
        <f ca="1">IF(U28="0","",OFFSET('Loans-BE'!T25,'Loans - In advance'!$Y$20,0))</f>
        <v>-5405.4013455807444</v>
      </c>
      <c r="W28" s="370">
        <f ca="1">IF(V28="0","",OFFSET('Loans-BE'!U25,'Loans - In advance'!$Y$20,0))</f>
        <v>642304.99126269168</v>
      </c>
    </row>
    <row r="29" spans="4:25" x14ac:dyDescent="0.25">
      <c r="D29" s="282"/>
      <c r="E29" s="283"/>
      <c r="F29" s="283"/>
      <c r="G29" s="283"/>
      <c r="H29" s="283"/>
      <c r="I29" s="283"/>
      <c r="J29" s="283"/>
      <c r="K29" s="283"/>
      <c r="L29" s="283"/>
      <c r="M29" s="283"/>
      <c r="N29" s="283"/>
      <c r="O29" s="284"/>
      <c r="Q29" s="369">
        <f ca="1">OFFSET('Loans-BE'!O26,'Loans - In advance'!$Y$20,0)</f>
        <v>31</v>
      </c>
      <c r="R29" s="370">
        <f ca="1">IF(Q29="0","",OFFSET('Loans-BE'!P26,'Loans - In advance'!$Y$20,0))</f>
        <v>642304.99126269168</v>
      </c>
      <c r="S29" s="370">
        <f ca="1">IF(R29="0","",OFFSET('Loans-BE'!Q26,'Loans - In advance'!$Y$20,0))</f>
        <v>641404.99126269168</v>
      </c>
      <c r="T29" s="370">
        <f ca="1">IF(S29="0","",OFFSET('Loans-BE'!R26,'Loans - In advance'!$Y$20,0))</f>
        <v>900</v>
      </c>
      <c r="U29" s="370">
        <f ca="1">IF(T29="0","",OFFSET('Loans-BE'!S26,'Loans - In advance'!$Y$20,0))</f>
        <v>6359.4553590365513</v>
      </c>
      <c r="V29" s="370">
        <f ca="1">IF(U29="0","",OFFSET('Loans-BE'!T26,'Loans - In advance'!$Y$20,0))</f>
        <v>-5459.4553590365513</v>
      </c>
      <c r="W29" s="370">
        <f ca="1">IF(V29="0","",OFFSET('Loans-BE'!U26,'Loans - In advance'!$Y$20,0))</f>
        <v>647819.04117531865</v>
      </c>
    </row>
  </sheetData>
  <sheetProtection algorithmName="SHA-512" hashValue="qMyEjZfPla2rseatleddObMM74y5Qhiw2NnUC8UKGxhnO/9ycUeG1Bn097Ng4fnf33LfjsWTB2am4/NC2aohpw==" saltValue="fUBzxban5Se113jA8eesyw==" spinCount="100000" sheet="1" objects="1" scenarios="1" selectLockedCells="1"/>
  <mergeCells count="6">
    <mergeCell ref="U9:X12"/>
    <mergeCell ref="V13:W14"/>
    <mergeCell ref="D18:F19"/>
    <mergeCell ref="D27:G28"/>
    <mergeCell ref="E8:G9"/>
    <mergeCell ref="E10:G10"/>
  </mergeCells>
  <conditionalFormatting sqref="D27:G28">
    <cfRule type="expression" dxfId="1" priority="2">
      <formula>$F$21&lt;$F$24</formula>
    </cfRule>
  </conditionalFormatting>
  <conditionalFormatting sqref="I25:K28">
    <cfRule type="expression" dxfId="0" priority="1">
      <formula>$F$21&gt;$F$24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1" r:id="rId3" name="SpinButton2">
          <controlPr defaultSize="0" autoLine="0" linkedCell="F24" r:id="rId4">
            <anchor moveWithCells="1">
              <from>
                <xdr:col>6</xdr:col>
                <xdr:colOff>68580</xdr:colOff>
                <xdr:row>22</xdr:row>
                <xdr:rowOff>167640</xdr:rowOff>
              </from>
              <to>
                <xdr:col>6</xdr:col>
                <xdr:colOff>518160</xdr:colOff>
                <xdr:row>24</xdr:row>
                <xdr:rowOff>114300</xdr:rowOff>
              </to>
            </anchor>
          </controlPr>
        </control>
      </mc:Choice>
      <mc:Fallback>
        <control shapeId="37891" r:id="rId3" name="SpinButton2"/>
      </mc:Fallback>
    </mc:AlternateContent>
    <mc:AlternateContent xmlns:mc="http://schemas.openxmlformats.org/markup-compatibility/2006">
      <mc:Choice Requires="x14">
        <control shapeId="37890" r:id="rId5" name="SpinButton1">
          <controlPr defaultSize="0" autoLine="0" linkedCell="F21" r:id="rId6">
            <anchor moveWithCells="1">
              <from>
                <xdr:col>6</xdr:col>
                <xdr:colOff>60960</xdr:colOff>
                <xdr:row>19</xdr:row>
                <xdr:rowOff>129540</xdr:rowOff>
              </from>
              <to>
                <xdr:col>6</xdr:col>
                <xdr:colOff>541020</xdr:colOff>
                <xdr:row>21</xdr:row>
                <xdr:rowOff>76200</xdr:rowOff>
              </to>
            </anchor>
          </controlPr>
        </control>
      </mc:Choice>
      <mc:Fallback>
        <control shapeId="37890" r:id="rId5" name="SpinButton1"/>
      </mc:Fallback>
    </mc:AlternateContent>
    <mc:AlternateContent xmlns:mc="http://schemas.openxmlformats.org/markup-compatibility/2006">
      <mc:Choice Requires="x14">
        <control shapeId="37889" r:id="rId7" name="btnConvertAD">
          <controlPr defaultSize="0" autoLine="0" r:id="rId8">
            <anchor moveWithCells="1">
              <from>
                <xdr:col>18</xdr:col>
                <xdr:colOff>198120</xdr:colOff>
                <xdr:row>12</xdr:row>
                <xdr:rowOff>45720</xdr:rowOff>
              </from>
              <to>
                <xdr:col>18</xdr:col>
                <xdr:colOff>1158240</xdr:colOff>
                <xdr:row>13</xdr:row>
                <xdr:rowOff>198120</xdr:rowOff>
              </to>
            </anchor>
          </controlPr>
        </control>
      </mc:Choice>
      <mc:Fallback>
        <control shapeId="37889" r:id="rId7" name="btnConvertAD"/>
      </mc:Fallback>
    </mc:AlternateContent>
    <mc:AlternateContent xmlns:mc="http://schemas.openxmlformats.org/markup-compatibility/2006">
      <mc:Choice Requires="x14">
        <control shapeId="37892" r:id="rId9" name="Scroll Bar 4">
          <controlPr defaultSize="0" autoPict="0">
            <anchor moveWithCells="1">
              <from>
                <xdr:col>23</xdr:col>
                <xdr:colOff>38100</xdr:colOff>
                <xdr:row>17</xdr:row>
                <xdr:rowOff>160020</xdr:rowOff>
              </from>
              <to>
                <xdr:col>23</xdr:col>
                <xdr:colOff>312420</xdr:colOff>
                <xdr:row>28</xdr:row>
                <xdr:rowOff>160020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3B62EF2-1ADA-47E1-8B2C-18C7A583B655}">
          <x14:formula1>
            <xm:f>Dropdown!$R$1:$R$4</xm:f>
          </x14:formula1>
          <xm:sqref>E10:G10</xm:sqref>
        </x14:dataValidation>
        <x14:dataValidation type="list" allowBlank="1" showInputMessage="1" showErrorMessage="1" xr:uid="{36A726E7-E526-4FAB-AE9A-5439AF680255}">
          <x14:formula1>
            <xm:f>Dropdown!$C$1:$C$2</xm:f>
          </x14:formula1>
          <xm:sqref>R12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0F607-CC3F-439B-BB3B-ED6209ABF44E}">
  <sheetPr codeName="Sheet10">
    <tabColor theme="2" tint="-0.749992370372631"/>
  </sheetPr>
  <dimension ref="A1:X1031"/>
  <sheetViews>
    <sheetView zoomScale="73" zoomScaleNormal="111" workbookViewId="0">
      <selection activeCell="R13" sqref="R13"/>
    </sheetView>
  </sheetViews>
  <sheetFormatPr defaultRowHeight="13.8" x14ac:dyDescent="0.25"/>
  <cols>
    <col min="1" max="1" width="26.19921875" bestFit="1" customWidth="1"/>
    <col min="3" max="3" width="15.09765625" bestFit="1" customWidth="1"/>
    <col min="4" max="4" width="15.3984375" bestFit="1" customWidth="1"/>
    <col min="6" max="6" width="18.09765625" bestFit="1" customWidth="1"/>
    <col min="7" max="7" width="10.69921875" customWidth="1"/>
    <col min="8" max="8" width="13.3984375" bestFit="1" customWidth="1"/>
    <col min="9" max="9" width="9.69921875" customWidth="1"/>
    <col min="13" max="13" width="8.69921875" style="43"/>
    <col min="14" max="14" width="27.5" style="95" bestFit="1" customWidth="1"/>
    <col min="15" max="15" width="19.5" bestFit="1" customWidth="1"/>
    <col min="16" max="16" width="28" bestFit="1" customWidth="1"/>
    <col min="17" max="17" width="23" bestFit="1" customWidth="1"/>
    <col min="18" max="18" width="15.59765625" customWidth="1"/>
    <col min="19" max="19" width="15" bestFit="1" customWidth="1"/>
    <col min="20" max="20" width="18.8984375" bestFit="1" customWidth="1"/>
    <col min="21" max="21" width="21.5" bestFit="1" customWidth="1"/>
    <col min="22" max="22" width="14.19921875" customWidth="1"/>
    <col min="23" max="23" width="16.69921875" bestFit="1" customWidth="1"/>
  </cols>
  <sheetData>
    <row r="1" spans="1:23" x14ac:dyDescent="0.25">
      <c r="A1" t="s">
        <v>71</v>
      </c>
      <c r="E1" s="467" t="s">
        <v>73</v>
      </c>
      <c r="F1" s="467"/>
      <c r="G1" s="467"/>
      <c r="H1" s="467"/>
      <c r="R1" s="668" t="s">
        <v>74</v>
      </c>
      <c r="S1" s="668"/>
      <c r="T1" s="668"/>
      <c r="U1" s="668"/>
      <c r="V1" s="669" t="s">
        <v>75</v>
      </c>
      <c r="W1" s="669"/>
    </row>
    <row r="2" spans="1:23" x14ac:dyDescent="0.25">
      <c r="A2" t="s">
        <v>72</v>
      </c>
      <c r="E2" s="467"/>
      <c r="F2" s="467"/>
      <c r="G2" s="467"/>
      <c r="H2" s="467"/>
      <c r="R2" s="668"/>
      <c r="S2" s="668"/>
      <c r="T2" s="668"/>
      <c r="U2" s="668"/>
      <c r="V2" s="669"/>
      <c r="W2" s="669"/>
    </row>
    <row r="4" spans="1:23" ht="16.5" customHeight="1" x14ac:dyDescent="0.25">
      <c r="A4" s="671" t="s">
        <v>104</v>
      </c>
      <c r="B4" s="91" t="s">
        <v>77</v>
      </c>
      <c r="C4" s="107" t="s">
        <v>78</v>
      </c>
      <c r="D4" s="107" t="s">
        <v>47</v>
      </c>
      <c r="E4" s="107" t="s">
        <v>28</v>
      </c>
      <c r="F4" s="107" t="s">
        <v>48</v>
      </c>
      <c r="G4" s="107" t="s">
        <v>108</v>
      </c>
      <c r="H4" s="107" t="s">
        <v>128</v>
      </c>
      <c r="I4" s="107" t="s">
        <v>129</v>
      </c>
      <c r="J4" s="107" t="s">
        <v>107</v>
      </c>
      <c r="K4" s="106"/>
      <c r="N4" s="670" t="s">
        <v>104</v>
      </c>
      <c r="O4" s="91" t="s">
        <v>77</v>
      </c>
      <c r="P4" s="110" t="s">
        <v>78</v>
      </c>
      <c r="Q4" s="111" t="s">
        <v>47</v>
      </c>
      <c r="R4" s="110" t="s">
        <v>28</v>
      </c>
      <c r="S4" s="110" t="s">
        <v>115</v>
      </c>
      <c r="T4" s="110" t="s">
        <v>79</v>
      </c>
      <c r="U4" s="110" t="s">
        <v>107</v>
      </c>
      <c r="V4" s="110" t="s">
        <v>128</v>
      </c>
      <c r="W4" s="110" t="s">
        <v>129</v>
      </c>
    </row>
    <row r="5" spans="1:23" ht="34.5" customHeight="1" x14ac:dyDescent="0.25">
      <c r="A5" s="671"/>
      <c r="B5" s="91" t="s">
        <v>76</v>
      </c>
      <c r="C5" s="104">
        <f>'Loans - In arrears'!K9</f>
        <v>50000</v>
      </c>
      <c r="D5" s="98">
        <f>'Loans - In arrears'!R9</f>
        <v>0.03</v>
      </c>
      <c r="E5" s="97">
        <f>'Loans - In arrears'!O12</f>
        <v>12</v>
      </c>
      <c r="F5" s="97">
        <f>'Loans - In arrears'!O13</f>
        <v>12</v>
      </c>
      <c r="G5" s="92">
        <f>'Loans - In arrears'!O9</f>
        <v>11000</v>
      </c>
      <c r="H5" s="92">
        <f>'Loans - In arrears'!F21</f>
        <v>4</v>
      </c>
      <c r="I5" s="92">
        <f>'Loans - In arrears'!F24</f>
        <v>5</v>
      </c>
      <c r="J5" s="92">
        <f>'Loans - In arrears'!F21</f>
        <v>4</v>
      </c>
      <c r="K5" s="92"/>
      <c r="N5" s="670"/>
      <c r="O5" s="91" t="s">
        <v>76</v>
      </c>
      <c r="P5" s="116">
        <v>500000</v>
      </c>
      <c r="Q5" s="117">
        <f>'Loans - In advance'!R10</f>
        <v>0.01</v>
      </c>
      <c r="R5" s="118">
        <f>'Loans - In advance'!O13</f>
        <v>20</v>
      </c>
      <c r="S5" s="118">
        <f>'Loans - In advance'!O14</f>
        <v>12</v>
      </c>
      <c r="T5" s="388">
        <f>'Loans - In advance'!O10</f>
        <v>900</v>
      </c>
      <c r="U5" s="118">
        <f>'Loans - In advance'!F21</f>
        <v>18</v>
      </c>
      <c r="V5" s="118">
        <f>'Loans - In advance'!F21</f>
        <v>18</v>
      </c>
      <c r="W5" s="118">
        <f>'Loans - In advance'!F24</f>
        <v>17</v>
      </c>
    </row>
    <row r="8" spans="1:23" ht="15" x14ac:dyDescent="0.25">
      <c r="A8" s="89" t="s">
        <v>80</v>
      </c>
      <c r="C8" s="108" t="s">
        <v>120</v>
      </c>
      <c r="D8" s="102">
        <f>IF('Loans - In arrears'!AC8="Loan amount",D13*((1-(1+D5)^(-1*E5*F5))/(D5)),C5)</f>
        <v>361470.16497629887</v>
      </c>
      <c r="F8" s="108" t="s">
        <v>122</v>
      </c>
      <c r="G8" s="90">
        <f>VLOOKUP(J5,B17:H142,6,FALSE)</f>
        <v>170.35073107831522</v>
      </c>
      <c r="H8" s="108" t="s">
        <v>126</v>
      </c>
      <c r="I8" s="90">
        <f>D8*(1+D5)^(J5)-D13*(((1+D5)^(J5)-1)/(D5))</f>
        <v>360817.95823297778</v>
      </c>
      <c r="O8" s="89" t="s">
        <v>80</v>
      </c>
      <c r="Q8" s="108" t="s">
        <v>105</v>
      </c>
      <c r="R8" s="46">
        <f>IF('Loans - In advance'!Z8="Loan amount",T5*(1+Q5)*((1-(1+Q5)^(-1*R5*S5))/(Q5)),P5)</f>
        <v>500000</v>
      </c>
      <c r="T8" s="112" t="s">
        <v>112</v>
      </c>
      <c r="U8" s="46">
        <f>VLOOKUP(U5,O18:U1031,6)</f>
        <v>-4797.0192363828519</v>
      </c>
      <c r="V8" s="112" t="s">
        <v>111</v>
      </c>
      <c r="W8" s="46">
        <f>VLOOKUP(U5,O18:U1031,7)</f>
        <v>580243.93230341468</v>
      </c>
    </row>
    <row r="9" spans="1:23" ht="15" x14ac:dyDescent="0.25">
      <c r="C9" s="109"/>
      <c r="F9" s="108" t="s">
        <v>123</v>
      </c>
      <c r="G9" s="90">
        <f>VLOOKUP(J5,B17:H145,5,FALSE)</f>
        <v>10829.649268921685</v>
      </c>
      <c r="H9" s="109"/>
      <c r="Q9" s="109"/>
      <c r="R9" s="114"/>
      <c r="T9" s="112" t="s">
        <v>113</v>
      </c>
      <c r="U9" s="46">
        <f>VLOOKUP(U5,O18:U1031,5)</f>
        <v>5697.0192363828519</v>
      </c>
      <c r="V9" s="113"/>
      <c r="W9" s="114"/>
    </row>
    <row r="10" spans="1:23" ht="15" x14ac:dyDescent="0.25">
      <c r="A10" s="108" t="s">
        <v>11</v>
      </c>
      <c r="B10" s="90"/>
      <c r="C10" s="108" t="s">
        <v>102</v>
      </c>
      <c r="D10" s="90">
        <f>(E5*F5)*D13-D8</f>
        <v>1222529.8350237012</v>
      </c>
      <c r="F10" s="109"/>
      <c r="H10" s="109"/>
      <c r="O10" s="112" t="s">
        <v>28</v>
      </c>
      <c r="Q10" s="108" t="s">
        <v>102</v>
      </c>
      <c r="R10" s="115">
        <f>(R5*S5)*R13-R8</f>
        <v>-284000</v>
      </c>
      <c r="T10" s="113"/>
      <c r="U10" s="114"/>
      <c r="V10" s="113"/>
      <c r="W10" s="114"/>
    </row>
    <row r="11" spans="1:23" ht="15" x14ac:dyDescent="0.25">
      <c r="A11" s="108" t="s">
        <v>10</v>
      </c>
      <c r="B11" s="90"/>
      <c r="C11" s="108" t="s">
        <v>121</v>
      </c>
      <c r="D11" s="90">
        <f>D8</f>
        <v>361470.16497629887</v>
      </c>
      <c r="F11" s="108" t="s">
        <v>124</v>
      </c>
      <c r="G11" s="90">
        <f>ABS(VLOOKUP(H5,B17:H89,7,FALSE)-VLOOKUP(I5,B17:H89,7,FALSE))</f>
        <v>175.46125301066786</v>
      </c>
      <c r="H11" s="109"/>
      <c r="O11" s="113"/>
      <c r="Q11" s="108" t="s">
        <v>103</v>
      </c>
      <c r="R11" s="295">
        <f>R8</f>
        <v>500000</v>
      </c>
      <c r="T11" s="112" t="s">
        <v>109</v>
      </c>
      <c r="U11" s="295">
        <f>ABS(VLOOKUP(W5,O18:U1031,3,FALSE)-VLOOKUP(V5,O18:U1031,3,FALSE))</f>
        <v>4797.0192363829119</v>
      </c>
      <c r="V11" s="112" t="s">
        <v>114</v>
      </c>
      <c r="W11" s="115" t="e">
        <f>R8*(1+Q5)^(P14-1)-R13*(1+Q5)*(((1+Q5)^(P14-1) - 1)/(Q5))</f>
        <v>#NUM!</v>
      </c>
    </row>
    <row r="12" spans="1:23" ht="15" x14ac:dyDescent="0.25">
      <c r="A12" s="109"/>
      <c r="C12" s="109"/>
      <c r="F12" s="108" t="s">
        <v>125</v>
      </c>
      <c r="G12" s="90">
        <f>D13*((I5-H5))-G11</f>
        <v>10824.538746989332</v>
      </c>
      <c r="H12" s="108" t="s">
        <v>127</v>
      </c>
      <c r="I12" s="90">
        <f>((D8*(1+D5)^(B13-1))-(D13*(((1+D5)^(B13-1)-1)/(D5))))*(1+D5)</f>
        <v>254839.58978564496</v>
      </c>
      <c r="O12" s="112" t="s">
        <v>48</v>
      </c>
      <c r="Q12" s="109"/>
      <c r="R12" s="114"/>
      <c r="T12" s="112" t="s">
        <v>110</v>
      </c>
      <c r="U12" s="115">
        <f>R13*((W5-V5))-U11</f>
        <v>-5697.0192363829119</v>
      </c>
    </row>
    <row r="13" spans="1:23" ht="15" x14ac:dyDescent="0.25">
      <c r="A13" s="108" t="s">
        <v>117</v>
      </c>
      <c r="B13" s="90">
        <f>_xlfn.CEILING.MATH(-((LN(1-((D8*D5/(D13*(1+D5))))))/(LN(1+D5))))</f>
        <v>107</v>
      </c>
      <c r="C13" s="108" t="s">
        <v>50</v>
      </c>
      <c r="D13" s="90">
        <f>IF(G5="",((D8*D5*(1+D5)^(E5*F5))/((1+D5)^(E5*F5)-1)),G5)</f>
        <v>11000</v>
      </c>
      <c r="O13" s="113"/>
      <c r="Q13" s="108" t="s">
        <v>46</v>
      </c>
      <c r="R13" s="115">
        <f>IF('Loans - In advance'!Z8="Payments",(P5/(1+Q5))*(Q5/(1-(1+Q5)^(-1*R5*S5))),T5)</f>
        <v>900</v>
      </c>
    </row>
    <row r="14" spans="1:23" ht="15" x14ac:dyDescent="0.25">
      <c r="O14" s="112" t="s">
        <v>116</v>
      </c>
      <c r="P14" s="103" t="e">
        <f>_xlfn.CEILING.MATH(-(LN(1-((R8*Q5/(T5*(1+Q5)))))/LN(1+Q5)))</f>
        <v>#NUM!</v>
      </c>
    </row>
    <row r="16" spans="1:23" x14ac:dyDescent="0.25">
      <c r="A16" s="95"/>
      <c r="B16" s="105" t="s">
        <v>106</v>
      </c>
      <c r="C16" s="105" t="s">
        <v>118</v>
      </c>
      <c r="D16" s="105" t="s">
        <v>119</v>
      </c>
      <c r="E16" s="105" t="s">
        <v>88</v>
      </c>
      <c r="F16" s="105" t="s">
        <v>33</v>
      </c>
      <c r="G16" s="105" t="s">
        <v>82</v>
      </c>
      <c r="H16" s="105" t="s">
        <v>83</v>
      </c>
    </row>
    <row r="17" spans="1:24" ht="16.2" customHeight="1" x14ac:dyDescent="0.25">
      <c r="A17" s="95"/>
      <c r="B17" s="95" cm="1">
        <f t="array" ref="B17:B123">_xlfn.SEQUENCE(B13,,1,1)</f>
        <v>1</v>
      </c>
      <c r="C17" s="95">
        <f>D8</f>
        <v>361470.16497629887</v>
      </c>
      <c r="D17" s="95">
        <f t="shared" ref="D17:D48" si="0">C17*(1+$D$5)-E17</f>
        <v>361314.26992558787</v>
      </c>
      <c r="E17" s="95">
        <f>$D$13</f>
        <v>11000</v>
      </c>
      <c r="F17" s="95">
        <f t="shared" ref="F17:F48" si="1">C17*$D$5</f>
        <v>10844.104949288965</v>
      </c>
      <c r="G17" s="95">
        <f>E17-F17</f>
        <v>155.89505071103486</v>
      </c>
      <c r="H17" s="95">
        <f t="shared" ref="H17:H48" si="2">C17*(1+$D$5)-E17</f>
        <v>361314.26992558787</v>
      </c>
      <c r="N17"/>
      <c r="O17" s="119" t="s">
        <v>106</v>
      </c>
      <c r="P17" s="120" t="s">
        <v>85</v>
      </c>
      <c r="Q17" s="107" t="s">
        <v>84</v>
      </c>
      <c r="R17" s="119" t="s">
        <v>81</v>
      </c>
      <c r="S17" s="119" t="s">
        <v>33</v>
      </c>
      <c r="T17" s="119" t="s">
        <v>82</v>
      </c>
      <c r="U17" s="119" t="s">
        <v>83</v>
      </c>
      <c r="V17" s="88"/>
      <c r="W17" s="88"/>
    </row>
    <row r="18" spans="1:24" x14ac:dyDescent="0.25">
      <c r="B18" s="95">
        <v>2</v>
      </c>
      <c r="C18" s="95">
        <f>H17</f>
        <v>361314.26992558787</v>
      </c>
      <c r="D18" s="95">
        <f t="shared" si="0"/>
        <v>361153.69802335551</v>
      </c>
      <c r="E18" s="95">
        <f t="shared" ref="E18:E81" si="3">$D$13</f>
        <v>11000</v>
      </c>
      <c r="F18" s="95">
        <f t="shared" si="1"/>
        <v>10839.428097767635</v>
      </c>
      <c r="G18" s="95">
        <f t="shared" ref="G18:G81" si="4">E18-F18</f>
        <v>160.57190223236466</v>
      </c>
      <c r="H18" s="95">
        <f t="shared" si="2"/>
        <v>361153.69802335551</v>
      </c>
      <c r="N18"/>
      <c r="O18" s="4" cm="1">
        <f t="array" ref="O18:O258">_xlfn.SEQUENCE(R5*S5+1,1,1,1)</f>
        <v>1</v>
      </c>
      <c r="P18" s="4">
        <f>R8</f>
        <v>500000</v>
      </c>
      <c r="Q18" s="4">
        <f>IF(O18="","",P18-R18)</f>
        <v>499100</v>
      </c>
      <c r="R18" s="4">
        <f>IF(O18="","",$R$13)</f>
        <v>900</v>
      </c>
      <c r="S18">
        <v>0</v>
      </c>
      <c r="T18" s="94">
        <f>IF(O18="","",R18-S18)</f>
        <v>900</v>
      </c>
      <c r="U18" s="94">
        <f>IF(O18="","",Q18*(1+$Q$5))</f>
        <v>504091</v>
      </c>
      <c r="V18" t="str">
        <f>""</f>
        <v/>
      </c>
      <c r="W18" s="88"/>
    </row>
    <row r="19" spans="1:24" x14ac:dyDescent="0.25">
      <c r="B19" s="95">
        <v>3</v>
      </c>
      <c r="C19" s="95">
        <f t="shared" ref="C19:C82" si="5">H18</f>
        <v>361153.69802335551</v>
      </c>
      <c r="D19" s="95">
        <f t="shared" si="0"/>
        <v>360988.3089640562</v>
      </c>
      <c r="E19" s="95">
        <f t="shared" si="3"/>
        <v>11000</v>
      </c>
      <c r="F19" s="95">
        <f t="shared" si="1"/>
        <v>10834.610940700664</v>
      </c>
      <c r="G19" s="95">
        <f t="shared" si="4"/>
        <v>165.38905929933571</v>
      </c>
      <c r="H19" s="95">
        <f t="shared" si="2"/>
        <v>360988.3089640562</v>
      </c>
      <c r="N19"/>
      <c r="O19" s="4">
        <v>2</v>
      </c>
      <c r="P19" s="4">
        <f>IF(O19="","",U18)</f>
        <v>504091</v>
      </c>
      <c r="Q19" s="4">
        <f>IF(O19="","",P19-R19)</f>
        <v>503191</v>
      </c>
      <c r="R19" s="4">
        <f>IF(O19="","",$R$13)</f>
        <v>900</v>
      </c>
      <c r="S19" s="4">
        <f>IF(O19="","",Q19*$Q$5)</f>
        <v>5031.91</v>
      </c>
      <c r="T19" s="94">
        <f t="shared" ref="T19:T82" si="6">IF(O19="","",R19-S19)</f>
        <v>-4131.91</v>
      </c>
      <c r="U19" s="94">
        <f t="shared" ref="U19:U82" si="7">IF(O19="","",Q19*(1+$Q$5))</f>
        <v>508222.91000000003</v>
      </c>
      <c r="V19" t="str">
        <f>""</f>
        <v/>
      </c>
      <c r="W19" s="96"/>
      <c r="X19" s="93"/>
    </row>
    <row r="20" spans="1:24" x14ac:dyDescent="0.25">
      <c r="B20" s="95">
        <v>4</v>
      </c>
      <c r="C20" s="95">
        <f t="shared" si="5"/>
        <v>360988.3089640562</v>
      </c>
      <c r="D20" s="95">
        <f t="shared" si="0"/>
        <v>360817.95823297789</v>
      </c>
      <c r="E20" s="95">
        <f t="shared" si="3"/>
        <v>11000</v>
      </c>
      <c r="F20" s="95">
        <f t="shared" si="1"/>
        <v>10829.649268921685</v>
      </c>
      <c r="G20" s="95">
        <f t="shared" si="4"/>
        <v>170.35073107831522</v>
      </c>
      <c r="H20" s="95">
        <f t="shared" si="2"/>
        <v>360817.95823297789</v>
      </c>
      <c r="N20"/>
      <c r="O20" s="4">
        <v>3</v>
      </c>
      <c r="P20" s="4">
        <f t="shared" ref="P20:P82" si="8">IF(O20="","",U19)</f>
        <v>508222.91000000003</v>
      </c>
      <c r="Q20" s="4">
        <f t="shared" ref="Q20:Q82" si="9">IF(O20="","",P20-R20)</f>
        <v>507322.91000000003</v>
      </c>
      <c r="R20" s="4">
        <f t="shared" ref="R20:R81" si="10">IF(O20="","",$R$13)</f>
        <v>900</v>
      </c>
      <c r="S20" s="4">
        <f t="shared" ref="S20:S83" si="11">IF(O20="","",Q19*$Q$5)</f>
        <v>5031.91</v>
      </c>
      <c r="T20" s="94">
        <f t="shared" si="6"/>
        <v>-4131.91</v>
      </c>
      <c r="U20" s="94">
        <f t="shared" si="7"/>
        <v>512396.13910000003</v>
      </c>
      <c r="V20" t="str">
        <f>""</f>
        <v/>
      </c>
      <c r="W20" s="88"/>
    </row>
    <row r="21" spans="1:24" x14ac:dyDescent="0.25">
      <c r="B21" s="95">
        <v>5</v>
      </c>
      <c r="C21" s="95">
        <f t="shared" si="5"/>
        <v>360817.95823297789</v>
      </c>
      <c r="D21" s="95">
        <f t="shared" si="0"/>
        <v>360642.49697996723</v>
      </c>
      <c r="E21" s="95">
        <f t="shared" si="3"/>
        <v>11000</v>
      </c>
      <c r="F21" s="95">
        <f t="shared" si="1"/>
        <v>10824.538746989336</v>
      </c>
      <c r="G21" s="95">
        <f t="shared" si="4"/>
        <v>175.46125301066422</v>
      </c>
      <c r="H21" s="95">
        <f t="shared" si="2"/>
        <v>360642.49697996723</v>
      </c>
      <c r="N21"/>
      <c r="O21" s="4">
        <v>4</v>
      </c>
      <c r="P21" s="4">
        <f t="shared" si="8"/>
        <v>512396.13910000003</v>
      </c>
      <c r="Q21" s="4">
        <f t="shared" si="9"/>
        <v>511496.13910000003</v>
      </c>
      <c r="R21" s="4">
        <f t="shared" si="10"/>
        <v>900</v>
      </c>
      <c r="S21" s="4">
        <f t="shared" si="11"/>
        <v>5073.2291000000005</v>
      </c>
      <c r="T21" s="94">
        <f t="shared" si="6"/>
        <v>-4173.2291000000005</v>
      </c>
      <c r="U21" s="94">
        <f t="shared" si="7"/>
        <v>516611.10049100005</v>
      </c>
      <c r="V21" t="str">
        <f>""</f>
        <v/>
      </c>
      <c r="W21" s="96"/>
    </row>
    <row r="22" spans="1:24" x14ac:dyDescent="0.25">
      <c r="B22" s="95">
        <v>6</v>
      </c>
      <c r="C22" s="95">
        <f t="shared" si="5"/>
        <v>360642.49697996723</v>
      </c>
      <c r="D22" s="95">
        <f t="shared" si="0"/>
        <v>360461.77188936627</v>
      </c>
      <c r="E22" s="95">
        <f t="shared" si="3"/>
        <v>11000</v>
      </c>
      <c r="F22" s="95">
        <f t="shared" si="1"/>
        <v>10819.274909399017</v>
      </c>
      <c r="G22" s="95">
        <f t="shared" si="4"/>
        <v>180.72509060098309</v>
      </c>
      <c r="H22" s="95">
        <f t="shared" si="2"/>
        <v>360461.77188936627</v>
      </c>
      <c r="N22"/>
      <c r="O22" s="4">
        <v>5</v>
      </c>
      <c r="P22" s="4">
        <f t="shared" si="8"/>
        <v>516611.10049100005</v>
      </c>
      <c r="Q22" s="4">
        <f t="shared" si="9"/>
        <v>515711.10049100005</v>
      </c>
      <c r="R22" s="4">
        <f t="shared" si="10"/>
        <v>900</v>
      </c>
      <c r="S22" s="4">
        <f t="shared" si="11"/>
        <v>5114.9613910000007</v>
      </c>
      <c r="T22" s="94">
        <f t="shared" si="6"/>
        <v>-4214.9613910000007</v>
      </c>
      <c r="U22" s="94">
        <f t="shared" si="7"/>
        <v>520868.21149591007</v>
      </c>
      <c r="V22" t="str">
        <f>""</f>
        <v/>
      </c>
      <c r="W22" s="88"/>
    </row>
    <row r="23" spans="1:24" x14ac:dyDescent="0.25">
      <c r="B23" s="95">
        <v>7</v>
      </c>
      <c r="C23" s="95">
        <f t="shared" si="5"/>
        <v>360461.77188936627</v>
      </c>
      <c r="D23" s="95">
        <f t="shared" si="0"/>
        <v>360275.62504604727</v>
      </c>
      <c r="E23" s="95">
        <f t="shared" si="3"/>
        <v>11000</v>
      </c>
      <c r="F23" s="95">
        <f t="shared" si="1"/>
        <v>10813.853156680987</v>
      </c>
      <c r="G23" s="95">
        <f t="shared" si="4"/>
        <v>186.14684331901299</v>
      </c>
      <c r="H23" s="95">
        <f t="shared" si="2"/>
        <v>360275.62504604727</v>
      </c>
      <c r="N23"/>
      <c r="O23" s="4">
        <v>6</v>
      </c>
      <c r="P23" s="4">
        <f t="shared" si="8"/>
        <v>520868.21149591007</v>
      </c>
      <c r="Q23" s="4">
        <f t="shared" si="9"/>
        <v>519968.21149591007</v>
      </c>
      <c r="R23" s="4">
        <f t="shared" si="10"/>
        <v>900</v>
      </c>
      <c r="S23" s="4">
        <f t="shared" si="11"/>
        <v>5157.1110049100007</v>
      </c>
      <c r="T23" s="94">
        <f t="shared" si="6"/>
        <v>-4257.1110049100007</v>
      </c>
      <c r="U23" s="94">
        <f t="shared" si="7"/>
        <v>525167.89361086919</v>
      </c>
      <c r="V23" t="str">
        <f>""</f>
        <v/>
      </c>
      <c r="W23" s="88"/>
    </row>
    <row r="24" spans="1:24" x14ac:dyDescent="0.25">
      <c r="B24" s="95">
        <v>8</v>
      </c>
      <c r="C24" s="95">
        <f t="shared" si="5"/>
        <v>360275.62504604727</v>
      </c>
      <c r="D24" s="95">
        <f t="shared" si="0"/>
        <v>360083.8937974287</v>
      </c>
      <c r="E24" s="95">
        <f t="shared" si="3"/>
        <v>11000</v>
      </c>
      <c r="F24" s="95">
        <f t="shared" si="1"/>
        <v>10808.268751381418</v>
      </c>
      <c r="G24" s="95">
        <f t="shared" si="4"/>
        <v>191.73124861858196</v>
      </c>
      <c r="H24" s="95">
        <f t="shared" si="2"/>
        <v>360083.8937974287</v>
      </c>
      <c r="N24"/>
      <c r="O24" s="4">
        <v>7</v>
      </c>
      <c r="P24" s="4">
        <f t="shared" si="8"/>
        <v>525167.89361086919</v>
      </c>
      <c r="Q24" s="4">
        <f t="shared" si="9"/>
        <v>524267.89361086919</v>
      </c>
      <c r="R24" s="4">
        <f t="shared" si="10"/>
        <v>900</v>
      </c>
      <c r="S24" s="4">
        <f t="shared" si="11"/>
        <v>5199.6821149591005</v>
      </c>
      <c r="T24" s="94">
        <f t="shared" si="6"/>
        <v>-4299.6821149591005</v>
      </c>
      <c r="U24" s="94">
        <f t="shared" si="7"/>
        <v>529510.5725469779</v>
      </c>
      <c r="V24" t="str">
        <f>""</f>
        <v/>
      </c>
      <c r="W24" s="88"/>
    </row>
    <row r="25" spans="1:24" x14ac:dyDescent="0.25">
      <c r="B25" s="95">
        <v>9</v>
      </c>
      <c r="C25" s="95">
        <f t="shared" si="5"/>
        <v>360083.8937974287</v>
      </c>
      <c r="D25" s="95">
        <f t="shared" si="0"/>
        <v>359886.41061135154</v>
      </c>
      <c r="E25" s="95">
        <f t="shared" si="3"/>
        <v>11000</v>
      </c>
      <c r="F25" s="95">
        <f t="shared" si="1"/>
        <v>10802.516813922861</v>
      </c>
      <c r="G25" s="95">
        <f t="shared" si="4"/>
        <v>197.48318607713918</v>
      </c>
      <c r="H25" s="95">
        <f t="shared" si="2"/>
        <v>359886.41061135154</v>
      </c>
      <c r="N25"/>
      <c r="O25" s="4">
        <v>8</v>
      </c>
      <c r="P25" s="4">
        <f t="shared" si="8"/>
        <v>529510.5725469779</v>
      </c>
      <c r="Q25" s="4">
        <f t="shared" si="9"/>
        <v>528610.5725469779</v>
      </c>
      <c r="R25" s="4">
        <f t="shared" si="10"/>
        <v>900</v>
      </c>
      <c r="S25" s="4">
        <f t="shared" si="11"/>
        <v>5242.6789361086921</v>
      </c>
      <c r="T25" s="94">
        <f t="shared" si="6"/>
        <v>-4342.6789361086921</v>
      </c>
      <c r="U25" s="94">
        <f t="shared" si="7"/>
        <v>533896.67827244767</v>
      </c>
      <c r="V25" t="str">
        <f>""</f>
        <v/>
      </c>
      <c r="W25" s="88"/>
    </row>
    <row r="26" spans="1:24" x14ac:dyDescent="0.25">
      <c r="B26" s="95">
        <v>10</v>
      </c>
      <c r="C26" s="95">
        <f t="shared" si="5"/>
        <v>359886.41061135154</v>
      </c>
      <c r="D26" s="95">
        <f t="shared" si="0"/>
        <v>359683.0029296921</v>
      </c>
      <c r="E26" s="95">
        <f t="shared" si="3"/>
        <v>11000</v>
      </c>
      <c r="F26" s="95">
        <f t="shared" si="1"/>
        <v>10796.592318340547</v>
      </c>
      <c r="G26" s="95">
        <f t="shared" si="4"/>
        <v>203.40768165945337</v>
      </c>
      <c r="H26" s="95">
        <f t="shared" si="2"/>
        <v>359683.0029296921</v>
      </c>
      <c r="N26"/>
      <c r="O26" s="4">
        <v>9</v>
      </c>
      <c r="P26" s="4">
        <f t="shared" si="8"/>
        <v>533896.67827244767</v>
      </c>
      <c r="Q26" s="4">
        <f t="shared" si="9"/>
        <v>532996.67827244767</v>
      </c>
      <c r="R26" s="4">
        <f t="shared" si="10"/>
        <v>900</v>
      </c>
      <c r="S26" s="4">
        <f t="shared" si="11"/>
        <v>5286.1057254697789</v>
      </c>
      <c r="T26" s="94">
        <f t="shared" si="6"/>
        <v>-4386.1057254697789</v>
      </c>
      <c r="U26" s="94">
        <f t="shared" si="7"/>
        <v>538326.64505517215</v>
      </c>
      <c r="V26" t="str">
        <f>""</f>
        <v/>
      </c>
      <c r="W26" s="88"/>
    </row>
    <row r="27" spans="1:24" x14ac:dyDescent="0.25">
      <c r="B27" s="95">
        <v>11</v>
      </c>
      <c r="C27" s="95">
        <f t="shared" si="5"/>
        <v>359683.0029296921</v>
      </c>
      <c r="D27" s="95">
        <f t="shared" si="0"/>
        <v>359473.49301758286</v>
      </c>
      <c r="E27" s="95">
        <f t="shared" si="3"/>
        <v>11000</v>
      </c>
      <c r="F27" s="95">
        <f t="shared" si="1"/>
        <v>10790.490087890763</v>
      </c>
      <c r="G27" s="95">
        <f t="shared" si="4"/>
        <v>209.50991210923712</v>
      </c>
      <c r="H27" s="95">
        <f t="shared" si="2"/>
        <v>359473.49301758286</v>
      </c>
      <c r="N27"/>
      <c r="O27" s="4">
        <v>10</v>
      </c>
      <c r="P27" s="4">
        <f t="shared" si="8"/>
        <v>538326.64505517215</v>
      </c>
      <c r="Q27" s="4">
        <f t="shared" si="9"/>
        <v>537426.64505517215</v>
      </c>
      <c r="R27" s="4">
        <f t="shared" si="10"/>
        <v>900</v>
      </c>
      <c r="S27" s="4">
        <f t="shared" si="11"/>
        <v>5329.9667827244766</v>
      </c>
      <c r="T27" s="94">
        <f t="shared" si="6"/>
        <v>-4429.9667827244766</v>
      </c>
      <c r="U27" s="94">
        <f t="shared" si="7"/>
        <v>542800.91150572384</v>
      </c>
      <c r="V27" t="str">
        <f>""</f>
        <v/>
      </c>
      <c r="W27" s="88"/>
    </row>
    <row r="28" spans="1:24" x14ac:dyDescent="0.25">
      <c r="B28" s="95">
        <v>12</v>
      </c>
      <c r="C28" s="95">
        <f t="shared" si="5"/>
        <v>359473.49301758286</v>
      </c>
      <c r="D28" s="95">
        <f t="shared" si="0"/>
        <v>359257.69780811033</v>
      </c>
      <c r="E28" s="95">
        <f t="shared" si="3"/>
        <v>11000</v>
      </c>
      <c r="F28" s="95">
        <f t="shared" si="1"/>
        <v>10784.204790527485</v>
      </c>
      <c r="G28" s="95">
        <f t="shared" si="4"/>
        <v>215.79520947251513</v>
      </c>
      <c r="H28" s="95">
        <f t="shared" si="2"/>
        <v>359257.69780811033</v>
      </c>
      <c r="N28"/>
      <c r="O28" s="4">
        <v>11</v>
      </c>
      <c r="P28" s="4">
        <f t="shared" si="8"/>
        <v>542800.91150572384</v>
      </c>
      <c r="Q28" s="4">
        <f t="shared" si="9"/>
        <v>541900.91150572384</v>
      </c>
      <c r="R28" s="4">
        <f t="shared" si="10"/>
        <v>900</v>
      </c>
      <c r="S28" s="4">
        <f t="shared" si="11"/>
        <v>5374.2664505517214</v>
      </c>
      <c r="T28" s="94">
        <f t="shared" si="6"/>
        <v>-4474.2664505517214</v>
      </c>
      <c r="U28" s="94">
        <f t="shared" si="7"/>
        <v>547319.92062078114</v>
      </c>
      <c r="V28" t="str">
        <f>""</f>
        <v/>
      </c>
      <c r="W28" s="88"/>
    </row>
    <row r="29" spans="1:24" x14ac:dyDescent="0.25">
      <c r="B29" s="95">
        <v>13</v>
      </c>
      <c r="C29" s="95">
        <f t="shared" si="5"/>
        <v>359257.69780811033</v>
      </c>
      <c r="D29" s="95">
        <f t="shared" si="0"/>
        <v>359035.42874235363</v>
      </c>
      <c r="E29" s="95">
        <f t="shared" si="3"/>
        <v>11000</v>
      </c>
      <c r="F29" s="95">
        <f t="shared" si="1"/>
        <v>10777.730934243309</v>
      </c>
      <c r="G29" s="95">
        <f t="shared" si="4"/>
        <v>222.26906575669091</v>
      </c>
      <c r="H29" s="95">
        <f t="shared" si="2"/>
        <v>359035.42874235363</v>
      </c>
      <c r="N29"/>
      <c r="O29" s="4">
        <v>12</v>
      </c>
      <c r="P29" s="4">
        <f t="shared" si="8"/>
        <v>547319.92062078114</v>
      </c>
      <c r="Q29" s="4">
        <f t="shared" si="9"/>
        <v>546419.92062078114</v>
      </c>
      <c r="R29" s="4">
        <f t="shared" si="10"/>
        <v>900</v>
      </c>
      <c r="S29" s="4">
        <f t="shared" si="11"/>
        <v>5419.0091150572389</v>
      </c>
      <c r="T29" s="94">
        <f t="shared" si="6"/>
        <v>-4519.0091150572389</v>
      </c>
      <c r="U29" s="94">
        <f t="shared" si="7"/>
        <v>551884.1198269889</v>
      </c>
      <c r="V29" t="str">
        <f>""</f>
        <v/>
      </c>
      <c r="W29" s="88"/>
    </row>
    <row r="30" spans="1:24" x14ac:dyDescent="0.25">
      <c r="B30" s="95">
        <v>14</v>
      </c>
      <c r="C30" s="95">
        <f t="shared" si="5"/>
        <v>359035.42874235363</v>
      </c>
      <c r="D30" s="95">
        <f t="shared" si="0"/>
        <v>358806.49160462426</v>
      </c>
      <c r="E30" s="95">
        <f t="shared" si="3"/>
        <v>11000</v>
      </c>
      <c r="F30" s="95">
        <f t="shared" si="1"/>
        <v>10771.062862270608</v>
      </c>
      <c r="G30" s="95">
        <f t="shared" si="4"/>
        <v>228.93713772939191</v>
      </c>
      <c r="H30" s="95">
        <f t="shared" si="2"/>
        <v>358806.49160462426</v>
      </c>
      <c r="N30"/>
      <c r="O30" s="4">
        <v>13</v>
      </c>
      <c r="P30" s="4">
        <f t="shared" si="8"/>
        <v>551884.1198269889</v>
      </c>
      <c r="Q30" s="4">
        <f t="shared" si="9"/>
        <v>550984.1198269889</v>
      </c>
      <c r="R30" s="4">
        <f t="shared" si="10"/>
        <v>900</v>
      </c>
      <c r="S30" s="4">
        <f t="shared" si="11"/>
        <v>5464.1992062078116</v>
      </c>
      <c r="T30" s="94">
        <f t="shared" si="6"/>
        <v>-4564.1992062078116</v>
      </c>
      <c r="U30" s="94">
        <f t="shared" si="7"/>
        <v>556493.96102525876</v>
      </c>
      <c r="V30" t="str">
        <f>""</f>
        <v/>
      </c>
      <c r="W30" s="88"/>
    </row>
    <row r="31" spans="1:24" x14ac:dyDescent="0.25">
      <c r="B31" s="95">
        <v>15</v>
      </c>
      <c r="C31" s="95">
        <f t="shared" si="5"/>
        <v>358806.49160462426</v>
      </c>
      <c r="D31" s="95">
        <f t="shared" si="0"/>
        <v>358570.68635276298</v>
      </c>
      <c r="E31" s="95">
        <f t="shared" si="3"/>
        <v>11000</v>
      </c>
      <c r="F31" s="95">
        <f t="shared" si="1"/>
        <v>10764.194748138727</v>
      </c>
      <c r="G31" s="95">
        <f t="shared" si="4"/>
        <v>235.80525186127306</v>
      </c>
      <c r="H31" s="95">
        <f t="shared" si="2"/>
        <v>358570.68635276298</v>
      </c>
      <c r="N31"/>
      <c r="O31" s="4">
        <v>14</v>
      </c>
      <c r="P31" s="4">
        <f t="shared" si="8"/>
        <v>556493.96102525876</v>
      </c>
      <c r="Q31" s="4">
        <f t="shared" si="9"/>
        <v>555593.96102525876</v>
      </c>
      <c r="R31" s="4">
        <f t="shared" si="10"/>
        <v>900</v>
      </c>
      <c r="S31" s="4">
        <f t="shared" si="11"/>
        <v>5509.841198269889</v>
      </c>
      <c r="T31" s="94">
        <f t="shared" si="6"/>
        <v>-4609.841198269889</v>
      </c>
      <c r="U31" s="94">
        <f t="shared" si="7"/>
        <v>561149.90063551138</v>
      </c>
      <c r="V31" t="str">
        <f>""</f>
        <v/>
      </c>
      <c r="W31" s="88"/>
    </row>
    <row r="32" spans="1:24" x14ac:dyDescent="0.25">
      <c r="B32" s="95">
        <v>16</v>
      </c>
      <c r="C32" s="95">
        <f t="shared" si="5"/>
        <v>358570.68635276298</v>
      </c>
      <c r="D32" s="95">
        <f t="shared" si="0"/>
        <v>358327.80694334587</v>
      </c>
      <c r="E32" s="95">
        <f t="shared" si="3"/>
        <v>11000</v>
      </c>
      <c r="F32" s="95">
        <f t="shared" si="1"/>
        <v>10757.120590582888</v>
      </c>
      <c r="G32" s="95">
        <f t="shared" si="4"/>
        <v>242.87940941711167</v>
      </c>
      <c r="H32" s="95">
        <f t="shared" si="2"/>
        <v>358327.80694334587</v>
      </c>
      <c r="N32"/>
      <c r="O32" s="4">
        <v>15</v>
      </c>
      <c r="P32" s="4">
        <f t="shared" si="8"/>
        <v>561149.90063551138</v>
      </c>
      <c r="Q32" s="4">
        <f t="shared" si="9"/>
        <v>560249.90063551138</v>
      </c>
      <c r="R32" s="4">
        <f t="shared" si="10"/>
        <v>900</v>
      </c>
      <c r="S32" s="4">
        <f t="shared" si="11"/>
        <v>5555.939610252588</v>
      </c>
      <c r="T32" s="94">
        <f t="shared" si="6"/>
        <v>-4655.939610252588</v>
      </c>
      <c r="U32" s="94">
        <f t="shared" si="7"/>
        <v>565852.39964186645</v>
      </c>
      <c r="V32" t="str">
        <f>""</f>
        <v/>
      </c>
      <c r="W32" s="88"/>
    </row>
    <row r="33" spans="2:23" x14ac:dyDescent="0.25">
      <c r="B33" s="95">
        <v>17</v>
      </c>
      <c r="C33" s="95">
        <f t="shared" si="5"/>
        <v>358327.80694334587</v>
      </c>
      <c r="D33" s="95">
        <f t="shared" si="0"/>
        <v>358077.64115164627</v>
      </c>
      <c r="E33" s="95">
        <f t="shared" si="3"/>
        <v>11000</v>
      </c>
      <c r="F33" s="95">
        <f t="shared" si="1"/>
        <v>10749.834208300375</v>
      </c>
      <c r="G33" s="95">
        <f t="shared" si="4"/>
        <v>250.16579169962461</v>
      </c>
      <c r="H33" s="95">
        <f t="shared" si="2"/>
        <v>358077.64115164627</v>
      </c>
      <c r="N33"/>
      <c r="O33" s="4">
        <v>16</v>
      </c>
      <c r="P33" s="4">
        <f t="shared" si="8"/>
        <v>565852.39964186645</v>
      </c>
      <c r="Q33" s="4">
        <f t="shared" si="9"/>
        <v>564952.39964186645</v>
      </c>
      <c r="R33" s="4">
        <f t="shared" si="10"/>
        <v>900</v>
      </c>
      <c r="S33" s="4">
        <f t="shared" si="11"/>
        <v>5602.499006355114</v>
      </c>
      <c r="T33" s="94">
        <f t="shared" si="6"/>
        <v>-4702.499006355114</v>
      </c>
      <c r="U33" s="94">
        <f t="shared" si="7"/>
        <v>570601.92363828514</v>
      </c>
      <c r="V33" t="str">
        <f>""</f>
        <v/>
      </c>
      <c r="W33" s="88"/>
    </row>
    <row r="34" spans="2:23" x14ac:dyDescent="0.25">
      <c r="B34" s="95">
        <v>18</v>
      </c>
      <c r="C34" s="95">
        <f t="shared" si="5"/>
        <v>358077.64115164627</v>
      </c>
      <c r="D34" s="95">
        <f t="shared" si="0"/>
        <v>357819.9703861957</v>
      </c>
      <c r="E34" s="95">
        <f t="shared" si="3"/>
        <v>11000</v>
      </c>
      <c r="F34" s="95">
        <f t="shared" si="1"/>
        <v>10742.329234549388</v>
      </c>
      <c r="G34" s="95">
        <f t="shared" si="4"/>
        <v>257.67076545061173</v>
      </c>
      <c r="H34" s="95">
        <f t="shared" si="2"/>
        <v>357819.9703861957</v>
      </c>
      <c r="N34"/>
      <c r="O34" s="4">
        <v>17</v>
      </c>
      <c r="P34" s="4">
        <f t="shared" si="8"/>
        <v>570601.92363828514</v>
      </c>
      <c r="Q34" s="4">
        <f t="shared" si="9"/>
        <v>569701.92363828514</v>
      </c>
      <c r="R34" s="4">
        <f t="shared" si="10"/>
        <v>900</v>
      </c>
      <c r="S34" s="4">
        <f t="shared" si="11"/>
        <v>5649.5239964186649</v>
      </c>
      <c r="T34" s="94">
        <f t="shared" si="6"/>
        <v>-4749.5239964186649</v>
      </c>
      <c r="U34" s="94">
        <f t="shared" si="7"/>
        <v>575398.94287466805</v>
      </c>
      <c r="V34" t="str">
        <f>""</f>
        <v/>
      </c>
      <c r="W34" s="88"/>
    </row>
    <row r="35" spans="2:23" x14ac:dyDescent="0.25">
      <c r="B35" s="95">
        <v>19</v>
      </c>
      <c r="C35" s="95">
        <f t="shared" si="5"/>
        <v>357819.9703861957</v>
      </c>
      <c r="D35" s="95">
        <f t="shared" si="0"/>
        <v>357554.56949778157</v>
      </c>
      <c r="E35" s="95">
        <f t="shared" si="3"/>
        <v>11000</v>
      </c>
      <c r="F35" s="95">
        <f t="shared" si="1"/>
        <v>10734.599111585871</v>
      </c>
      <c r="G35" s="95">
        <f t="shared" si="4"/>
        <v>265.40088841412944</v>
      </c>
      <c r="H35" s="95">
        <f t="shared" si="2"/>
        <v>357554.56949778157</v>
      </c>
      <c r="N35"/>
      <c r="O35" s="4">
        <v>18</v>
      </c>
      <c r="P35" s="4">
        <f t="shared" si="8"/>
        <v>575398.94287466805</v>
      </c>
      <c r="Q35" s="4">
        <f t="shared" si="9"/>
        <v>574498.94287466805</v>
      </c>
      <c r="R35" s="4">
        <f t="shared" si="10"/>
        <v>900</v>
      </c>
      <c r="S35" s="4">
        <f t="shared" si="11"/>
        <v>5697.0192363828519</v>
      </c>
      <c r="T35" s="94">
        <f t="shared" si="6"/>
        <v>-4797.0192363828519</v>
      </c>
      <c r="U35" s="94">
        <f t="shared" si="7"/>
        <v>580243.93230341468</v>
      </c>
      <c r="V35" t="str">
        <f>""</f>
        <v/>
      </c>
      <c r="W35" s="88"/>
    </row>
    <row r="36" spans="2:23" x14ac:dyDescent="0.25">
      <c r="B36" s="95">
        <v>20</v>
      </c>
      <c r="C36" s="95">
        <f t="shared" si="5"/>
        <v>357554.56949778157</v>
      </c>
      <c r="D36" s="95">
        <f t="shared" si="0"/>
        <v>357281.20658271504</v>
      </c>
      <c r="E36" s="95">
        <f t="shared" si="3"/>
        <v>11000</v>
      </c>
      <c r="F36" s="95">
        <f t="shared" si="1"/>
        <v>10726.637084933447</v>
      </c>
      <c r="G36" s="95">
        <f t="shared" si="4"/>
        <v>273.36291506655289</v>
      </c>
      <c r="H36" s="95">
        <f t="shared" si="2"/>
        <v>357281.20658271504</v>
      </c>
      <c r="N36"/>
      <c r="O36" s="4">
        <v>19</v>
      </c>
      <c r="P36" s="4">
        <f t="shared" si="8"/>
        <v>580243.93230341468</v>
      </c>
      <c r="Q36" s="4">
        <f t="shared" si="9"/>
        <v>579343.93230341468</v>
      </c>
      <c r="R36" s="4">
        <f t="shared" si="10"/>
        <v>900</v>
      </c>
      <c r="S36" s="4">
        <f t="shared" si="11"/>
        <v>5744.9894287466805</v>
      </c>
      <c r="T36" s="94">
        <f t="shared" si="6"/>
        <v>-4844.9894287466805</v>
      </c>
      <c r="U36" s="94">
        <f t="shared" si="7"/>
        <v>585137.37162644882</v>
      </c>
      <c r="V36" t="str">
        <f>""</f>
        <v/>
      </c>
      <c r="W36" s="88"/>
    </row>
    <row r="37" spans="2:23" x14ac:dyDescent="0.25">
      <c r="B37" s="95">
        <v>21</v>
      </c>
      <c r="C37" s="95">
        <f t="shared" si="5"/>
        <v>357281.20658271504</v>
      </c>
      <c r="D37" s="95">
        <f t="shared" si="0"/>
        <v>356999.6427801965</v>
      </c>
      <c r="E37" s="95">
        <f t="shared" si="3"/>
        <v>11000</v>
      </c>
      <c r="F37" s="95">
        <f t="shared" si="1"/>
        <v>10718.436197481451</v>
      </c>
      <c r="G37" s="95">
        <f t="shared" si="4"/>
        <v>281.56380251854898</v>
      </c>
      <c r="H37" s="95">
        <f t="shared" si="2"/>
        <v>356999.6427801965</v>
      </c>
      <c r="N37"/>
      <c r="O37" s="4">
        <v>20</v>
      </c>
      <c r="P37" s="4">
        <f t="shared" si="8"/>
        <v>585137.37162644882</v>
      </c>
      <c r="Q37" s="4">
        <f t="shared" si="9"/>
        <v>584237.37162644882</v>
      </c>
      <c r="R37" s="4">
        <f t="shared" si="10"/>
        <v>900</v>
      </c>
      <c r="S37" s="4">
        <f t="shared" si="11"/>
        <v>5793.4393230341466</v>
      </c>
      <c r="T37" s="94">
        <f t="shared" si="6"/>
        <v>-4893.4393230341466</v>
      </c>
      <c r="U37" s="94">
        <f t="shared" si="7"/>
        <v>590079.74534271332</v>
      </c>
      <c r="V37" t="str">
        <f>""</f>
        <v/>
      </c>
      <c r="W37" s="88"/>
    </row>
    <row r="38" spans="2:23" x14ac:dyDescent="0.25">
      <c r="B38" s="95">
        <v>22</v>
      </c>
      <c r="C38" s="95">
        <f t="shared" si="5"/>
        <v>356999.6427801965</v>
      </c>
      <c r="D38" s="95">
        <f t="shared" si="0"/>
        <v>356709.63206360239</v>
      </c>
      <c r="E38" s="95">
        <f t="shared" si="3"/>
        <v>11000</v>
      </c>
      <c r="F38" s="95">
        <f t="shared" si="1"/>
        <v>10709.989283405896</v>
      </c>
      <c r="G38" s="95">
        <f t="shared" si="4"/>
        <v>290.01071659410445</v>
      </c>
      <c r="H38" s="95">
        <f t="shared" si="2"/>
        <v>356709.63206360239</v>
      </c>
      <c r="N38"/>
      <c r="O38" s="4">
        <v>21</v>
      </c>
      <c r="P38" s="4">
        <f t="shared" si="8"/>
        <v>590079.74534271332</v>
      </c>
      <c r="Q38" s="4">
        <f t="shared" si="9"/>
        <v>589179.74534271332</v>
      </c>
      <c r="R38" s="4">
        <f t="shared" si="10"/>
        <v>900</v>
      </c>
      <c r="S38" s="4">
        <f t="shared" si="11"/>
        <v>5842.3737162644884</v>
      </c>
      <c r="T38" s="94">
        <f t="shared" si="6"/>
        <v>-4942.3737162644884</v>
      </c>
      <c r="U38" s="94">
        <f t="shared" si="7"/>
        <v>595071.54279614042</v>
      </c>
      <c r="V38" t="str">
        <f>""</f>
        <v/>
      </c>
      <c r="W38" s="88"/>
    </row>
    <row r="39" spans="2:23" x14ac:dyDescent="0.25">
      <c r="B39" s="95">
        <v>23</v>
      </c>
      <c r="C39" s="95">
        <f t="shared" si="5"/>
        <v>356709.63206360239</v>
      </c>
      <c r="D39" s="95">
        <f t="shared" si="0"/>
        <v>356410.92102551047</v>
      </c>
      <c r="E39" s="95">
        <f t="shared" si="3"/>
        <v>11000</v>
      </c>
      <c r="F39" s="95">
        <f t="shared" si="1"/>
        <v>10701.288961908071</v>
      </c>
      <c r="G39" s="95">
        <f t="shared" si="4"/>
        <v>298.71103809192937</v>
      </c>
      <c r="H39" s="95">
        <f t="shared" si="2"/>
        <v>356410.92102551047</v>
      </c>
      <c r="N39"/>
      <c r="O39" s="4">
        <v>22</v>
      </c>
      <c r="P39" s="4">
        <f t="shared" si="8"/>
        <v>595071.54279614042</v>
      </c>
      <c r="Q39" s="4">
        <f t="shared" si="9"/>
        <v>594171.54279614042</v>
      </c>
      <c r="R39" s="4">
        <f t="shared" si="10"/>
        <v>900</v>
      </c>
      <c r="S39" s="4">
        <f t="shared" si="11"/>
        <v>5891.7974534271334</v>
      </c>
      <c r="T39" s="94">
        <f t="shared" si="6"/>
        <v>-4991.7974534271334</v>
      </c>
      <c r="U39" s="94">
        <f t="shared" si="7"/>
        <v>600113.25822410185</v>
      </c>
      <c r="V39" t="str">
        <f>""</f>
        <v/>
      </c>
      <c r="W39" s="88"/>
    </row>
    <row r="40" spans="2:23" x14ac:dyDescent="0.25">
      <c r="B40" s="95">
        <v>24</v>
      </c>
      <c r="C40" s="95">
        <f t="shared" si="5"/>
        <v>356410.92102551047</v>
      </c>
      <c r="D40" s="95">
        <f t="shared" si="0"/>
        <v>356103.2486562758</v>
      </c>
      <c r="E40" s="95">
        <f t="shared" si="3"/>
        <v>11000</v>
      </c>
      <c r="F40" s="95">
        <f t="shared" si="1"/>
        <v>10692.327630765314</v>
      </c>
      <c r="G40" s="95">
        <f t="shared" si="4"/>
        <v>307.6723692346859</v>
      </c>
      <c r="H40" s="95">
        <f t="shared" si="2"/>
        <v>356103.2486562758</v>
      </c>
      <c r="N40"/>
      <c r="O40" s="4">
        <v>23</v>
      </c>
      <c r="P40" s="4">
        <f t="shared" si="8"/>
        <v>600113.25822410185</v>
      </c>
      <c r="Q40" s="4">
        <f t="shared" si="9"/>
        <v>599213.25822410185</v>
      </c>
      <c r="R40" s="4">
        <f t="shared" si="10"/>
        <v>900</v>
      </c>
      <c r="S40" s="4">
        <f t="shared" si="11"/>
        <v>5941.7154279614042</v>
      </c>
      <c r="T40" s="94">
        <f t="shared" si="6"/>
        <v>-5041.7154279614042</v>
      </c>
      <c r="U40" s="94">
        <f t="shared" si="7"/>
        <v>605205.39080634282</v>
      </c>
      <c r="V40" t="str">
        <f>""</f>
        <v/>
      </c>
      <c r="W40" s="88"/>
    </row>
    <row r="41" spans="2:23" x14ac:dyDescent="0.25">
      <c r="B41" s="95">
        <v>25</v>
      </c>
      <c r="C41" s="95">
        <f t="shared" si="5"/>
        <v>356103.2486562758</v>
      </c>
      <c r="D41" s="95">
        <f t="shared" si="0"/>
        <v>355786.34611596406</v>
      </c>
      <c r="E41" s="95">
        <f t="shared" si="3"/>
        <v>11000</v>
      </c>
      <c r="F41" s="95">
        <f t="shared" si="1"/>
        <v>10683.097459688273</v>
      </c>
      <c r="G41" s="95">
        <f t="shared" si="4"/>
        <v>316.90254031172663</v>
      </c>
      <c r="H41" s="95">
        <f t="shared" si="2"/>
        <v>355786.34611596406</v>
      </c>
      <c r="N41"/>
      <c r="O41" s="4">
        <v>24</v>
      </c>
      <c r="P41" s="4">
        <f t="shared" si="8"/>
        <v>605205.39080634282</v>
      </c>
      <c r="Q41" s="4">
        <f t="shared" si="9"/>
        <v>604305.39080634282</v>
      </c>
      <c r="R41" s="4">
        <f t="shared" si="10"/>
        <v>900</v>
      </c>
      <c r="S41" s="4">
        <f t="shared" si="11"/>
        <v>5992.132582241019</v>
      </c>
      <c r="T41" s="94">
        <f t="shared" si="6"/>
        <v>-5092.132582241019</v>
      </c>
      <c r="U41" s="94">
        <f t="shared" si="7"/>
        <v>610348.44471440627</v>
      </c>
      <c r="V41" t="str">
        <f>""</f>
        <v/>
      </c>
      <c r="W41" s="88"/>
    </row>
    <row r="42" spans="2:23" x14ac:dyDescent="0.25">
      <c r="B42" s="95">
        <v>26</v>
      </c>
      <c r="C42" s="95">
        <f t="shared" si="5"/>
        <v>355786.34611596406</v>
      </c>
      <c r="D42" s="95">
        <f t="shared" si="0"/>
        <v>355459.93649944296</v>
      </c>
      <c r="E42" s="95">
        <f t="shared" si="3"/>
        <v>11000</v>
      </c>
      <c r="F42" s="95">
        <f t="shared" si="1"/>
        <v>10673.590383478921</v>
      </c>
      <c r="G42" s="95">
        <f t="shared" si="4"/>
        <v>326.40961652107944</v>
      </c>
      <c r="H42" s="95">
        <f t="shared" si="2"/>
        <v>355459.93649944296</v>
      </c>
      <c r="N42"/>
      <c r="O42" s="4">
        <v>25</v>
      </c>
      <c r="P42" s="4">
        <f t="shared" si="8"/>
        <v>610348.44471440627</v>
      </c>
      <c r="Q42" s="4">
        <f t="shared" si="9"/>
        <v>609448.44471440627</v>
      </c>
      <c r="R42" s="4">
        <f t="shared" si="10"/>
        <v>900</v>
      </c>
      <c r="S42" s="4">
        <f t="shared" si="11"/>
        <v>6043.053908063428</v>
      </c>
      <c r="T42" s="94">
        <f t="shared" si="6"/>
        <v>-5143.053908063428</v>
      </c>
      <c r="U42" s="94">
        <f t="shared" si="7"/>
        <v>615542.92916155036</v>
      </c>
      <c r="V42" t="str">
        <f>""</f>
        <v/>
      </c>
      <c r="W42" s="88"/>
    </row>
    <row r="43" spans="2:23" x14ac:dyDescent="0.25">
      <c r="B43" s="95">
        <v>27</v>
      </c>
      <c r="C43" s="95">
        <f t="shared" si="5"/>
        <v>355459.93649944296</v>
      </c>
      <c r="D43" s="95">
        <f t="shared" si="0"/>
        <v>355123.73459442623</v>
      </c>
      <c r="E43" s="95">
        <f t="shared" si="3"/>
        <v>11000</v>
      </c>
      <c r="F43" s="95">
        <f t="shared" si="1"/>
        <v>10663.798094983289</v>
      </c>
      <c r="G43" s="95">
        <f t="shared" si="4"/>
        <v>336.20190501671095</v>
      </c>
      <c r="H43" s="95">
        <f t="shared" si="2"/>
        <v>355123.73459442623</v>
      </c>
      <c r="N43"/>
      <c r="O43" s="4">
        <v>26</v>
      </c>
      <c r="P43" s="4">
        <f t="shared" si="8"/>
        <v>615542.92916155036</v>
      </c>
      <c r="Q43" s="4">
        <f t="shared" si="9"/>
        <v>614642.92916155036</v>
      </c>
      <c r="R43" s="4">
        <f t="shared" si="10"/>
        <v>900</v>
      </c>
      <c r="S43" s="4">
        <f t="shared" si="11"/>
        <v>6094.4844471440629</v>
      </c>
      <c r="T43" s="94">
        <f t="shared" si="6"/>
        <v>-5194.4844471440629</v>
      </c>
      <c r="U43" s="94">
        <f t="shared" si="7"/>
        <v>620789.35845316586</v>
      </c>
      <c r="V43" t="str">
        <f>""</f>
        <v/>
      </c>
      <c r="W43" s="88"/>
    </row>
    <row r="44" spans="2:23" x14ac:dyDescent="0.25">
      <c r="B44" s="95">
        <v>28</v>
      </c>
      <c r="C44" s="95">
        <f t="shared" si="5"/>
        <v>355123.73459442623</v>
      </c>
      <c r="D44" s="95">
        <f t="shared" si="0"/>
        <v>354777.44663225906</v>
      </c>
      <c r="E44" s="95">
        <f t="shared" si="3"/>
        <v>11000</v>
      </c>
      <c r="F44" s="95">
        <f t="shared" si="1"/>
        <v>10653.712037832787</v>
      </c>
      <c r="G44" s="95">
        <f t="shared" si="4"/>
        <v>346.28796216721275</v>
      </c>
      <c r="H44" s="95">
        <f t="shared" si="2"/>
        <v>354777.44663225906</v>
      </c>
      <c r="N44"/>
      <c r="O44" s="4">
        <v>27</v>
      </c>
      <c r="P44" s="4">
        <f t="shared" si="8"/>
        <v>620789.35845316586</v>
      </c>
      <c r="Q44" s="4">
        <f t="shared" si="9"/>
        <v>619889.35845316586</v>
      </c>
      <c r="R44" s="4">
        <f t="shared" si="10"/>
        <v>900</v>
      </c>
      <c r="S44" s="4">
        <f t="shared" si="11"/>
        <v>6146.4292916155036</v>
      </c>
      <c r="T44" s="94">
        <f t="shared" si="6"/>
        <v>-5246.4292916155036</v>
      </c>
      <c r="U44" s="94">
        <f t="shared" si="7"/>
        <v>626088.25203769747</v>
      </c>
      <c r="V44" t="str">
        <f>""</f>
        <v/>
      </c>
      <c r="W44" s="88"/>
    </row>
    <row r="45" spans="2:23" x14ac:dyDescent="0.25">
      <c r="B45" s="95">
        <v>29</v>
      </c>
      <c r="C45" s="95">
        <f t="shared" si="5"/>
        <v>354777.44663225906</v>
      </c>
      <c r="D45" s="95">
        <f t="shared" si="0"/>
        <v>354420.77003122686</v>
      </c>
      <c r="E45" s="95">
        <f t="shared" si="3"/>
        <v>11000</v>
      </c>
      <c r="F45" s="95">
        <f t="shared" si="1"/>
        <v>10643.323398967772</v>
      </c>
      <c r="G45" s="95">
        <f t="shared" si="4"/>
        <v>356.67660103222806</v>
      </c>
      <c r="H45" s="95">
        <f t="shared" si="2"/>
        <v>354420.77003122686</v>
      </c>
      <c r="N45"/>
      <c r="O45" s="4">
        <v>28</v>
      </c>
      <c r="P45" s="4">
        <f t="shared" si="8"/>
        <v>626088.25203769747</v>
      </c>
      <c r="Q45" s="4">
        <f t="shared" si="9"/>
        <v>625188.25203769747</v>
      </c>
      <c r="R45" s="4">
        <f t="shared" si="10"/>
        <v>900</v>
      </c>
      <c r="S45" s="4">
        <f t="shared" si="11"/>
        <v>6198.8935845316591</v>
      </c>
      <c r="T45" s="94">
        <f t="shared" si="6"/>
        <v>-5298.8935845316591</v>
      </c>
      <c r="U45" s="94">
        <f t="shared" si="7"/>
        <v>631440.13455807441</v>
      </c>
      <c r="V45" t="str">
        <f>""</f>
        <v/>
      </c>
      <c r="W45" s="88"/>
    </row>
    <row r="46" spans="2:23" x14ac:dyDescent="0.25">
      <c r="B46" s="95">
        <v>30</v>
      </c>
      <c r="C46" s="95">
        <f t="shared" si="5"/>
        <v>354420.77003122686</v>
      </c>
      <c r="D46" s="95">
        <f t="shared" si="0"/>
        <v>354053.39313216368</v>
      </c>
      <c r="E46" s="95">
        <f t="shared" si="3"/>
        <v>11000</v>
      </c>
      <c r="F46" s="95">
        <f t="shared" si="1"/>
        <v>10632.623100936806</v>
      </c>
      <c r="G46" s="95">
        <f t="shared" si="4"/>
        <v>367.37689906319429</v>
      </c>
      <c r="H46" s="95">
        <f t="shared" si="2"/>
        <v>354053.39313216368</v>
      </c>
      <c r="N46"/>
      <c r="O46" s="4">
        <v>29</v>
      </c>
      <c r="P46" s="4">
        <f t="shared" si="8"/>
        <v>631440.13455807441</v>
      </c>
      <c r="Q46" s="4">
        <f t="shared" si="9"/>
        <v>630540.13455807441</v>
      </c>
      <c r="R46" s="4">
        <f t="shared" si="10"/>
        <v>900</v>
      </c>
      <c r="S46" s="4">
        <f t="shared" si="11"/>
        <v>6251.8825203769748</v>
      </c>
      <c r="T46" s="94">
        <f t="shared" si="6"/>
        <v>-5351.8825203769748</v>
      </c>
      <c r="U46" s="94">
        <f t="shared" si="7"/>
        <v>636845.53590365511</v>
      </c>
      <c r="V46" t="str">
        <f>""</f>
        <v/>
      </c>
      <c r="W46" s="88"/>
    </row>
    <row r="47" spans="2:23" x14ac:dyDescent="0.25">
      <c r="B47" s="95">
        <v>31</v>
      </c>
      <c r="C47" s="95">
        <f t="shared" si="5"/>
        <v>354053.39313216368</v>
      </c>
      <c r="D47" s="95">
        <f t="shared" si="0"/>
        <v>353674.99492612859</v>
      </c>
      <c r="E47" s="95">
        <f t="shared" si="3"/>
        <v>11000</v>
      </c>
      <c r="F47" s="95">
        <f t="shared" si="1"/>
        <v>10621.60179396491</v>
      </c>
      <c r="G47" s="95">
        <f t="shared" si="4"/>
        <v>378.39820603508997</v>
      </c>
      <c r="H47" s="95">
        <f t="shared" si="2"/>
        <v>353674.99492612859</v>
      </c>
      <c r="N47"/>
      <c r="O47" s="4">
        <v>30</v>
      </c>
      <c r="P47" s="4">
        <f t="shared" si="8"/>
        <v>636845.53590365511</v>
      </c>
      <c r="Q47" s="4">
        <f t="shared" si="9"/>
        <v>635945.53590365511</v>
      </c>
      <c r="R47" s="4">
        <f t="shared" si="10"/>
        <v>900</v>
      </c>
      <c r="S47" s="4">
        <f t="shared" si="11"/>
        <v>6305.4013455807444</v>
      </c>
      <c r="T47" s="94">
        <f t="shared" si="6"/>
        <v>-5405.4013455807444</v>
      </c>
      <c r="U47" s="94">
        <f t="shared" si="7"/>
        <v>642304.99126269168</v>
      </c>
      <c r="V47" t="str">
        <f>""</f>
        <v/>
      </c>
      <c r="W47" s="88"/>
    </row>
    <row r="48" spans="2:23" x14ac:dyDescent="0.25">
      <c r="B48" s="95">
        <v>32</v>
      </c>
      <c r="C48" s="95">
        <f t="shared" si="5"/>
        <v>353674.99492612859</v>
      </c>
      <c r="D48" s="95">
        <f t="shared" si="0"/>
        <v>353285.24477391248</v>
      </c>
      <c r="E48" s="95">
        <f t="shared" si="3"/>
        <v>11000</v>
      </c>
      <c r="F48" s="95">
        <f t="shared" si="1"/>
        <v>10610.249847783858</v>
      </c>
      <c r="G48" s="95">
        <f t="shared" si="4"/>
        <v>389.75015221614194</v>
      </c>
      <c r="H48" s="95">
        <f t="shared" si="2"/>
        <v>353285.24477391248</v>
      </c>
      <c r="N48"/>
      <c r="O48" s="4">
        <v>31</v>
      </c>
      <c r="P48" s="4">
        <f t="shared" si="8"/>
        <v>642304.99126269168</v>
      </c>
      <c r="Q48" s="4">
        <f t="shared" si="9"/>
        <v>641404.99126269168</v>
      </c>
      <c r="R48" s="4">
        <f t="shared" si="10"/>
        <v>900</v>
      </c>
      <c r="S48" s="4">
        <f t="shared" si="11"/>
        <v>6359.4553590365513</v>
      </c>
      <c r="T48" s="94">
        <f t="shared" si="6"/>
        <v>-5459.4553590365513</v>
      </c>
      <c r="U48" s="94">
        <f t="shared" si="7"/>
        <v>647819.04117531865</v>
      </c>
      <c r="V48" t="str">
        <f>""</f>
        <v/>
      </c>
      <c r="W48" s="88"/>
    </row>
    <row r="49" spans="2:23" x14ac:dyDescent="0.25">
      <c r="B49" s="95">
        <v>33</v>
      </c>
      <c r="C49" s="95">
        <f t="shared" si="5"/>
        <v>353285.24477391248</v>
      </c>
      <c r="D49" s="95">
        <f t="shared" ref="D49:D80" si="12">C49*(1+$D$5)-E49</f>
        <v>352883.80211712985</v>
      </c>
      <c r="E49" s="95">
        <f t="shared" si="3"/>
        <v>11000</v>
      </c>
      <c r="F49" s="95">
        <f t="shared" ref="F49:F80" si="13">C49*$D$5</f>
        <v>10598.557343217373</v>
      </c>
      <c r="G49" s="95">
        <f t="shared" si="4"/>
        <v>401.44265678262673</v>
      </c>
      <c r="H49" s="95">
        <f t="shared" ref="H49:H80" si="14">C49*(1+$D$5)-E49</f>
        <v>352883.80211712985</v>
      </c>
      <c r="N49"/>
      <c r="O49" s="4">
        <v>32</v>
      </c>
      <c r="P49" s="4">
        <f t="shared" si="8"/>
        <v>647819.04117531865</v>
      </c>
      <c r="Q49" s="4">
        <f t="shared" si="9"/>
        <v>646919.04117531865</v>
      </c>
      <c r="R49" s="4">
        <f t="shared" si="10"/>
        <v>900</v>
      </c>
      <c r="S49" s="4">
        <f t="shared" si="11"/>
        <v>6414.0499126269169</v>
      </c>
      <c r="T49" s="94">
        <f t="shared" si="6"/>
        <v>-5514.0499126269169</v>
      </c>
      <c r="U49" s="94">
        <f t="shared" si="7"/>
        <v>653388.23158707179</v>
      </c>
      <c r="V49" t="str">
        <f>""</f>
        <v/>
      </c>
      <c r="W49" s="88"/>
    </row>
    <row r="50" spans="2:23" x14ac:dyDescent="0.25">
      <c r="B50" s="95">
        <v>34</v>
      </c>
      <c r="C50" s="95">
        <f t="shared" si="5"/>
        <v>352883.80211712985</v>
      </c>
      <c r="D50" s="95">
        <f t="shared" si="12"/>
        <v>352470.31618064374</v>
      </c>
      <c r="E50" s="95">
        <f t="shared" si="3"/>
        <v>11000</v>
      </c>
      <c r="F50" s="95">
        <f t="shared" si="13"/>
        <v>10586.514063513894</v>
      </c>
      <c r="G50" s="95">
        <f t="shared" si="4"/>
        <v>413.48593648610586</v>
      </c>
      <c r="H50" s="95">
        <f t="shared" si="14"/>
        <v>352470.31618064374</v>
      </c>
      <c r="N50"/>
      <c r="O50" s="4">
        <v>33</v>
      </c>
      <c r="P50" s="4">
        <f t="shared" si="8"/>
        <v>653388.23158707179</v>
      </c>
      <c r="Q50" s="4">
        <f t="shared" si="9"/>
        <v>652488.23158707179</v>
      </c>
      <c r="R50" s="4">
        <f t="shared" si="10"/>
        <v>900</v>
      </c>
      <c r="S50" s="4">
        <f t="shared" si="11"/>
        <v>6469.1904117531867</v>
      </c>
      <c r="T50" s="94">
        <f t="shared" si="6"/>
        <v>-5569.1904117531867</v>
      </c>
      <c r="U50" s="94">
        <f t="shared" si="7"/>
        <v>659013.11390294251</v>
      </c>
      <c r="V50" t="str">
        <f>""</f>
        <v/>
      </c>
      <c r="W50" s="88"/>
    </row>
    <row r="51" spans="2:23" x14ac:dyDescent="0.25">
      <c r="B51" s="95">
        <v>35</v>
      </c>
      <c r="C51" s="95">
        <f t="shared" si="5"/>
        <v>352470.31618064374</v>
      </c>
      <c r="D51" s="95">
        <f t="shared" si="12"/>
        <v>352044.42566606309</v>
      </c>
      <c r="E51" s="95">
        <f t="shared" si="3"/>
        <v>11000</v>
      </c>
      <c r="F51" s="95">
        <f t="shared" si="13"/>
        <v>10574.109485419312</v>
      </c>
      <c r="G51" s="95">
        <f t="shared" si="4"/>
        <v>425.89051458068752</v>
      </c>
      <c r="H51" s="95">
        <f t="shared" si="14"/>
        <v>352044.42566606309</v>
      </c>
      <c r="N51"/>
      <c r="O51" s="4">
        <v>34</v>
      </c>
      <c r="P51" s="4">
        <f t="shared" si="8"/>
        <v>659013.11390294251</v>
      </c>
      <c r="Q51" s="4">
        <f t="shared" si="9"/>
        <v>658113.11390294251</v>
      </c>
      <c r="R51" s="4">
        <f t="shared" si="10"/>
        <v>900</v>
      </c>
      <c r="S51" s="4">
        <f t="shared" si="11"/>
        <v>6524.8823158707182</v>
      </c>
      <c r="T51" s="94">
        <f t="shared" si="6"/>
        <v>-5624.8823158707182</v>
      </c>
      <c r="U51" s="94">
        <f t="shared" si="7"/>
        <v>664694.24504197191</v>
      </c>
      <c r="V51" t="str">
        <f>""</f>
        <v/>
      </c>
      <c r="W51" s="88"/>
    </row>
    <row r="52" spans="2:23" x14ac:dyDescent="0.25">
      <c r="B52" s="95">
        <v>36</v>
      </c>
      <c r="C52" s="95">
        <f t="shared" si="5"/>
        <v>352044.42566606309</v>
      </c>
      <c r="D52" s="95">
        <f t="shared" si="12"/>
        <v>351605.75843604497</v>
      </c>
      <c r="E52" s="95">
        <f t="shared" si="3"/>
        <v>11000</v>
      </c>
      <c r="F52" s="95">
        <f t="shared" si="13"/>
        <v>10561.332769981893</v>
      </c>
      <c r="G52" s="95">
        <f t="shared" si="4"/>
        <v>438.66723001810715</v>
      </c>
      <c r="H52" s="95">
        <f t="shared" si="14"/>
        <v>351605.75843604497</v>
      </c>
      <c r="N52"/>
      <c r="O52" s="4">
        <v>35</v>
      </c>
      <c r="P52" s="4">
        <f t="shared" si="8"/>
        <v>664694.24504197191</v>
      </c>
      <c r="Q52" s="4">
        <f t="shared" si="9"/>
        <v>663794.24504197191</v>
      </c>
      <c r="R52" s="4">
        <f t="shared" si="10"/>
        <v>900</v>
      </c>
      <c r="S52" s="4">
        <f t="shared" si="11"/>
        <v>6581.131139029425</v>
      </c>
      <c r="T52" s="94">
        <f t="shared" si="6"/>
        <v>-5681.131139029425</v>
      </c>
      <c r="U52" s="94">
        <f t="shared" si="7"/>
        <v>670432.18749239168</v>
      </c>
      <c r="V52" t="str">
        <f>""</f>
        <v/>
      </c>
      <c r="W52" s="88"/>
    </row>
    <row r="53" spans="2:23" x14ac:dyDescent="0.25">
      <c r="B53" s="95">
        <v>37</v>
      </c>
      <c r="C53" s="95">
        <f t="shared" si="5"/>
        <v>351605.75843604497</v>
      </c>
      <c r="D53" s="95">
        <f t="shared" si="12"/>
        <v>351153.93118912634</v>
      </c>
      <c r="E53" s="95">
        <f t="shared" si="3"/>
        <v>11000</v>
      </c>
      <c r="F53" s="95">
        <f t="shared" si="13"/>
        <v>10548.17275308135</v>
      </c>
      <c r="G53" s="95">
        <f t="shared" si="4"/>
        <v>451.82724691865042</v>
      </c>
      <c r="H53" s="95">
        <f t="shared" si="14"/>
        <v>351153.93118912634</v>
      </c>
      <c r="N53"/>
      <c r="O53" s="4">
        <v>36</v>
      </c>
      <c r="P53" s="4">
        <f t="shared" si="8"/>
        <v>670432.18749239168</v>
      </c>
      <c r="Q53" s="4">
        <f t="shared" si="9"/>
        <v>669532.18749239168</v>
      </c>
      <c r="R53" s="4">
        <f t="shared" si="10"/>
        <v>900</v>
      </c>
      <c r="S53" s="4">
        <f t="shared" si="11"/>
        <v>6637.9424504197195</v>
      </c>
      <c r="T53" s="94">
        <f t="shared" si="6"/>
        <v>-5737.9424504197195</v>
      </c>
      <c r="U53" s="94">
        <f t="shared" si="7"/>
        <v>676227.50936731556</v>
      </c>
      <c r="V53" t="str">
        <f>""</f>
        <v/>
      </c>
      <c r="W53" s="88"/>
    </row>
    <row r="54" spans="2:23" x14ac:dyDescent="0.25">
      <c r="B54" s="95">
        <v>38</v>
      </c>
      <c r="C54" s="95">
        <f t="shared" si="5"/>
        <v>351153.93118912634</v>
      </c>
      <c r="D54" s="95">
        <f t="shared" si="12"/>
        <v>350688.54912480013</v>
      </c>
      <c r="E54" s="95">
        <f t="shared" si="3"/>
        <v>11000</v>
      </c>
      <c r="F54" s="95">
        <f t="shared" si="13"/>
        <v>10534.61793567379</v>
      </c>
      <c r="G54" s="95">
        <f t="shared" si="4"/>
        <v>465.38206432620973</v>
      </c>
      <c r="H54" s="95">
        <f t="shared" si="14"/>
        <v>350688.54912480013</v>
      </c>
      <c r="N54"/>
      <c r="O54" s="4">
        <v>37</v>
      </c>
      <c r="P54" s="4">
        <f t="shared" si="8"/>
        <v>676227.50936731556</v>
      </c>
      <c r="Q54" s="4">
        <f t="shared" si="9"/>
        <v>675327.50936731556</v>
      </c>
      <c r="R54" s="4">
        <f t="shared" si="10"/>
        <v>900</v>
      </c>
      <c r="S54" s="4">
        <f t="shared" si="11"/>
        <v>6695.3218749239168</v>
      </c>
      <c r="T54" s="94">
        <f t="shared" si="6"/>
        <v>-5795.3218749239168</v>
      </c>
      <c r="U54" s="94">
        <f t="shared" si="7"/>
        <v>682080.78446098871</v>
      </c>
      <c r="V54" t="str">
        <f>""</f>
        <v/>
      </c>
      <c r="W54" s="88"/>
    </row>
    <row r="55" spans="2:23" x14ac:dyDescent="0.25">
      <c r="B55" s="95">
        <v>39</v>
      </c>
      <c r="C55" s="95">
        <f t="shared" si="5"/>
        <v>350688.54912480013</v>
      </c>
      <c r="D55" s="95">
        <f t="shared" si="12"/>
        <v>350209.20559854415</v>
      </c>
      <c r="E55" s="95">
        <f t="shared" si="3"/>
        <v>11000</v>
      </c>
      <c r="F55" s="95">
        <f t="shared" si="13"/>
        <v>10520.656473744004</v>
      </c>
      <c r="G55" s="95">
        <f t="shared" si="4"/>
        <v>479.34352625599604</v>
      </c>
      <c r="H55" s="95">
        <f t="shared" si="14"/>
        <v>350209.20559854415</v>
      </c>
      <c r="N55"/>
      <c r="O55" s="4">
        <v>38</v>
      </c>
      <c r="P55" s="4">
        <f t="shared" si="8"/>
        <v>682080.78446098871</v>
      </c>
      <c r="Q55" s="4">
        <f t="shared" si="9"/>
        <v>681180.78446098871</v>
      </c>
      <c r="R55" s="4">
        <f t="shared" si="10"/>
        <v>900</v>
      </c>
      <c r="S55" s="4">
        <f t="shared" si="11"/>
        <v>6753.2750936731554</v>
      </c>
      <c r="T55" s="94">
        <f t="shared" si="6"/>
        <v>-5853.2750936731554</v>
      </c>
      <c r="U55" s="94">
        <f t="shared" si="7"/>
        <v>687992.59230559855</v>
      </c>
      <c r="V55" t="str">
        <f>""</f>
        <v/>
      </c>
      <c r="W55" s="88"/>
    </row>
    <row r="56" spans="2:23" x14ac:dyDescent="0.25">
      <c r="B56" s="95">
        <v>40</v>
      </c>
      <c r="C56" s="95">
        <f t="shared" si="5"/>
        <v>350209.20559854415</v>
      </c>
      <c r="D56" s="95">
        <f t="shared" si="12"/>
        <v>349715.48176650051</v>
      </c>
      <c r="E56" s="95">
        <f t="shared" si="3"/>
        <v>11000</v>
      </c>
      <c r="F56" s="95">
        <f t="shared" si="13"/>
        <v>10506.276167956325</v>
      </c>
      <c r="G56" s="95">
        <f t="shared" si="4"/>
        <v>493.72383204367543</v>
      </c>
      <c r="H56" s="95">
        <f t="shared" si="14"/>
        <v>349715.48176650051</v>
      </c>
      <c r="N56"/>
      <c r="O56" s="4">
        <v>39</v>
      </c>
      <c r="P56" s="4">
        <f t="shared" si="8"/>
        <v>687992.59230559855</v>
      </c>
      <c r="Q56" s="4">
        <f t="shared" si="9"/>
        <v>687092.59230559855</v>
      </c>
      <c r="R56" s="4">
        <f t="shared" si="10"/>
        <v>900</v>
      </c>
      <c r="S56" s="4">
        <f t="shared" si="11"/>
        <v>6811.8078446098871</v>
      </c>
      <c r="T56" s="94">
        <f t="shared" si="6"/>
        <v>-5911.8078446098871</v>
      </c>
      <c r="U56" s="94">
        <f t="shared" si="7"/>
        <v>693963.51822865452</v>
      </c>
      <c r="V56" t="str">
        <f>""</f>
        <v/>
      </c>
      <c r="W56" s="88"/>
    </row>
    <row r="57" spans="2:23" x14ac:dyDescent="0.25">
      <c r="B57" s="95">
        <v>41</v>
      </c>
      <c r="C57" s="95">
        <f t="shared" si="5"/>
        <v>349715.48176650051</v>
      </c>
      <c r="D57" s="95">
        <f t="shared" si="12"/>
        <v>349206.94621949556</v>
      </c>
      <c r="E57" s="95">
        <f t="shared" si="3"/>
        <v>11000</v>
      </c>
      <c r="F57" s="95">
        <f t="shared" si="13"/>
        <v>10491.464452995015</v>
      </c>
      <c r="G57" s="95">
        <f t="shared" si="4"/>
        <v>508.53554700498535</v>
      </c>
      <c r="H57" s="95">
        <f t="shared" si="14"/>
        <v>349206.94621949556</v>
      </c>
      <c r="N57"/>
      <c r="O57" s="4">
        <v>40</v>
      </c>
      <c r="P57" s="4">
        <f t="shared" si="8"/>
        <v>693963.51822865452</v>
      </c>
      <c r="Q57" s="4">
        <f t="shared" si="9"/>
        <v>693063.51822865452</v>
      </c>
      <c r="R57" s="4">
        <f t="shared" si="10"/>
        <v>900</v>
      </c>
      <c r="S57" s="4">
        <f t="shared" si="11"/>
        <v>6870.9259230559855</v>
      </c>
      <c r="T57" s="94">
        <f t="shared" si="6"/>
        <v>-5970.9259230559855</v>
      </c>
      <c r="U57" s="94">
        <f t="shared" si="7"/>
        <v>699994.15341094101</v>
      </c>
      <c r="V57" t="str">
        <f>""</f>
        <v/>
      </c>
      <c r="W57" s="88"/>
    </row>
    <row r="58" spans="2:23" x14ac:dyDescent="0.25">
      <c r="B58" s="95">
        <v>42</v>
      </c>
      <c r="C58" s="95">
        <f t="shared" si="5"/>
        <v>349206.94621949556</v>
      </c>
      <c r="D58" s="95">
        <f t="shared" si="12"/>
        <v>348683.15460608044</v>
      </c>
      <c r="E58" s="95">
        <f t="shared" si="3"/>
        <v>11000</v>
      </c>
      <c r="F58" s="95">
        <f t="shared" si="13"/>
        <v>10476.208386584867</v>
      </c>
      <c r="G58" s="95">
        <f t="shared" si="4"/>
        <v>523.79161341513282</v>
      </c>
      <c r="H58" s="95">
        <f t="shared" si="14"/>
        <v>348683.15460608044</v>
      </c>
      <c r="N58"/>
      <c r="O58" s="4">
        <v>41</v>
      </c>
      <c r="P58" s="4">
        <f t="shared" si="8"/>
        <v>699994.15341094101</v>
      </c>
      <c r="Q58" s="4">
        <f t="shared" si="9"/>
        <v>699094.15341094101</v>
      </c>
      <c r="R58" s="4">
        <f t="shared" si="10"/>
        <v>900</v>
      </c>
      <c r="S58" s="4">
        <f t="shared" si="11"/>
        <v>6930.6351822865454</v>
      </c>
      <c r="T58" s="94">
        <f t="shared" si="6"/>
        <v>-6030.6351822865454</v>
      </c>
      <c r="U58" s="94">
        <f t="shared" si="7"/>
        <v>706085.09494505043</v>
      </c>
      <c r="V58" t="str">
        <f>""</f>
        <v/>
      </c>
      <c r="W58" s="88"/>
    </row>
    <row r="59" spans="2:23" x14ac:dyDescent="0.25">
      <c r="B59" s="95">
        <v>43</v>
      </c>
      <c r="C59" s="95">
        <f t="shared" si="5"/>
        <v>348683.15460608044</v>
      </c>
      <c r="D59" s="95">
        <f t="shared" si="12"/>
        <v>348143.64924426284</v>
      </c>
      <c r="E59" s="95">
        <f t="shared" si="3"/>
        <v>11000</v>
      </c>
      <c r="F59" s="95">
        <f t="shared" si="13"/>
        <v>10460.494638182412</v>
      </c>
      <c r="G59" s="95">
        <f t="shared" si="4"/>
        <v>539.50536181758798</v>
      </c>
      <c r="H59" s="95">
        <f t="shared" si="14"/>
        <v>348143.64924426284</v>
      </c>
      <c r="N59"/>
      <c r="O59" s="4">
        <v>42</v>
      </c>
      <c r="P59" s="4">
        <f t="shared" si="8"/>
        <v>706085.09494505043</v>
      </c>
      <c r="Q59" s="4">
        <f t="shared" si="9"/>
        <v>705185.09494505043</v>
      </c>
      <c r="R59" s="4">
        <f t="shared" si="10"/>
        <v>900</v>
      </c>
      <c r="S59" s="4">
        <f t="shared" si="11"/>
        <v>6990.94153410941</v>
      </c>
      <c r="T59" s="94">
        <f t="shared" si="6"/>
        <v>-6090.94153410941</v>
      </c>
      <c r="U59" s="94">
        <f t="shared" si="7"/>
        <v>712236.94589450094</v>
      </c>
      <c r="V59" t="str">
        <f>""</f>
        <v/>
      </c>
      <c r="W59" s="88"/>
    </row>
    <row r="60" spans="2:23" x14ac:dyDescent="0.25">
      <c r="B60" s="95">
        <v>44</v>
      </c>
      <c r="C60" s="95">
        <f t="shared" si="5"/>
        <v>348143.64924426284</v>
      </c>
      <c r="D60" s="95">
        <f t="shared" si="12"/>
        <v>347587.95872159075</v>
      </c>
      <c r="E60" s="95">
        <f t="shared" si="3"/>
        <v>11000</v>
      </c>
      <c r="F60" s="95">
        <f t="shared" si="13"/>
        <v>10444.309477327884</v>
      </c>
      <c r="G60" s="95">
        <f t="shared" si="4"/>
        <v>555.69052267211555</v>
      </c>
      <c r="H60" s="95">
        <f t="shared" si="14"/>
        <v>347587.95872159075</v>
      </c>
      <c r="N60"/>
      <c r="O60" s="4">
        <v>43</v>
      </c>
      <c r="P60" s="4">
        <f t="shared" si="8"/>
        <v>712236.94589450094</v>
      </c>
      <c r="Q60" s="4">
        <f t="shared" si="9"/>
        <v>711336.94589450094</v>
      </c>
      <c r="R60" s="4">
        <f t="shared" si="10"/>
        <v>900</v>
      </c>
      <c r="S60" s="4">
        <f t="shared" si="11"/>
        <v>7051.8509494505042</v>
      </c>
      <c r="T60" s="94">
        <f t="shared" si="6"/>
        <v>-6151.8509494505042</v>
      </c>
      <c r="U60" s="94">
        <f t="shared" si="7"/>
        <v>718450.31535344594</v>
      </c>
      <c r="V60" t="str">
        <f>""</f>
        <v/>
      </c>
      <c r="W60" s="88"/>
    </row>
    <row r="61" spans="2:23" x14ac:dyDescent="0.25">
      <c r="B61" s="95">
        <v>45</v>
      </c>
      <c r="C61" s="95">
        <f t="shared" si="5"/>
        <v>347587.95872159075</v>
      </c>
      <c r="D61" s="95">
        <f t="shared" si="12"/>
        <v>347015.5974832385</v>
      </c>
      <c r="E61" s="95">
        <f t="shared" si="3"/>
        <v>11000</v>
      </c>
      <c r="F61" s="95">
        <f t="shared" si="13"/>
        <v>10427.638761647722</v>
      </c>
      <c r="G61" s="95">
        <f t="shared" si="4"/>
        <v>572.36123835227772</v>
      </c>
      <c r="H61" s="95">
        <f t="shared" si="14"/>
        <v>347015.5974832385</v>
      </c>
      <c r="N61"/>
      <c r="O61" s="4">
        <v>44</v>
      </c>
      <c r="P61" s="4">
        <f t="shared" si="8"/>
        <v>718450.31535344594</v>
      </c>
      <c r="Q61" s="4">
        <f t="shared" si="9"/>
        <v>717550.31535344594</v>
      </c>
      <c r="R61" s="4">
        <f t="shared" si="10"/>
        <v>900</v>
      </c>
      <c r="S61" s="4">
        <f t="shared" si="11"/>
        <v>7113.3694589450097</v>
      </c>
      <c r="T61" s="94">
        <f t="shared" si="6"/>
        <v>-6213.3694589450097</v>
      </c>
      <c r="U61" s="94">
        <f t="shared" si="7"/>
        <v>724725.81850698043</v>
      </c>
      <c r="V61" t="str">
        <f>""</f>
        <v/>
      </c>
      <c r="W61" s="88"/>
    </row>
    <row r="62" spans="2:23" x14ac:dyDescent="0.25">
      <c r="B62" s="95">
        <v>46</v>
      </c>
      <c r="C62" s="95">
        <f t="shared" si="5"/>
        <v>347015.5974832385</v>
      </c>
      <c r="D62" s="95">
        <f t="shared" si="12"/>
        <v>346426.06540773564</v>
      </c>
      <c r="E62" s="95">
        <f t="shared" si="3"/>
        <v>11000</v>
      </c>
      <c r="F62" s="95">
        <f t="shared" si="13"/>
        <v>10410.467924497154</v>
      </c>
      <c r="G62" s="95">
        <f t="shared" si="4"/>
        <v>589.53207550284606</v>
      </c>
      <c r="H62" s="95">
        <f t="shared" si="14"/>
        <v>346426.06540773564</v>
      </c>
      <c r="N62"/>
      <c r="O62" s="4">
        <v>45</v>
      </c>
      <c r="P62" s="4">
        <f t="shared" si="8"/>
        <v>724725.81850698043</v>
      </c>
      <c r="Q62" s="4">
        <f t="shared" si="9"/>
        <v>723825.81850698043</v>
      </c>
      <c r="R62" s="4">
        <f t="shared" si="10"/>
        <v>900</v>
      </c>
      <c r="S62" s="4">
        <f t="shared" si="11"/>
        <v>7175.5031535344597</v>
      </c>
      <c r="T62" s="94">
        <f t="shared" si="6"/>
        <v>-6275.5031535344597</v>
      </c>
      <c r="U62" s="94">
        <f t="shared" si="7"/>
        <v>731064.07669205021</v>
      </c>
      <c r="V62" t="str">
        <f>""</f>
        <v/>
      </c>
      <c r="W62" s="88"/>
    </row>
    <row r="63" spans="2:23" x14ac:dyDescent="0.25">
      <c r="B63" s="95">
        <v>47</v>
      </c>
      <c r="C63" s="95">
        <f t="shared" si="5"/>
        <v>346426.06540773564</v>
      </c>
      <c r="D63" s="95">
        <f t="shared" si="12"/>
        <v>345818.84736996773</v>
      </c>
      <c r="E63" s="95">
        <f t="shared" si="3"/>
        <v>11000</v>
      </c>
      <c r="F63" s="95">
        <f t="shared" si="13"/>
        <v>10392.781962232069</v>
      </c>
      <c r="G63" s="95">
        <f t="shared" si="4"/>
        <v>607.21803776793058</v>
      </c>
      <c r="H63" s="95">
        <f t="shared" si="14"/>
        <v>345818.84736996773</v>
      </c>
      <c r="N63"/>
      <c r="O63" s="4">
        <v>46</v>
      </c>
      <c r="P63" s="4">
        <f t="shared" si="8"/>
        <v>731064.07669205021</v>
      </c>
      <c r="Q63" s="4">
        <f t="shared" si="9"/>
        <v>730164.07669205021</v>
      </c>
      <c r="R63" s="4">
        <f t="shared" si="10"/>
        <v>900</v>
      </c>
      <c r="S63" s="4">
        <f t="shared" si="11"/>
        <v>7238.2581850698043</v>
      </c>
      <c r="T63" s="94">
        <f t="shared" si="6"/>
        <v>-6338.2581850698043</v>
      </c>
      <c r="U63" s="94">
        <f t="shared" si="7"/>
        <v>737465.71745897073</v>
      </c>
      <c r="V63" t="str">
        <f>""</f>
        <v/>
      </c>
      <c r="W63" s="88"/>
    </row>
    <row r="64" spans="2:23" x14ac:dyDescent="0.25">
      <c r="B64" s="95">
        <v>48</v>
      </c>
      <c r="C64" s="95">
        <f t="shared" si="5"/>
        <v>345818.84736996773</v>
      </c>
      <c r="D64" s="95">
        <f t="shared" si="12"/>
        <v>345193.41279106674</v>
      </c>
      <c r="E64" s="95">
        <f t="shared" si="3"/>
        <v>11000</v>
      </c>
      <c r="F64" s="95">
        <f t="shared" si="13"/>
        <v>10374.565421099031</v>
      </c>
      <c r="G64" s="95">
        <f t="shared" si="4"/>
        <v>625.43457890096943</v>
      </c>
      <c r="H64" s="95">
        <f t="shared" si="14"/>
        <v>345193.41279106674</v>
      </c>
      <c r="N64"/>
      <c r="O64" s="4">
        <v>47</v>
      </c>
      <c r="P64" s="4">
        <f t="shared" si="8"/>
        <v>737465.71745897073</v>
      </c>
      <c r="Q64" s="4">
        <f t="shared" si="9"/>
        <v>736565.71745897073</v>
      </c>
      <c r="R64" s="4">
        <f t="shared" si="10"/>
        <v>900</v>
      </c>
      <c r="S64" s="4">
        <f t="shared" si="11"/>
        <v>7301.6407669205018</v>
      </c>
      <c r="T64" s="94">
        <f t="shared" si="6"/>
        <v>-6401.6407669205018</v>
      </c>
      <c r="U64" s="94">
        <f t="shared" si="7"/>
        <v>743931.37463356042</v>
      </c>
      <c r="V64" t="str">
        <f>""</f>
        <v/>
      </c>
      <c r="W64" s="88"/>
    </row>
    <row r="65" spans="2:23" x14ac:dyDescent="0.25">
      <c r="B65" s="95">
        <v>49</v>
      </c>
      <c r="C65" s="95">
        <f t="shared" si="5"/>
        <v>345193.41279106674</v>
      </c>
      <c r="D65" s="95">
        <f t="shared" si="12"/>
        <v>344549.21517479874</v>
      </c>
      <c r="E65" s="95">
        <f t="shared" si="3"/>
        <v>11000</v>
      </c>
      <c r="F65" s="95">
        <f t="shared" si="13"/>
        <v>10355.802383732002</v>
      </c>
      <c r="G65" s="95">
        <f t="shared" si="4"/>
        <v>644.19761626799846</v>
      </c>
      <c r="H65" s="95">
        <f t="shared" si="14"/>
        <v>344549.21517479874</v>
      </c>
      <c r="N65"/>
      <c r="O65" s="4">
        <v>48</v>
      </c>
      <c r="P65" s="4">
        <f t="shared" si="8"/>
        <v>743931.37463356042</v>
      </c>
      <c r="Q65" s="4">
        <f t="shared" si="9"/>
        <v>743031.37463356042</v>
      </c>
      <c r="R65" s="4">
        <f t="shared" si="10"/>
        <v>900</v>
      </c>
      <c r="S65" s="4">
        <f t="shared" si="11"/>
        <v>7365.6571745897072</v>
      </c>
      <c r="T65" s="94">
        <f t="shared" si="6"/>
        <v>-6465.6571745897072</v>
      </c>
      <c r="U65" s="94">
        <f t="shared" si="7"/>
        <v>750461.68837989599</v>
      </c>
      <c r="V65" t="str">
        <f>""</f>
        <v/>
      </c>
      <c r="W65" s="88"/>
    </row>
    <row r="66" spans="2:23" x14ac:dyDescent="0.25">
      <c r="B66" s="95">
        <v>50</v>
      </c>
      <c r="C66" s="95">
        <f t="shared" si="5"/>
        <v>344549.21517479874</v>
      </c>
      <c r="D66" s="95">
        <f t="shared" si="12"/>
        <v>343885.69163004268</v>
      </c>
      <c r="E66" s="95">
        <f t="shared" si="3"/>
        <v>11000</v>
      </c>
      <c r="F66" s="95">
        <f t="shared" si="13"/>
        <v>10336.476455243961</v>
      </c>
      <c r="G66" s="95">
        <f t="shared" si="4"/>
        <v>663.52354475603897</v>
      </c>
      <c r="H66" s="95">
        <f t="shared" si="14"/>
        <v>343885.69163004268</v>
      </c>
      <c r="N66"/>
      <c r="O66" s="4">
        <v>49</v>
      </c>
      <c r="P66" s="4">
        <f t="shared" si="8"/>
        <v>750461.68837989599</v>
      </c>
      <c r="Q66" s="4">
        <f t="shared" si="9"/>
        <v>749561.68837989599</v>
      </c>
      <c r="R66" s="4">
        <f t="shared" si="10"/>
        <v>900</v>
      </c>
      <c r="S66" s="4">
        <f t="shared" si="11"/>
        <v>7430.3137463356043</v>
      </c>
      <c r="T66" s="94">
        <f t="shared" si="6"/>
        <v>-6530.3137463356043</v>
      </c>
      <c r="U66" s="94">
        <f t="shared" si="7"/>
        <v>757057.30526369496</v>
      </c>
      <c r="V66" t="str">
        <f>""</f>
        <v/>
      </c>
      <c r="W66" s="88"/>
    </row>
    <row r="67" spans="2:23" x14ac:dyDescent="0.25">
      <c r="B67" s="95">
        <v>51</v>
      </c>
      <c r="C67" s="95">
        <f t="shared" si="5"/>
        <v>343885.69163004268</v>
      </c>
      <c r="D67" s="95">
        <f t="shared" si="12"/>
        <v>343202.26237894397</v>
      </c>
      <c r="E67" s="95">
        <f t="shared" si="3"/>
        <v>11000</v>
      </c>
      <c r="F67" s="95">
        <f t="shared" si="13"/>
        <v>10316.57074890128</v>
      </c>
      <c r="G67" s="95">
        <f t="shared" si="4"/>
        <v>683.42925109871976</v>
      </c>
      <c r="H67" s="95">
        <f t="shared" si="14"/>
        <v>343202.26237894397</v>
      </c>
      <c r="N67"/>
      <c r="O67" s="4">
        <v>50</v>
      </c>
      <c r="P67" s="4">
        <f t="shared" si="8"/>
        <v>757057.30526369496</v>
      </c>
      <c r="Q67" s="4">
        <f t="shared" si="9"/>
        <v>756157.30526369496</v>
      </c>
      <c r="R67" s="4">
        <f t="shared" si="10"/>
        <v>900</v>
      </c>
      <c r="S67" s="4">
        <f t="shared" si="11"/>
        <v>7495.6168837989599</v>
      </c>
      <c r="T67" s="94">
        <f t="shared" si="6"/>
        <v>-6595.6168837989599</v>
      </c>
      <c r="U67" s="94">
        <f t="shared" si="7"/>
        <v>763718.87831633189</v>
      </c>
      <c r="V67" t="str">
        <f>""</f>
        <v/>
      </c>
      <c r="W67" s="88"/>
    </row>
    <row r="68" spans="2:23" x14ac:dyDescent="0.25">
      <c r="B68" s="95">
        <v>52</v>
      </c>
      <c r="C68" s="95">
        <f t="shared" si="5"/>
        <v>343202.26237894397</v>
      </c>
      <c r="D68" s="95">
        <f t="shared" si="12"/>
        <v>342498.33025031228</v>
      </c>
      <c r="E68" s="95">
        <f t="shared" si="3"/>
        <v>11000</v>
      </c>
      <c r="F68" s="95">
        <f t="shared" si="13"/>
        <v>10296.067871368319</v>
      </c>
      <c r="G68" s="95">
        <f t="shared" si="4"/>
        <v>703.93212863168083</v>
      </c>
      <c r="H68" s="95">
        <f t="shared" si="14"/>
        <v>342498.33025031228</v>
      </c>
      <c r="N68"/>
      <c r="O68" s="4">
        <v>51</v>
      </c>
      <c r="P68" s="4">
        <f t="shared" si="8"/>
        <v>763718.87831633189</v>
      </c>
      <c r="Q68" s="4">
        <f t="shared" si="9"/>
        <v>762818.87831633189</v>
      </c>
      <c r="R68" s="4">
        <f t="shared" si="10"/>
        <v>900</v>
      </c>
      <c r="S68" s="4">
        <f t="shared" si="11"/>
        <v>7561.5730526369498</v>
      </c>
      <c r="T68" s="94">
        <f t="shared" si="6"/>
        <v>-6661.5730526369498</v>
      </c>
      <c r="U68" s="94">
        <f t="shared" si="7"/>
        <v>770447.06709949521</v>
      </c>
      <c r="V68" t="str">
        <f>""</f>
        <v/>
      </c>
      <c r="W68" s="88"/>
    </row>
    <row r="69" spans="2:23" x14ac:dyDescent="0.25">
      <c r="B69" s="95">
        <v>53</v>
      </c>
      <c r="C69" s="95">
        <f t="shared" si="5"/>
        <v>342498.33025031228</v>
      </c>
      <c r="D69" s="95">
        <f t="shared" si="12"/>
        <v>341773.28015782166</v>
      </c>
      <c r="E69" s="95">
        <f t="shared" si="3"/>
        <v>11000</v>
      </c>
      <c r="F69" s="95">
        <f t="shared" si="13"/>
        <v>10274.949907509368</v>
      </c>
      <c r="G69" s="95">
        <f t="shared" si="4"/>
        <v>725.05009249063187</v>
      </c>
      <c r="H69" s="95">
        <f t="shared" si="14"/>
        <v>341773.28015782166</v>
      </c>
      <c r="N69"/>
      <c r="O69" s="4">
        <v>52</v>
      </c>
      <c r="P69" s="4">
        <f t="shared" si="8"/>
        <v>770447.06709949521</v>
      </c>
      <c r="Q69" s="4">
        <f t="shared" si="9"/>
        <v>769547.06709949521</v>
      </c>
      <c r="R69" s="4">
        <f t="shared" si="10"/>
        <v>900</v>
      </c>
      <c r="S69" s="4">
        <f t="shared" si="11"/>
        <v>7628.1887831633194</v>
      </c>
      <c r="T69" s="94">
        <f t="shared" si="6"/>
        <v>-6728.1887831633194</v>
      </c>
      <c r="U69" s="94">
        <f t="shared" si="7"/>
        <v>777242.53777049016</v>
      </c>
      <c r="V69" t="str">
        <f>""</f>
        <v/>
      </c>
      <c r="W69" s="88"/>
    </row>
    <row r="70" spans="2:23" x14ac:dyDescent="0.25">
      <c r="B70" s="95">
        <v>54</v>
      </c>
      <c r="C70" s="95">
        <f t="shared" si="5"/>
        <v>341773.28015782166</v>
      </c>
      <c r="D70" s="95">
        <f t="shared" si="12"/>
        <v>341026.47856255632</v>
      </c>
      <c r="E70" s="95">
        <f t="shared" si="3"/>
        <v>11000</v>
      </c>
      <c r="F70" s="95">
        <f t="shared" si="13"/>
        <v>10253.198404734649</v>
      </c>
      <c r="G70" s="95">
        <f t="shared" si="4"/>
        <v>746.80159526535135</v>
      </c>
      <c r="H70" s="95">
        <f t="shared" si="14"/>
        <v>341026.47856255632</v>
      </c>
      <c r="N70"/>
      <c r="O70" s="4">
        <v>53</v>
      </c>
      <c r="P70" s="4">
        <f t="shared" si="8"/>
        <v>777242.53777049016</v>
      </c>
      <c r="Q70" s="4">
        <f t="shared" si="9"/>
        <v>776342.53777049016</v>
      </c>
      <c r="R70" s="4">
        <f t="shared" si="10"/>
        <v>900</v>
      </c>
      <c r="S70" s="4">
        <f t="shared" si="11"/>
        <v>7695.4706709949523</v>
      </c>
      <c r="T70" s="94">
        <f t="shared" si="6"/>
        <v>-6795.4706709949523</v>
      </c>
      <c r="U70" s="94">
        <f t="shared" si="7"/>
        <v>784105.96314819506</v>
      </c>
      <c r="V70" t="str">
        <f>""</f>
        <v/>
      </c>
      <c r="W70" s="88"/>
    </row>
    <row r="71" spans="2:23" x14ac:dyDescent="0.25">
      <c r="B71" s="95">
        <v>55</v>
      </c>
      <c r="C71" s="95">
        <f t="shared" si="5"/>
        <v>341026.47856255632</v>
      </c>
      <c r="D71" s="95">
        <f t="shared" si="12"/>
        <v>340257.27291943302</v>
      </c>
      <c r="E71" s="95">
        <f t="shared" si="3"/>
        <v>11000</v>
      </c>
      <c r="F71" s="95">
        <f t="shared" si="13"/>
        <v>10230.79435687669</v>
      </c>
      <c r="G71" s="95">
        <f t="shared" si="4"/>
        <v>769.20564312331044</v>
      </c>
      <c r="H71" s="95">
        <f t="shared" si="14"/>
        <v>340257.27291943302</v>
      </c>
      <c r="N71"/>
      <c r="O71" s="4">
        <v>54</v>
      </c>
      <c r="P71" s="4">
        <f t="shared" si="8"/>
        <v>784105.96314819506</v>
      </c>
      <c r="Q71" s="4">
        <f t="shared" si="9"/>
        <v>783205.96314819506</v>
      </c>
      <c r="R71" s="4">
        <f t="shared" si="10"/>
        <v>900</v>
      </c>
      <c r="S71" s="4">
        <f t="shared" si="11"/>
        <v>7763.4253777049016</v>
      </c>
      <c r="T71" s="94">
        <f t="shared" si="6"/>
        <v>-6863.4253777049016</v>
      </c>
      <c r="U71" s="94">
        <f t="shared" si="7"/>
        <v>791038.02277967706</v>
      </c>
      <c r="V71" t="str">
        <f>""</f>
        <v/>
      </c>
      <c r="W71" s="88"/>
    </row>
    <row r="72" spans="2:23" x14ac:dyDescent="0.25">
      <c r="B72" s="95">
        <v>56</v>
      </c>
      <c r="C72" s="95">
        <f t="shared" si="5"/>
        <v>340257.27291943302</v>
      </c>
      <c r="D72" s="95">
        <f t="shared" si="12"/>
        <v>339464.99110701605</v>
      </c>
      <c r="E72" s="95">
        <f t="shared" si="3"/>
        <v>11000</v>
      </c>
      <c r="F72" s="95">
        <f t="shared" si="13"/>
        <v>10207.71818758299</v>
      </c>
      <c r="G72" s="95">
        <f t="shared" si="4"/>
        <v>792.28181241700986</v>
      </c>
      <c r="H72" s="95">
        <f t="shared" si="14"/>
        <v>339464.99110701605</v>
      </c>
      <c r="N72"/>
      <c r="O72" s="4">
        <v>55</v>
      </c>
      <c r="P72" s="4">
        <f t="shared" si="8"/>
        <v>791038.02277967706</v>
      </c>
      <c r="Q72" s="4">
        <f t="shared" si="9"/>
        <v>790138.02277967706</v>
      </c>
      <c r="R72" s="4">
        <f t="shared" si="10"/>
        <v>900</v>
      </c>
      <c r="S72" s="4">
        <f t="shared" si="11"/>
        <v>7832.0596314819504</v>
      </c>
      <c r="T72" s="94">
        <f t="shared" si="6"/>
        <v>-6932.0596314819504</v>
      </c>
      <c r="U72" s="94">
        <f t="shared" si="7"/>
        <v>798039.4030074738</v>
      </c>
      <c r="V72" t="str">
        <f>""</f>
        <v/>
      </c>
      <c r="W72" s="88"/>
    </row>
    <row r="73" spans="2:23" x14ac:dyDescent="0.25">
      <c r="B73" s="95">
        <v>57</v>
      </c>
      <c r="C73" s="95">
        <f t="shared" si="5"/>
        <v>339464.99110701605</v>
      </c>
      <c r="D73" s="95">
        <f t="shared" si="12"/>
        <v>338648.94084022654</v>
      </c>
      <c r="E73" s="95">
        <f t="shared" si="3"/>
        <v>11000</v>
      </c>
      <c r="F73" s="95">
        <f t="shared" si="13"/>
        <v>10183.94973321048</v>
      </c>
      <c r="G73" s="95">
        <f t="shared" si="4"/>
        <v>816.05026678951981</v>
      </c>
      <c r="H73" s="95">
        <f t="shared" si="14"/>
        <v>338648.94084022654</v>
      </c>
      <c r="N73"/>
      <c r="O73" s="4">
        <v>56</v>
      </c>
      <c r="P73" s="4">
        <f t="shared" si="8"/>
        <v>798039.4030074738</v>
      </c>
      <c r="Q73" s="4">
        <f t="shared" si="9"/>
        <v>797139.4030074738</v>
      </c>
      <c r="R73" s="4">
        <f t="shared" si="10"/>
        <v>900</v>
      </c>
      <c r="S73" s="4">
        <f t="shared" si="11"/>
        <v>7901.3802277967707</v>
      </c>
      <c r="T73" s="94">
        <f t="shared" si="6"/>
        <v>-7001.3802277967707</v>
      </c>
      <c r="U73" s="94">
        <f t="shared" si="7"/>
        <v>805110.7970375485</v>
      </c>
      <c r="V73" t="str">
        <f>""</f>
        <v/>
      </c>
      <c r="W73" s="88"/>
    </row>
    <row r="74" spans="2:23" x14ac:dyDescent="0.25">
      <c r="B74" s="95">
        <v>58</v>
      </c>
      <c r="C74" s="95">
        <f t="shared" si="5"/>
        <v>338648.94084022654</v>
      </c>
      <c r="D74" s="95">
        <f t="shared" si="12"/>
        <v>337808.40906543337</v>
      </c>
      <c r="E74" s="95">
        <f t="shared" si="3"/>
        <v>11000</v>
      </c>
      <c r="F74" s="95">
        <f t="shared" si="13"/>
        <v>10159.468225206796</v>
      </c>
      <c r="G74" s="95">
        <f t="shared" si="4"/>
        <v>840.53177479320402</v>
      </c>
      <c r="H74" s="95">
        <f t="shared" si="14"/>
        <v>337808.40906543337</v>
      </c>
      <c r="N74"/>
      <c r="O74" s="4">
        <v>57</v>
      </c>
      <c r="P74" s="4">
        <f t="shared" si="8"/>
        <v>805110.7970375485</v>
      </c>
      <c r="Q74" s="4">
        <f t="shared" si="9"/>
        <v>804210.7970375485</v>
      </c>
      <c r="R74" s="4">
        <f t="shared" si="10"/>
        <v>900</v>
      </c>
      <c r="S74" s="4">
        <f t="shared" si="11"/>
        <v>7971.3940300747381</v>
      </c>
      <c r="T74" s="94">
        <f t="shared" si="6"/>
        <v>-7071.3940300747381</v>
      </c>
      <c r="U74" s="94">
        <f t="shared" si="7"/>
        <v>812252.90500792395</v>
      </c>
      <c r="V74" t="str">
        <f>""</f>
        <v/>
      </c>
      <c r="W74" s="88"/>
    </row>
    <row r="75" spans="2:23" x14ac:dyDescent="0.25">
      <c r="B75" s="95">
        <v>59</v>
      </c>
      <c r="C75" s="95">
        <f t="shared" si="5"/>
        <v>337808.40906543337</v>
      </c>
      <c r="D75" s="95">
        <f t="shared" si="12"/>
        <v>336942.66133739636</v>
      </c>
      <c r="E75" s="95">
        <f t="shared" si="3"/>
        <v>11000</v>
      </c>
      <c r="F75" s="95">
        <f t="shared" si="13"/>
        <v>10134.252271963001</v>
      </c>
      <c r="G75" s="95">
        <f t="shared" si="4"/>
        <v>865.74772803699852</v>
      </c>
      <c r="H75" s="95">
        <f t="shared" si="14"/>
        <v>336942.66133739636</v>
      </c>
      <c r="N75"/>
      <c r="O75" s="4">
        <v>58</v>
      </c>
      <c r="P75" s="4">
        <f t="shared" si="8"/>
        <v>812252.90500792395</v>
      </c>
      <c r="Q75" s="4">
        <f t="shared" si="9"/>
        <v>811352.90500792395</v>
      </c>
      <c r="R75" s="4">
        <f t="shared" si="10"/>
        <v>900</v>
      </c>
      <c r="S75" s="4">
        <f t="shared" si="11"/>
        <v>8042.1079703754849</v>
      </c>
      <c r="T75" s="94">
        <f t="shared" si="6"/>
        <v>-7142.1079703754849</v>
      </c>
      <c r="U75" s="94">
        <f t="shared" si="7"/>
        <v>819466.43405800324</v>
      </c>
      <c r="V75" t="str">
        <f>""</f>
        <v/>
      </c>
      <c r="W75" s="88"/>
    </row>
    <row r="76" spans="2:23" x14ac:dyDescent="0.25">
      <c r="B76" s="95">
        <v>60</v>
      </c>
      <c r="C76" s="95">
        <f t="shared" si="5"/>
        <v>336942.66133739636</v>
      </c>
      <c r="D76" s="95">
        <f t="shared" si="12"/>
        <v>336050.94117751828</v>
      </c>
      <c r="E76" s="95">
        <f t="shared" si="3"/>
        <v>11000</v>
      </c>
      <c r="F76" s="95">
        <f t="shared" si="13"/>
        <v>10108.27984012189</v>
      </c>
      <c r="G76" s="95">
        <f t="shared" si="4"/>
        <v>891.72015987811028</v>
      </c>
      <c r="H76" s="95">
        <f t="shared" si="14"/>
        <v>336050.94117751828</v>
      </c>
      <c r="N76"/>
      <c r="O76" s="4">
        <v>59</v>
      </c>
      <c r="P76" s="4">
        <f t="shared" si="8"/>
        <v>819466.43405800324</v>
      </c>
      <c r="Q76" s="4">
        <f t="shared" si="9"/>
        <v>818566.43405800324</v>
      </c>
      <c r="R76" s="4">
        <f t="shared" si="10"/>
        <v>900</v>
      </c>
      <c r="S76" s="4">
        <f t="shared" si="11"/>
        <v>8113.5290500792398</v>
      </c>
      <c r="T76" s="94">
        <f t="shared" si="6"/>
        <v>-7213.5290500792398</v>
      </c>
      <c r="U76" s="94">
        <f t="shared" si="7"/>
        <v>826752.09839858324</v>
      </c>
      <c r="V76" t="str">
        <f>""</f>
        <v/>
      </c>
      <c r="W76" s="88"/>
    </row>
    <row r="77" spans="2:23" x14ac:dyDescent="0.25">
      <c r="B77" s="95">
        <v>61</v>
      </c>
      <c r="C77" s="95">
        <f t="shared" si="5"/>
        <v>336050.94117751828</v>
      </c>
      <c r="D77" s="95">
        <f t="shared" si="12"/>
        <v>335132.46941284381</v>
      </c>
      <c r="E77" s="95">
        <f t="shared" si="3"/>
        <v>11000</v>
      </c>
      <c r="F77" s="95">
        <f t="shared" si="13"/>
        <v>10081.528235325548</v>
      </c>
      <c r="G77" s="95">
        <f t="shared" si="4"/>
        <v>918.47176467445206</v>
      </c>
      <c r="H77" s="95">
        <f t="shared" si="14"/>
        <v>335132.46941284381</v>
      </c>
      <c r="N77"/>
      <c r="O77" s="4">
        <v>60</v>
      </c>
      <c r="P77" s="4">
        <f t="shared" si="8"/>
        <v>826752.09839858324</v>
      </c>
      <c r="Q77" s="4">
        <f t="shared" si="9"/>
        <v>825852.09839858324</v>
      </c>
      <c r="R77" s="4">
        <f t="shared" si="10"/>
        <v>900</v>
      </c>
      <c r="S77" s="4">
        <f t="shared" si="11"/>
        <v>8185.6643405800323</v>
      </c>
      <c r="T77" s="94">
        <f t="shared" si="6"/>
        <v>-7285.6643405800323</v>
      </c>
      <c r="U77" s="94">
        <f t="shared" si="7"/>
        <v>834110.6193825691</v>
      </c>
      <c r="V77" t="str">
        <f>""</f>
        <v/>
      </c>
      <c r="W77" s="88"/>
    </row>
    <row r="78" spans="2:23" x14ac:dyDescent="0.25">
      <c r="B78" s="95">
        <v>62</v>
      </c>
      <c r="C78" s="95">
        <f t="shared" si="5"/>
        <v>335132.46941284381</v>
      </c>
      <c r="D78" s="95">
        <f t="shared" si="12"/>
        <v>334186.44349522912</v>
      </c>
      <c r="E78" s="95">
        <f t="shared" si="3"/>
        <v>11000</v>
      </c>
      <c r="F78" s="95">
        <f t="shared" si="13"/>
        <v>10053.974082385314</v>
      </c>
      <c r="G78" s="95">
        <f t="shared" si="4"/>
        <v>946.02591761468648</v>
      </c>
      <c r="H78" s="95">
        <f t="shared" si="14"/>
        <v>334186.44349522912</v>
      </c>
      <c r="N78"/>
      <c r="O78" s="4">
        <v>61</v>
      </c>
      <c r="P78" s="4">
        <f t="shared" si="8"/>
        <v>834110.6193825691</v>
      </c>
      <c r="Q78" s="4">
        <f t="shared" si="9"/>
        <v>833210.6193825691</v>
      </c>
      <c r="R78" s="4">
        <f t="shared" si="10"/>
        <v>900</v>
      </c>
      <c r="S78" s="4">
        <f t="shared" si="11"/>
        <v>8258.5209839858326</v>
      </c>
      <c r="T78" s="94">
        <f t="shared" si="6"/>
        <v>-7358.5209839858326</v>
      </c>
      <c r="U78" s="94">
        <f t="shared" si="7"/>
        <v>841542.72557639482</v>
      </c>
      <c r="V78" t="str">
        <f>""</f>
        <v/>
      </c>
      <c r="W78" s="88"/>
    </row>
    <row r="79" spans="2:23" x14ac:dyDescent="0.25">
      <c r="B79" s="95">
        <v>63</v>
      </c>
      <c r="C79" s="95">
        <f t="shared" si="5"/>
        <v>334186.44349522912</v>
      </c>
      <c r="D79" s="95">
        <f t="shared" si="12"/>
        <v>333212.03680008597</v>
      </c>
      <c r="E79" s="95">
        <f t="shared" si="3"/>
        <v>11000</v>
      </c>
      <c r="F79" s="95">
        <f t="shared" si="13"/>
        <v>10025.593304856873</v>
      </c>
      <c r="G79" s="95">
        <f t="shared" si="4"/>
        <v>974.40669514312685</v>
      </c>
      <c r="H79" s="95">
        <f t="shared" si="14"/>
        <v>333212.03680008597</v>
      </c>
      <c r="N79"/>
      <c r="O79" s="4">
        <v>62</v>
      </c>
      <c r="P79" s="4">
        <f t="shared" si="8"/>
        <v>841542.72557639482</v>
      </c>
      <c r="Q79" s="4">
        <f t="shared" si="9"/>
        <v>840642.72557639482</v>
      </c>
      <c r="R79" s="4">
        <f t="shared" si="10"/>
        <v>900</v>
      </c>
      <c r="S79" s="4">
        <f t="shared" si="11"/>
        <v>8332.1061938256917</v>
      </c>
      <c r="T79" s="94">
        <f t="shared" si="6"/>
        <v>-7432.1061938256917</v>
      </c>
      <c r="U79" s="94">
        <f t="shared" si="7"/>
        <v>849049.15283215872</v>
      </c>
      <c r="V79" t="str">
        <f>""</f>
        <v/>
      </c>
      <c r="W79" s="88"/>
    </row>
    <row r="80" spans="2:23" x14ac:dyDescent="0.25">
      <c r="B80" s="95">
        <v>64</v>
      </c>
      <c r="C80" s="95">
        <f t="shared" si="5"/>
        <v>333212.03680008597</v>
      </c>
      <c r="D80" s="95">
        <f t="shared" si="12"/>
        <v>332208.39790408855</v>
      </c>
      <c r="E80" s="95">
        <f t="shared" si="3"/>
        <v>11000</v>
      </c>
      <c r="F80" s="95">
        <f t="shared" si="13"/>
        <v>9996.3611040025789</v>
      </c>
      <c r="G80" s="95">
        <f t="shared" si="4"/>
        <v>1003.6388959974211</v>
      </c>
      <c r="H80" s="95">
        <f t="shared" si="14"/>
        <v>332208.39790408855</v>
      </c>
      <c r="N80"/>
      <c r="O80" s="4">
        <v>63</v>
      </c>
      <c r="P80" s="4">
        <f t="shared" si="8"/>
        <v>849049.15283215872</v>
      </c>
      <c r="Q80" s="4">
        <f t="shared" si="9"/>
        <v>848149.15283215872</v>
      </c>
      <c r="R80" s="4">
        <f t="shared" si="10"/>
        <v>900</v>
      </c>
      <c r="S80" s="4">
        <f t="shared" si="11"/>
        <v>8406.4272557639488</v>
      </c>
      <c r="T80" s="94">
        <f t="shared" si="6"/>
        <v>-7506.4272557639488</v>
      </c>
      <c r="U80" s="94">
        <f t="shared" si="7"/>
        <v>856630.64436048036</v>
      </c>
      <c r="V80" t="str">
        <f>""</f>
        <v/>
      </c>
      <c r="W80" s="88"/>
    </row>
    <row r="81" spans="2:23" x14ac:dyDescent="0.25">
      <c r="B81" s="95">
        <v>65</v>
      </c>
      <c r="C81" s="95">
        <f t="shared" si="5"/>
        <v>332208.39790408855</v>
      </c>
      <c r="D81" s="95">
        <f t="shared" ref="D81:D112" si="15">C81*(1+$D$5)-E81</f>
        <v>331174.64984121121</v>
      </c>
      <c r="E81" s="95">
        <f t="shared" si="3"/>
        <v>11000</v>
      </c>
      <c r="F81" s="95">
        <f t="shared" ref="F81:F112" si="16">C81*$D$5</f>
        <v>9966.2519371226554</v>
      </c>
      <c r="G81" s="95">
        <f t="shared" si="4"/>
        <v>1033.7480628773446</v>
      </c>
      <c r="H81" s="95">
        <f t="shared" ref="H81:H112" si="17">C81*(1+$D$5)-E81</f>
        <v>331174.64984121121</v>
      </c>
      <c r="N81"/>
      <c r="O81" s="4">
        <v>64</v>
      </c>
      <c r="P81" s="4">
        <f t="shared" si="8"/>
        <v>856630.64436048036</v>
      </c>
      <c r="Q81" s="4">
        <f t="shared" si="9"/>
        <v>855730.64436048036</v>
      </c>
      <c r="R81" s="4">
        <f t="shared" si="10"/>
        <v>900</v>
      </c>
      <c r="S81" s="4">
        <f t="shared" si="11"/>
        <v>8481.4915283215869</v>
      </c>
      <c r="T81" s="94">
        <f t="shared" si="6"/>
        <v>-7581.4915283215869</v>
      </c>
      <c r="U81" s="94">
        <f t="shared" si="7"/>
        <v>864287.95080408512</v>
      </c>
      <c r="V81" t="str">
        <f>""</f>
        <v/>
      </c>
      <c r="W81" s="88"/>
    </row>
    <row r="82" spans="2:23" x14ac:dyDescent="0.25">
      <c r="B82" s="95">
        <v>66</v>
      </c>
      <c r="C82" s="95">
        <f t="shared" si="5"/>
        <v>331174.64984121121</v>
      </c>
      <c r="D82" s="95">
        <f t="shared" si="15"/>
        <v>330109.88933644758</v>
      </c>
      <c r="E82" s="95">
        <f t="shared" ref="E82:E145" si="18">$D$13</f>
        <v>11000</v>
      </c>
      <c r="F82" s="95">
        <f t="shared" si="16"/>
        <v>9935.2394952363356</v>
      </c>
      <c r="G82" s="95">
        <f t="shared" ref="G82:G145" si="19">E82-F82</f>
        <v>1064.7605047636644</v>
      </c>
      <c r="H82" s="95">
        <f t="shared" si="17"/>
        <v>330109.88933644758</v>
      </c>
      <c r="N82"/>
      <c r="O82" s="4">
        <v>65</v>
      </c>
      <c r="P82" s="4">
        <f t="shared" si="8"/>
        <v>864287.95080408512</v>
      </c>
      <c r="Q82" s="4">
        <f t="shared" si="9"/>
        <v>863387.95080408512</v>
      </c>
      <c r="R82" s="4">
        <f t="shared" ref="R82:R145" si="20">IF(O82="","",$R$13)</f>
        <v>900</v>
      </c>
      <c r="S82" s="4">
        <f t="shared" si="11"/>
        <v>8557.3064436048044</v>
      </c>
      <c r="T82" s="94">
        <f t="shared" si="6"/>
        <v>-7657.3064436048044</v>
      </c>
      <c r="U82" s="94">
        <f t="shared" si="7"/>
        <v>872021.83031212597</v>
      </c>
      <c r="V82" t="str">
        <f>""</f>
        <v/>
      </c>
      <c r="W82" s="88"/>
    </row>
    <row r="83" spans="2:23" x14ac:dyDescent="0.25">
      <c r="B83" s="95">
        <v>67</v>
      </c>
      <c r="C83" s="95">
        <f t="shared" ref="C83:C146" si="21">H82</f>
        <v>330109.88933644758</v>
      </c>
      <c r="D83" s="95">
        <f t="shared" si="15"/>
        <v>329013.18601654103</v>
      </c>
      <c r="E83" s="95">
        <f t="shared" si="18"/>
        <v>11000</v>
      </c>
      <c r="F83" s="95">
        <f t="shared" si="16"/>
        <v>9903.2966800934264</v>
      </c>
      <c r="G83" s="95">
        <f t="shared" si="19"/>
        <v>1096.7033199065736</v>
      </c>
      <c r="H83" s="95">
        <f t="shared" si="17"/>
        <v>329013.18601654103</v>
      </c>
      <c r="N83"/>
      <c r="O83" s="4">
        <v>66</v>
      </c>
      <c r="P83" s="4">
        <f t="shared" ref="P83:P146" si="22">IF(O83="","",U82)</f>
        <v>872021.83031212597</v>
      </c>
      <c r="Q83" s="4">
        <f t="shared" ref="Q83:Q146" si="23">IF(O83="","",P83-R83)</f>
        <v>871121.83031212597</v>
      </c>
      <c r="R83" s="4">
        <f t="shared" si="20"/>
        <v>900</v>
      </c>
      <c r="S83" s="4">
        <f t="shared" si="11"/>
        <v>8633.8795080408509</v>
      </c>
      <c r="T83" s="94">
        <f t="shared" ref="T83:T146" si="24">IF(O83="","",R83-S83)</f>
        <v>-7733.8795080408509</v>
      </c>
      <c r="U83" s="94">
        <f t="shared" ref="U83:U146" si="25">IF(O83="","",Q83*(1+$Q$5))</f>
        <v>879833.04861524724</v>
      </c>
      <c r="V83" t="str">
        <f>""</f>
        <v/>
      </c>
      <c r="W83" s="88"/>
    </row>
    <row r="84" spans="2:23" x14ac:dyDescent="0.25">
      <c r="B84" s="95">
        <v>68</v>
      </c>
      <c r="C84" s="95">
        <f t="shared" si="21"/>
        <v>329013.18601654103</v>
      </c>
      <c r="D84" s="95">
        <f t="shared" si="15"/>
        <v>327883.58159703726</v>
      </c>
      <c r="E84" s="95">
        <f t="shared" si="18"/>
        <v>11000</v>
      </c>
      <c r="F84" s="95">
        <f t="shared" si="16"/>
        <v>9870.3955804962297</v>
      </c>
      <c r="G84" s="95">
        <f t="shared" si="19"/>
        <v>1129.6044195037703</v>
      </c>
      <c r="H84" s="95">
        <f t="shared" si="17"/>
        <v>327883.58159703726</v>
      </c>
      <c r="N84"/>
      <c r="O84" s="4">
        <v>67</v>
      </c>
      <c r="P84" s="4">
        <f t="shared" si="22"/>
        <v>879833.04861524724</v>
      </c>
      <c r="Q84" s="4">
        <f t="shared" si="23"/>
        <v>878933.04861524724</v>
      </c>
      <c r="R84" s="4">
        <f t="shared" si="20"/>
        <v>900</v>
      </c>
      <c r="S84" s="4">
        <f t="shared" ref="S84:S147" si="26">IF(O84="","",Q83*$Q$5)</f>
        <v>8711.2183031212589</v>
      </c>
      <c r="T84" s="94">
        <f t="shared" si="24"/>
        <v>-7811.2183031212589</v>
      </c>
      <c r="U84" s="94">
        <f t="shared" si="25"/>
        <v>887722.37910139968</v>
      </c>
      <c r="V84" t="str">
        <f>""</f>
        <v/>
      </c>
      <c r="W84" s="88"/>
    </row>
    <row r="85" spans="2:23" x14ac:dyDescent="0.25">
      <c r="B85" s="95">
        <v>69</v>
      </c>
      <c r="C85" s="95">
        <f t="shared" si="21"/>
        <v>327883.58159703726</v>
      </c>
      <c r="D85" s="95">
        <f t="shared" si="15"/>
        <v>326720.0890449484</v>
      </c>
      <c r="E85" s="95">
        <f t="shared" si="18"/>
        <v>11000</v>
      </c>
      <c r="F85" s="95">
        <f t="shared" si="16"/>
        <v>9836.5074479111172</v>
      </c>
      <c r="G85" s="95">
        <f t="shared" si="19"/>
        <v>1163.4925520888828</v>
      </c>
      <c r="H85" s="95">
        <f t="shared" si="17"/>
        <v>326720.0890449484</v>
      </c>
      <c r="N85"/>
      <c r="O85" s="4">
        <v>68</v>
      </c>
      <c r="P85" s="4">
        <f t="shared" si="22"/>
        <v>887722.37910139968</v>
      </c>
      <c r="Q85" s="4">
        <f t="shared" si="23"/>
        <v>886822.37910139968</v>
      </c>
      <c r="R85" s="4">
        <f t="shared" si="20"/>
        <v>900</v>
      </c>
      <c r="S85" s="4">
        <f t="shared" si="26"/>
        <v>8789.3304861524721</v>
      </c>
      <c r="T85" s="94">
        <f t="shared" si="24"/>
        <v>-7889.3304861524721</v>
      </c>
      <c r="U85" s="94">
        <f t="shared" si="25"/>
        <v>895690.60289241374</v>
      </c>
      <c r="V85" t="str">
        <f>""</f>
        <v/>
      </c>
      <c r="W85" s="88"/>
    </row>
    <row r="86" spans="2:23" x14ac:dyDescent="0.25">
      <c r="B86" s="95">
        <v>70</v>
      </c>
      <c r="C86" s="95">
        <f t="shared" si="21"/>
        <v>326720.0890449484</v>
      </c>
      <c r="D86" s="95">
        <f t="shared" si="15"/>
        <v>325521.69171629683</v>
      </c>
      <c r="E86" s="95">
        <f t="shared" si="18"/>
        <v>11000</v>
      </c>
      <c r="F86" s="95">
        <f t="shared" si="16"/>
        <v>9801.6026713484516</v>
      </c>
      <c r="G86" s="95">
        <f t="shared" si="19"/>
        <v>1198.3973286515484</v>
      </c>
      <c r="H86" s="95">
        <f t="shared" si="17"/>
        <v>325521.69171629683</v>
      </c>
      <c r="N86"/>
      <c r="O86" s="4">
        <v>69</v>
      </c>
      <c r="P86" s="4">
        <f t="shared" si="22"/>
        <v>895690.60289241374</v>
      </c>
      <c r="Q86" s="4">
        <f t="shared" si="23"/>
        <v>894790.60289241374</v>
      </c>
      <c r="R86" s="4">
        <f t="shared" si="20"/>
        <v>900</v>
      </c>
      <c r="S86" s="4">
        <f t="shared" si="26"/>
        <v>8868.2237910139975</v>
      </c>
      <c r="T86" s="94">
        <f t="shared" si="24"/>
        <v>-7968.2237910139975</v>
      </c>
      <c r="U86" s="94">
        <f t="shared" si="25"/>
        <v>903738.5089213379</v>
      </c>
      <c r="V86" t="str">
        <f>""</f>
        <v/>
      </c>
      <c r="W86" s="88"/>
    </row>
    <row r="87" spans="2:23" x14ac:dyDescent="0.25">
      <c r="B87" s="95">
        <v>71</v>
      </c>
      <c r="C87" s="95">
        <f t="shared" si="21"/>
        <v>325521.69171629683</v>
      </c>
      <c r="D87" s="95">
        <f t="shared" si="15"/>
        <v>324287.34246778575</v>
      </c>
      <c r="E87" s="95">
        <f t="shared" si="18"/>
        <v>11000</v>
      </c>
      <c r="F87" s="95">
        <f t="shared" si="16"/>
        <v>9765.6507514889054</v>
      </c>
      <c r="G87" s="95">
        <f t="shared" si="19"/>
        <v>1234.3492485110946</v>
      </c>
      <c r="H87" s="95">
        <f t="shared" si="17"/>
        <v>324287.34246778575</v>
      </c>
      <c r="N87"/>
      <c r="O87" s="4">
        <v>70</v>
      </c>
      <c r="P87" s="4">
        <f t="shared" si="22"/>
        <v>903738.5089213379</v>
      </c>
      <c r="Q87" s="4">
        <f t="shared" si="23"/>
        <v>902838.5089213379</v>
      </c>
      <c r="R87" s="4">
        <f t="shared" si="20"/>
        <v>900</v>
      </c>
      <c r="S87" s="4">
        <f t="shared" si="26"/>
        <v>8947.906028924137</v>
      </c>
      <c r="T87" s="94">
        <f t="shared" si="24"/>
        <v>-8047.906028924137</v>
      </c>
      <c r="U87" s="94">
        <f t="shared" si="25"/>
        <v>911866.89401055127</v>
      </c>
      <c r="V87" t="str">
        <f>""</f>
        <v/>
      </c>
      <c r="W87" s="88"/>
    </row>
    <row r="88" spans="2:23" x14ac:dyDescent="0.25">
      <c r="B88" s="95">
        <v>72</v>
      </c>
      <c r="C88" s="95">
        <f t="shared" si="21"/>
        <v>324287.34246778575</v>
      </c>
      <c r="D88" s="95">
        <f t="shared" si="15"/>
        <v>323015.96274181933</v>
      </c>
      <c r="E88" s="95">
        <f t="shared" si="18"/>
        <v>11000</v>
      </c>
      <c r="F88" s="95">
        <f t="shared" si="16"/>
        <v>9728.6202740335721</v>
      </c>
      <c r="G88" s="95">
        <f t="shared" si="19"/>
        <v>1271.3797259664279</v>
      </c>
      <c r="H88" s="95">
        <f t="shared" si="17"/>
        <v>323015.96274181933</v>
      </c>
      <c r="N88"/>
      <c r="O88" s="4">
        <v>71</v>
      </c>
      <c r="P88" s="4">
        <f t="shared" si="22"/>
        <v>911866.89401055127</v>
      </c>
      <c r="Q88" s="4">
        <f t="shared" si="23"/>
        <v>910966.89401055127</v>
      </c>
      <c r="R88" s="4">
        <f t="shared" si="20"/>
        <v>900</v>
      </c>
      <c r="S88" s="4">
        <f t="shared" si="26"/>
        <v>9028.3850892133796</v>
      </c>
      <c r="T88" s="94">
        <f t="shared" si="24"/>
        <v>-8128.3850892133796</v>
      </c>
      <c r="U88" s="94">
        <f t="shared" si="25"/>
        <v>920076.56295065675</v>
      </c>
      <c r="V88" t="str">
        <f>""</f>
        <v/>
      </c>
      <c r="W88" s="88"/>
    </row>
    <row r="89" spans="2:23" x14ac:dyDescent="0.25">
      <c r="B89" s="95">
        <v>73</v>
      </c>
      <c r="C89" s="95">
        <f t="shared" si="21"/>
        <v>323015.96274181933</v>
      </c>
      <c r="D89" s="95">
        <f t="shared" si="15"/>
        <v>321706.44162407389</v>
      </c>
      <c r="E89" s="95">
        <f t="shared" si="18"/>
        <v>11000</v>
      </c>
      <c r="F89" s="95">
        <f t="shared" si="16"/>
        <v>9690.4788822545797</v>
      </c>
      <c r="G89" s="95">
        <f t="shared" si="19"/>
        <v>1309.5211177454203</v>
      </c>
      <c r="H89" s="95">
        <f t="shared" si="17"/>
        <v>321706.44162407389</v>
      </c>
      <c r="N89"/>
      <c r="O89" s="4">
        <v>72</v>
      </c>
      <c r="P89" s="4">
        <f t="shared" si="22"/>
        <v>920076.56295065675</v>
      </c>
      <c r="Q89" s="4">
        <f t="shared" si="23"/>
        <v>919176.56295065675</v>
      </c>
      <c r="R89" s="4">
        <f t="shared" si="20"/>
        <v>900</v>
      </c>
      <c r="S89" s="4">
        <f t="shared" si="26"/>
        <v>9109.6689401055137</v>
      </c>
      <c r="T89" s="94">
        <f t="shared" si="24"/>
        <v>-8209.6689401055137</v>
      </c>
      <c r="U89" s="94">
        <f t="shared" si="25"/>
        <v>928368.3285801633</v>
      </c>
      <c r="V89" t="str">
        <f>""</f>
        <v/>
      </c>
      <c r="W89" s="88"/>
    </row>
    <row r="90" spans="2:23" x14ac:dyDescent="0.25">
      <c r="B90" s="95">
        <v>74</v>
      </c>
      <c r="C90" s="95">
        <f t="shared" si="21"/>
        <v>321706.44162407389</v>
      </c>
      <c r="D90" s="95">
        <f t="shared" si="15"/>
        <v>320357.63487279613</v>
      </c>
      <c r="E90" s="95">
        <f t="shared" si="18"/>
        <v>11000</v>
      </c>
      <c r="F90" s="95">
        <f t="shared" si="16"/>
        <v>9651.1932487222166</v>
      </c>
      <c r="G90" s="95">
        <f t="shared" si="19"/>
        <v>1348.8067512777834</v>
      </c>
      <c r="H90" s="95">
        <f t="shared" si="17"/>
        <v>320357.63487279613</v>
      </c>
      <c r="N90"/>
      <c r="O90" s="4">
        <v>73</v>
      </c>
      <c r="P90" s="4">
        <f t="shared" si="22"/>
        <v>928368.3285801633</v>
      </c>
      <c r="Q90" s="4">
        <f t="shared" si="23"/>
        <v>927468.3285801633</v>
      </c>
      <c r="R90" s="4">
        <f t="shared" si="20"/>
        <v>900</v>
      </c>
      <c r="S90" s="4">
        <f t="shared" si="26"/>
        <v>9191.7656295065681</v>
      </c>
      <c r="T90" s="94">
        <f t="shared" si="24"/>
        <v>-8291.7656295065681</v>
      </c>
      <c r="U90" s="94">
        <f t="shared" si="25"/>
        <v>936743.01186596497</v>
      </c>
      <c r="V90" t="str">
        <f>""</f>
        <v/>
      </c>
      <c r="W90" s="88"/>
    </row>
    <row r="91" spans="2:23" x14ac:dyDescent="0.25">
      <c r="B91" s="95">
        <v>75</v>
      </c>
      <c r="C91" s="95">
        <f t="shared" si="21"/>
        <v>320357.63487279613</v>
      </c>
      <c r="D91" s="95">
        <f t="shared" si="15"/>
        <v>318968.36391898</v>
      </c>
      <c r="E91" s="95">
        <f t="shared" si="18"/>
        <v>11000</v>
      </c>
      <c r="F91" s="95">
        <f t="shared" si="16"/>
        <v>9610.7290461838838</v>
      </c>
      <c r="G91" s="95">
        <f t="shared" si="19"/>
        <v>1389.2709538161162</v>
      </c>
      <c r="H91" s="95">
        <f t="shared" si="17"/>
        <v>318968.36391898</v>
      </c>
      <c r="N91"/>
      <c r="O91" s="4">
        <v>74</v>
      </c>
      <c r="P91" s="4">
        <f t="shared" si="22"/>
        <v>936743.01186596497</v>
      </c>
      <c r="Q91" s="4">
        <f t="shared" si="23"/>
        <v>935843.01186596497</v>
      </c>
      <c r="R91" s="4">
        <f t="shared" si="20"/>
        <v>900</v>
      </c>
      <c r="S91" s="4">
        <f t="shared" si="26"/>
        <v>9274.6832858016332</v>
      </c>
      <c r="T91" s="94">
        <f t="shared" si="24"/>
        <v>-8374.6832858016332</v>
      </c>
      <c r="U91" s="94">
        <f t="shared" si="25"/>
        <v>945201.4419846246</v>
      </c>
      <c r="V91" t="str">
        <f>""</f>
        <v/>
      </c>
      <c r="W91" s="88"/>
    </row>
    <row r="92" spans="2:23" x14ac:dyDescent="0.25">
      <c r="B92" s="95">
        <v>76</v>
      </c>
      <c r="C92" s="95">
        <f t="shared" si="21"/>
        <v>318968.36391898</v>
      </c>
      <c r="D92" s="95">
        <f t="shared" si="15"/>
        <v>317537.41483654943</v>
      </c>
      <c r="E92" s="95">
        <f t="shared" si="18"/>
        <v>11000</v>
      </c>
      <c r="F92" s="95">
        <f t="shared" si="16"/>
        <v>9569.0509175694006</v>
      </c>
      <c r="G92" s="95">
        <f t="shared" si="19"/>
        <v>1430.9490824305994</v>
      </c>
      <c r="H92" s="95">
        <f t="shared" si="17"/>
        <v>317537.41483654943</v>
      </c>
      <c r="N92"/>
      <c r="O92" s="4">
        <v>75</v>
      </c>
      <c r="P92" s="4">
        <f t="shared" si="22"/>
        <v>945201.4419846246</v>
      </c>
      <c r="Q92" s="4">
        <f t="shared" si="23"/>
        <v>944301.4419846246</v>
      </c>
      <c r="R92" s="4">
        <f t="shared" si="20"/>
        <v>900</v>
      </c>
      <c r="S92" s="4">
        <f t="shared" si="26"/>
        <v>9358.4301186596495</v>
      </c>
      <c r="T92" s="94">
        <f t="shared" si="24"/>
        <v>-8458.4301186596495</v>
      </c>
      <c r="U92" s="94">
        <f t="shared" si="25"/>
        <v>953744.45640447084</v>
      </c>
      <c r="V92" t="str">
        <f>""</f>
        <v/>
      </c>
      <c r="W92" s="88"/>
    </row>
    <row r="93" spans="2:23" x14ac:dyDescent="0.25">
      <c r="B93" s="95">
        <v>77</v>
      </c>
      <c r="C93" s="95">
        <f t="shared" si="21"/>
        <v>317537.41483654943</v>
      </c>
      <c r="D93" s="95">
        <f t="shared" si="15"/>
        <v>316063.53728164593</v>
      </c>
      <c r="E93" s="95">
        <f t="shared" si="18"/>
        <v>11000</v>
      </c>
      <c r="F93" s="95">
        <f t="shared" si="16"/>
        <v>9526.1224450964819</v>
      </c>
      <c r="G93" s="95">
        <f t="shared" si="19"/>
        <v>1473.8775549035181</v>
      </c>
      <c r="H93" s="95">
        <f t="shared" si="17"/>
        <v>316063.53728164593</v>
      </c>
      <c r="N93"/>
      <c r="O93" s="4">
        <v>76</v>
      </c>
      <c r="P93" s="4">
        <f t="shared" si="22"/>
        <v>953744.45640447084</v>
      </c>
      <c r="Q93" s="4">
        <f t="shared" si="23"/>
        <v>952844.45640447084</v>
      </c>
      <c r="R93" s="4">
        <f t="shared" si="20"/>
        <v>900</v>
      </c>
      <c r="S93" s="4">
        <f t="shared" si="26"/>
        <v>9443.0144198462458</v>
      </c>
      <c r="T93" s="94">
        <f t="shared" si="24"/>
        <v>-8543.0144198462458</v>
      </c>
      <c r="U93" s="94">
        <f t="shared" si="25"/>
        <v>962372.90096851555</v>
      </c>
      <c r="V93" t="str">
        <f>""</f>
        <v/>
      </c>
      <c r="W93" s="88"/>
    </row>
    <row r="94" spans="2:23" x14ac:dyDescent="0.25">
      <c r="B94" s="95">
        <v>78</v>
      </c>
      <c r="C94" s="95">
        <f t="shared" si="21"/>
        <v>316063.53728164593</v>
      </c>
      <c r="D94" s="95">
        <f t="shared" si="15"/>
        <v>314545.44340009533</v>
      </c>
      <c r="E94" s="95">
        <f t="shared" si="18"/>
        <v>11000</v>
      </c>
      <c r="F94" s="95">
        <f t="shared" si="16"/>
        <v>9481.9061184493767</v>
      </c>
      <c r="G94" s="95">
        <f t="shared" si="19"/>
        <v>1518.0938815506233</v>
      </c>
      <c r="H94" s="95">
        <f t="shared" si="17"/>
        <v>314545.44340009533</v>
      </c>
      <c r="N94"/>
      <c r="O94" s="4">
        <v>77</v>
      </c>
      <c r="P94" s="4">
        <f t="shared" si="22"/>
        <v>962372.90096851555</v>
      </c>
      <c r="Q94" s="4">
        <f t="shared" si="23"/>
        <v>961472.90096851555</v>
      </c>
      <c r="R94" s="4">
        <f t="shared" si="20"/>
        <v>900</v>
      </c>
      <c r="S94" s="4">
        <f t="shared" si="26"/>
        <v>9528.4445640447084</v>
      </c>
      <c r="T94" s="94">
        <f t="shared" si="24"/>
        <v>-8628.4445640447084</v>
      </c>
      <c r="U94" s="94">
        <f t="shared" si="25"/>
        <v>971087.62997820065</v>
      </c>
      <c r="V94" t="str">
        <f>""</f>
        <v/>
      </c>
      <c r="W94" s="88"/>
    </row>
    <row r="95" spans="2:23" x14ac:dyDescent="0.25">
      <c r="B95" s="95">
        <v>79</v>
      </c>
      <c r="C95" s="95">
        <f t="shared" si="21"/>
        <v>314545.44340009533</v>
      </c>
      <c r="D95" s="95">
        <f t="shared" si="15"/>
        <v>312981.80670209823</v>
      </c>
      <c r="E95" s="95">
        <f t="shared" si="18"/>
        <v>11000</v>
      </c>
      <c r="F95" s="95">
        <f t="shared" si="16"/>
        <v>9436.3633020028592</v>
      </c>
      <c r="G95" s="95">
        <f t="shared" si="19"/>
        <v>1563.6366979971408</v>
      </c>
      <c r="H95" s="95">
        <f t="shared" si="17"/>
        <v>312981.80670209823</v>
      </c>
      <c r="N95"/>
      <c r="O95" s="4">
        <v>78</v>
      </c>
      <c r="P95" s="4">
        <f t="shared" si="22"/>
        <v>971087.62997820065</v>
      </c>
      <c r="Q95" s="4">
        <f t="shared" si="23"/>
        <v>970187.62997820065</v>
      </c>
      <c r="R95" s="4">
        <f t="shared" si="20"/>
        <v>900</v>
      </c>
      <c r="S95" s="4">
        <f t="shared" si="26"/>
        <v>9614.7290096851557</v>
      </c>
      <c r="T95" s="94">
        <f t="shared" si="24"/>
        <v>-8714.7290096851557</v>
      </c>
      <c r="U95" s="94">
        <f t="shared" si="25"/>
        <v>979889.50627798261</v>
      </c>
      <c r="V95" t="str">
        <f>""</f>
        <v/>
      </c>
      <c r="W95" s="88"/>
    </row>
    <row r="96" spans="2:23" x14ac:dyDescent="0.25">
      <c r="B96" s="95">
        <v>80</v>
      </c>
      <c r="C96" s="95">
        <f t="shared" si="21"/>
        <v>312981.80670209823</v>
      </c>
      <c r="D96" s="95">
        <f t="shared" si="15"/>
        <v>311371.26090316119</v>
      </c>
      <c r="E96" s="95">
        <f t="shared" si="18"/>
        <v>11000</v>
      </c>
      <c r="F96" s="95">
        <f t="shared" si="16"/>
        <v>9389.4542010629466</v>
      </c>
      <c r="G96" s="95">
        <f t="shared" si="19"/>
        <v>1610.5457989370534</v>
      </c>
      <c r="H96" s="95">
        <f t="shared" si="17"/>
        <v>311371.26090316119</v>
      </c>
      <c r="N96"/>
      <c r="O96" s="4">
        <v>79</v>
      </c>
      <c r="P96" s="4">
        <f t="shared" si="22"/>
        <v>979889.50627798261</v>
      </c>
      <c r="Q96" s="4">
        <f t="shared" si="23"/>
        <v>978989.50627798261</v>
      </c>
      <c r="R96" s="4">
        <f t="shared" si="20"/>
        <v>900</v>
      </c>
      <c r="S96" s="4">
        <f t="shared" si="26"/>
        <v>9701.8762997820068</v>
      </c>
      <c r="T96" s="94">
        <f t="shared" si="24"/>
        <v>-8801.8762997820068</v>
      </c>
      <c r="U96" s="94">
        <f t="shared" si="25"/>
        <v>988779.4013407625</v>
      </c>
      <c r="V96" t="str">
        <f>""</f>
        <v/>
      </c>
      <c r="W96" s="88"/>
    </row>
    <row r="97" spans="2:23" x14ac:dyDescent="0.25">
      <c r="B97" s="95">
        <v>81</v>
      </c>
      <c r="C97" s="95">
        <f t="shared" si="21"/>
        <v>311371.26090316119</v>
      </c>
      <c r="D97" s="95">
        <f t="shared" si="15"/>
        <v>309712.39873025601</v>
      </c>
      <c r="E97" s="95">
        <f t="shared" si="18"/>
        <v>11000</v>
      </c>
      <c r="F97" s="95">
        <f t="shared" si="16"/>
        <v>9341.1378270948353</v>
      </c>
      <c r="G97" s="95">
        <f t="shared" si="19"/>
        <v>1658.8621729051647</v>
      </c>
      <c r="H97" s="95">
        <f t="shared" si="17"/>
        <v>309712.39873025601</v>
      </c>
      <c r="N97"/>
      <c r="O97" s="4">
        <v>80</v>
      </c>
      <c r="P97" s="4">
        <f t="shared" si="22"/>
        <v>988779.4013407625</v>
      </c>
      <c r="Q97" s="4">
        <f t="shared" si="23"/>
        <v>987879.4013407625</v>
      </c>
      <c r="R97" s="4">
        <f t="shared" si="20"/>
        <v>900</v>
      </c>
      <c r="S97" s="4">
        <f t="shared" si="26"/>
        <v>9789.8950627798258</v>
      </c>
      <c r="T97" s="94">
        <f t="shared" si="24"/>
        <v>-8889.8950627798258</v>
      </c>
      <c r="U97" s="94">
        <f t="shared" si="25"/>
        <v>997758.19535417017</v>
      </c>
      <c r="V97" t="str">
        <f>""</f>
        <v/>
      </c>
      <c r="W97" s="88"/>
    </row>
    <row r="98" spans="2:23" x14ac:dyDescent="0.25">
      <c r="B98" s="95">
        <v>82</v>
      </c>
      <c r="C98" s="95">
        <f t="shared" si="21"/>
        <v>309712.39873025601</v>
      </c>
      <c r="D98" s="95">
        <f t="shared" si="15"/>
        <v>308003.77069216373</v>
      </c>
      <c r="E98" s="95">
        <f t="shared" si="18"/>
        <v>11000</v>
      </c>
      <c r="F98" s="95">
        <f t="shared" si="16"/>
        <v>9291.3719619076801</v>
      </c>
      <c r="G98" s="95">
        <f t="shared" si="19"/>
        <v>1708.6280380923199</v>
      </c>
      <c r="H98" s="95">
        <f t="shared" si="17"/>
        <v>308003.77069216373</v>
      </c>
      <c r="N98"/>
      <c r="O98" s="4">
        <v>81</v>
      </c>
      <c r="P98" s="4">
        <f t="shared" si="22"/>
        <v>997758.19535417017</v>
      </c>
      <c r="Q98" s="4">
        <f t="shared" si="23"/>
        <v>996858.19535417017</v>
      </c>
      <c r="R98" s="4">
        <f t="shared" si="20"/>
        <v>900</v>
      </c>
      <c r="S98" s="4">
        <f t="shared" si="26"/>
        <v>9878.7940134076252</v>
      </c>
      <c r="T98" s="94">
        <f t="shared" si="24"/>
        <v>-8978.7940134076252</v>
      </c>
      <c r="U98" s="94">
        <f t="shared" si="25"/>
        <v>1006826.7773077119</v>
      </c>
      <c r="V98" t="str">
        <f>""</f>
        <v/>
      </c>
      <c r="W98" s="88"/>
    </row>
    <row r="99" spans="2:23" x14ac:dyDescent="0.25">
      <c r="B99" s="95">
        <v>83</v>
      </c>
      <c r="C99" s="95">
        <f t="shared" si="21"/>
        <v>308003.77069216373</v>
      </c>
      <c r="D99" s="95">
        <f t="shared" si="15"/>
        <v>306243.88381292863</v>
      </c>
      <c r="E99" s="95">
        <f t="shared" si="18"/>
        <v>11000</v>
      </c>
      <c r="F99" s="95">
        <f t="shared" si="16"/>
        <v>9240.1131207649123</v>
      </c>
      <c r="G99" s="95">
        <f t="shared" si="19"/>
        <v>1759.8868792350877</v>
      </c>
      <c r="H99" s="95">
        <f t="shared" si="17"/>
        <v>306243.88381292863</v>
      </c>
      <c r="N99"/>
      <c r="O99" s="4">
        <v>82</v>
      </c>
      <c r="P99" s="4">
        <f t="shared" si="22"/>
        <v>1006826.7773077119</v>
      </c>
      <c r="Q99" s="4">
        <f t="shared" si="23"/>
        <v>1005926.7773077119</v>
      </c>
      <c r="R99" s="4">
        <f t="shared" si="20"/>
        <v>900</v>
      </c>
      <c r="S99" s="4">
        <f t="shared" si="26"/>
        <v>9968.5819535417013</v>
      </c>
      <c r="T99" s="94">
        <f t="shared" si="24"/>
        <v>-9068.5819535417013</v>
      </c>
      <c r="U99" s="94">
        <f t="shared" si="25"/>
        <v>1015986.045080789</v>
      </c>
      <c r="V99" t="str">
        <f>""</f>
        <v/>
      </c>
      <c r="W99" s="88"/>
    </row>
    <row r="100" spans="2:23" x14ac:dyDescent="0.25">
      <c r="B100" s="95">
        <v>84</v>
      </c>
      <c r="C100" s="95">
        <f t="shared" si="21"/>
        <v>306243.88381292863</v>
      </c>
      <c r="D100" s="95">
        <f t="shared" si="15"/>
        <v>304431.20032731647</v>
      </c>
      <c r="E100" s="95">
        <f t="shared" si="18"/>
        <v>11000</v>
      </c>
      <c r="F100" s="95">
        <f t="shared" si="16"/>
        <v>9187.3165143878578</v>
      </c>
      <c r="G100" s="95">
        <f t="shared" si="19"/>
        <v>1812.6834856121422</v>
      </c>
      <c r="H100" s="95">
        <f t="shared" si="17"/>
        <v>304431.20032731647</v>
      </c>
      <c r="N100"/>
      <c r="O100" s="4">
        <v>83</v>
      </c>
      <c r="P100" s="4">
        <f t="shared" si="22"/>
        <v>1015986.045080789</v>
      </c>
      <c r="Q100" s="4">
        <f t="shared" si="23"/>
        <v>1015086.045080789</v>
      </c>
      <c r="R100" s="4">
        <f t="shared" si="20"/>
        <v>900</v>
      </c>
      <c r="S100" s="4">
        <f t="shared" si="26"/>
        <v>10059.267773077119</v>
      </c>
      <c r="T100" s="94">
        <f t="shared" si="24"/>
        <v>-9159.2677730771193</v>
      </c>
      <c r="U100" s="94">
        <f t="shared" si="25"/>
        <v>1025236.9055315969</v>
      </c>
      <c r="V100" t="str">
        <f>""</f>
        <v/>
      </c>
      <c r="W100" s="88"/>
    </row>
    <row r="101" spans="2:23" x14ac:dyDescent="0.25">
      <c r="B101" s="95">
        <v>85</v>
      </c>
      <c r="C101" s="95">
        <f t="shared" si="21"/>
        <v>304431.20032731647</v>
      </c>
      <c r="D101" s="95">
        <f t="shared" si="15"/>
        <v>302564.13633713598</v>
      </c>
      <c r="E101" s="95">
        <f t="shared" si="18"/>
        <v>11000</v>
      </c>
      <c r="F101" s="95">
        <f t="shared" si="16"/>
        <v>9132.9360098194938</v>
      </c>
      <c r="G101" s="95">
        <f t="shared" si="19"/>
        <v>1867.0639901805062</v>
      </c>
      <c r="H101" s="95">
        <f t="shared" si="17"/>
        <v>302564.13633713598</v>
      </c>
      <c r="N101"/>
      <c r="O101" s="4">
        <v>84</v>
      </c>
      <c r="P101" s="4">
        <f t="shared" si="22"/>
        <v>1025236.9055315969</v>
      </c>
      <c r="Q101" s="4">
        <f t="shared" si="23"/>
        <v>1024336.9055315969</v>
      </c>
      <c r="R101" s="4">
        <f t="shared" si="20"/>
        <v>900</v>
      </c>
      <c r="S101" s="4">
        <f t="shared" si="26"/>
        <v>10150.86045080789</v>
      </c>
      <c r="T101" s="94">
        <f t="shared" si="24"/>
        <v>-9250.8604508078897</v>
      </c>
      <c r="U101" s="94">
        <f t="shared" si="25"/>
        <v>1034580.2745869128</v>
      </c>
      <c r="V101" t="str">
        <f>""</f>
        <v/>
      </c>
      <c r="W101" s="88"/>
    </row>
    <row r="102" spans="2:23" x14ac:dyDescent="0.25">
      <c r="B102" s="95">
        <v>86</v>
      </c>
      <c r="C102" s="95">
        <f t="shared" si="21"/>
        <v>302564.13633713598</v>
      </c>
      <c r="D102" s="95">
        <f t="shared" si="15"/>
        <v>300641.06042725005</v>
      </c>
      <c r="E102" s="95">
        <f t="shared" si="18"/>
        <v>11000</v>
      </c>
      <c r="F102" s="95">
        <f t="shared" si="16"/>
        <v>9076.9240901140784</v>
      </c>
      <c r="G102" s="95">
        <f t="shared" si="19"/>
        <v>1923.0759098859216</v>
      </c>
      <c r="H102" s="95">
        <f t="shared" si="17"/>
        <v>300641.06042725005</v>
      </c>
      <c r="N102"/>
      <c r="O102" s="4">
        <v>85</v>
      </c>
      <c r="P102" s="4">
        <f t="shared" si="22"/>
        <v>1034580.2745869128</v>
      </c>
      <c r="Q102" s="4">
        <f t="shared" si="23"/>
        <v>1033680.2745869128</v>
      </c>
      <c r="R102" s="4">
        <f t="shared" si="20"/>
        <v>900</v>
      </c>
      <c r="S102" s="4">
        <f t="shared" si="26"/>
        <v>10243.369055315969</v>
      </c>
      <c r="T102" s="94">
        <f t="shared" si="24"/>
        <v>-9343.3690553159686</v>
      </c>
      <c r="U102" s="94">
        <f t="shared" si="25"/>
        <v>1044017.077332782</v>
      </c>
      <c r="V102" t="str">
        <f>""</f>
        <v/>
      </c>
      <c r="W102" s="88"/>
    </row>
    <row r="103" spans="2:23" x14ac:dyDescent="0.25">
      <c r="B103" s="95">
        <v>87</v>
      </c>
      <c r="C103" s="95">
        <f t="shared" si="21"/>
        <v>300641.06042725005</v>
      </c>
      <c r="D103" s="95">
        <f t="shared" si="15"/>
        <v>298660.29224006756</v>
      </c>
      <c r="E103" s="95">
        <f t="shared" si="18"/>
        <v>11000</v>
      </c>
      <c r="F103" s="95">
        <f t="shared" si="16"/>
        <v>9019.2318128175011</v>
      </c>
      <c r="G103" s="95">
        <f t="shared" si="19"/>
        <v>1980.7681871824989</v>
      </c>
      <c r="H103" s="95">
        <f t="shared" si="17"/>
        <v>298660.29224006756</v>
      </c>
      <c r="N103"/>
      <c r="O103" s="4">
        <v>86</v>
      </c>
      <c r="P103" s="4">
        <f t="shared" si="22"/>
        <v>1044017.077332782</v>
      </c>
      <c r="Q103" s="4">
        <f t="shared" si="23"/>
        <v>1043117.077332782</v>
      </c>
      <c r="R103" s="4">
        <f t="shared" si="20"/>
        <v>900</v>
      </c>
      <c r="S103" s="4">
        <f t="shared" si="26"/>
        <v>10336.802745869129</v>
      </c>
      <c r="T103" s="94">
        <f t="shared" si="24"/>
        <v>-9436.8027458691286</v>
      </c>
      <c r="U103" s="94">
        <f t="shared" si="25"/>
        <v>1053548.2481061099</v>
      </c>
      <c r="V103" t="str">
        <f>""</f>
        <v/>
      </c>
      <c r="W103" s="88"/>
    </row>
    <row r="104" spans="2:23" x14ac:dyDescent="0.25">
      <c r="B104" s="95">
        <v>88</v>
      </c>
      <c r="C104" s="95">
        <f t="shared" si="21"/>
        <v>298660.29224006756</v>
      </c>
      <c r="D104" s="95">
        <f t="shared" si="15"/>
        <v>296620.10100726958</v>
      </c>
      <c r="E104" s="95">
        <f t="shared" si="18"/>
        <v>11000</v>
      </c>
      <c r="F104" s="95">
        <f t="shared" si="16"/>
        <v>8959.8087672020265</v>
      </c>
      <c r="G104" s="95">
        <f t="shared" si="19"/>
        <v>2040.1912327979735</v>
      </c>
      <c r="H104" s="95">
        <f t="shared" si="17"/>
        <v>296620.10100726958</v>
      </c>
      <c r="N104"/>
      <c r="O104" s="4">
        <v>87</v>
      </c>
      <c r="P104" s="4">
        <f t="shared" si="22"/>
        <v>1053548.2481061099</v>
      </c>
      <c r="Q104" s="4">
        <f t="shared" si="23"/>
        <v>1052648.2481061099</v>
      </c>
      <c r="R104" s="4">
        <f t="shared" si="20"/>
        <v>900</v>
      </c>
      <c r="S104" s="4">
        <f t="shared" si="26"/>
        <v>10431.17077332782</v>
      </c>
      <c r="T104" s="94">
        <f t="shared" si="24"/>
        <v>-9531.1707733278199</v>
      </c>
      <c r="U104" s="94">
        <f t="shared" si="25"/>
        <v>1063174.7305871709</v>
      </c>
      <c r="V104" t="str">
        <f>""</f>
        <v/>
      </c>
      <c r="W104" s="88"/>
    </row>
    <row r="105" spans="2:23" x14ac:dyDescent="0.25">
      <c r="B105" s="95">
        <v>89</v>
      </c>
      <c r="C105" s="95">
        <f t="shared" si="21"/>
        <v>296620.10100726958</v>
      </c>
      <c r="D105" s="95">
        <f t="shared" si="15"/>
        <v>294518.70403748768</v>
      </c>
      <c r="E105" s="95">
        <f t="shared" si="18"/>
        <v>11000</v>
      </c>
      <c r="F105" s="95">
        <f t="shared" si="16"/>
        <v>8898.6030302180861</v>
      </c>
      <c r="G105" s="95">
        <f t="shared" si="19"/>
        <v>2101.3969697819139</v>
      </c>
      <c r="H105" s="95">
        <f t="shared" si="17"/>
        <v>294518.70403748768</v>
      </c>
      <c r="N105"/>
      <c r="O105" s="4">
        <v>88</v>
      </c>
      <c r="P105" s="4">
        <f t="shared" si="22"/>
        <v>1063174.7305871709</v>
      </c>
      <c r="Q105" s="4">
        <f t="shared" si="23"/>
        <v>1062274.7305871709</v>
      </c>
      <c r="R105" s="4">
        <f t="shared" si="20"/>
        <v>900</v>
      </c>
      <c r="S105" s="4">
        <f t="shared" si="26"/>
        <v>10526.482481061099</v>
      </c>
      <c r="T105" s="94">
        <f t="shared" si="24"/>
        <v>-9626.482481061099</v>
      </c>
      <c r="U105" s="94">
        <f t="shared" si="25"/>
        <v>1072897.4778930426</v>
      </c>
      <c r="V105" t="str">
        <f>""</f>
        <v/>
      </c>
      <c r="W105" s="88"/>
    </row>
    <row r="106" spans="2:23" x14ac:dyDescent="0.25">
      <c r="B106" s="95">
        <v>90</v>
      </c>
      <c r="C106" s="95">
        <f t="shared" si="21"/>
        <v>294518.70403748768</v>
      </c>
      <c r="D106" s="95">
        <f t="shared" si="15"/>
        <v>292354.26515861234</v>
      </c>
      <c r="E106" s="95">
        <f t="shared" si="18"/>
        <v>11000</v>
      </c>
      <c r="F106" s="95">
        <f t="shared" si="16"/>
        <v>8835.5611211246305</v>
      </c>
      <c r="G106" s="95">
        <f t="shared" si="19"/>
        <v>2164.4388788753695</v>
      </c>
      <c r="H106" s="95">
        <f t="shared" si="17"/>
        <v>292354.26515861234</v>
      </c>
      <c r="N106"/>
      <c r="O106" s="4">
        <v>89</v>
      </c>
      <c r="P106" s="4">
        <f t="shared" si="22"/>
        <v>1072897.4778930426</v>
      </c>
      <c r="Q106" s="4">
        <f t="shared" si="23"/>
        <v>1071997.4778930426</v>
      </c>
      <c r="R106" s="4">
        <f t="shared" si="20"/>
        <v>900</v>
      </c>
      <c r="S106" s="4">
        <f t="shared" si="26"/>
        <v>10622.74730587171</v>
      </c>
      <c r="T106" s="94">
        <f t="shared" si="24"/>
        <v>-9722.7473058717096</v>
      </c>
      <c r="U106" s="94">
        <f t="shared" si="25"/>
        <v>1082717.452671973</v>
      </c>
      <c r="V106" t="str">
        <f>""</f>
        <v/>
      </c>
      <c r="W106" s="88"/>
    </row>
    <row r="107" spans="2:23" x14ac:dyDescent="0.25">
      <c r="B107" s="95">
        <v>91</v>
      </c>
      <c r="C107" s="95">
        <f t="shared" si="21"/>
        <v>292354.26515861234</v>
      </c>
      <c r="D107" s="95">
        <f t="shared" si="15"/>
        <v>290124.89311337069</v>
      </c>
      <c r="E107" s="95">
        <f t="shared" si="18"/>
        <v>11000</v>
      </c>
      <c r="F107" s="95">
        <f t="shared" si="16"/>
        <v>8770.627954758369</v>
      </c>
      <c r="G107" s="95">
        <f t="shared" si="19"/>
        <v>2229.372045241631</v>
      </c>
      <c r="H107" s="95">
        <f t="shared" si="17"/>
        <v>290124.89311337069</v>
      </c>
      <c r="N107"/>
      <c r="O107" s="4">
        <v>90</v>
      </c>
      <c r="P107" s="4">
        <f t="shared" si="22"/>
        <v>1082717.452671973</v>
      </c>
      <c r="Q107" s="4">
        <f t="shared" si="23"/>
        <v>1081817.452671973</v>
      </c>
      <c r="R107" s="4">
        <f t="shared" si="20"/>
        <v>900</v>
      </c>
      <c r="S107" s="4">
        <f t="shared" si="26"/>
        <v>10719.974778930426</v>
      </c>
      <c r="T107" s="94">
        <f t="shared" si="24"/>
        <v>-9819.9747789304256</v>
      </c>
      <c r="U107" s="94">
        <f t="shared" si="25"/>
        <v>1092635.6271986929</v>
      </c>
      <c r="V107" t="str">
        <f>""</f>
        <v/>
      </c>
      <c r="W107" s="88"/>
    </row>
    <row r="108" spans="2:23" x14ac:dyDescent="0.25">
      <c r="B108" s="95">
        <v>92</v>
      </c>
      <c r="C108" s="95">
        <f t="shared" si="21"/>
        <v>290124.89311337069</v>
      </c>
      <c r="D108" s="95">
        <f t="shared" si="15"/>
        <v>287828.63990677183</v>
      </c>
      <c r="E108" s="95">
        <f t="shared" si="18"/>
        <v>11000</v>
      </c>
      <c r="F108" s="95">
        <f t="shared" si="16"/>
        <v>8703.7467934011202</v>
      </c>
      <c r="G108" s="95">
        <f t="shared" si="19"/>
        <v>2296.2532065988798</v>
      </c>
      <c r="H108" s="95">
        <f t="shared" si="17"/>
        <v>287828.63990677183</v>
      </c>
      <c r="N108"/>
      <c r="O108" s="4">
        <v>91</v>
      </c>
      <c r="P108" s="4">
        <f t="shared" si="22"/>
        <v>1092635.6271986929</v>
      </c>
      <c r="Q108" s="4">
        <f t="shared" si="23"/>
        <v>1091735.6271986929</v>
      </c>
      <c r="R108" s="4">
        <f t="shared" si="20"/>
        <v>900</v>
      </c>
      <c r="S108" s="4">
        <f t="shared" si="26"/>
        <v>10818.174526719731</v>
      </c>
      <c r="T108" s="94">
        <f t="shared" si="24"/>
        <v>-9918.1745267197311</v>
      </c>
      <c r="U108" s="94">
        <f t="shared" si="25"/>
        <v>1102652.9834706797</v>
      </c>
      <c r="V108" t="str">
        <f>""</f>
        <v/>
      </c>
      <c r="W108" s="88"/>
    </row>
    <row r="109" spans="2:23" x14ac:dyDescent="0.25">
      <c r="B109" s="95">
        <v>93</v>
      </c>
      <c r="C109" s="95">
        <f t="shared" si="21"/>
        <v>287828.63990677183</v>
      </c>
      <c r="D109" s="95">
        <f t="shared" si="15"/>
        <v>285463.49910397502</v>
      </c>
      <c r="E109" s="95">
        <f t="shared" si="18"/>
        <v>11000</v>
      </c>
      <c r="F109" s="95">
        <f t="shared" si="16"/>
        <v>8634.8591972031554</v>
      </c>
      <c r="G109" s="95">
        <f t="shared" si="19"/>
        <v>2365.1408027968446</v>
      </c>
      <c r="H109" s="95">
        <f t="shared" si="17"/>
        <v>285463.49910397502</v>
      </c>
      <c r="N109"/>
      <c r="O109" s="4">
        <v>92</v>
      </c>
      <c r="P109" s="4">
        <f t="shared" si="22"/>
        <v>1102652.9834706797</v>
      </c>
      <c r="Q109" s="4">
        <f t="shared" si="23"/>
        <v>1101752.9834706797</v>
      </c>
      <c r="R109" s="4">
        <f t="shared" si="20"/>
        <v>900</v>
      </c>
      <c r="S109" s="4">
        <f t="shared" si="26"/>
        <v>10917.35627198693</v>
      </c>
      <c r="T109" s="94">
        <f t="shared" si="24"/>
        <v>-10017.35627198693</v>
      </c>
      <c r="U109" s="94">
        <f t="shared" si="25"/>
        <v>1112770.5133053865</v>
      </c>
      <c r="V109" t="str">
        <f>""</f>
        <v/>
      </c>
      <c r="W109" s="88"/>
    </row>
    <row r="110" spans="2:23" x14ac:dyDescent="0.25">
      <c r="B110" s="95">
        <v>94</v>
      </c>
      <c r="C110" s="95">
        <f t="shared" si="21"/>
        <v>285463.49910397502</v>
      </c>
      <c r="D110" s="95">
        <f t="shared" si="15"/>
        <v>283027.40407709428</v>
      </c>
      <c r="E110" s="95">
        <f t="shared" si="18"/>
        <v>11000</v>
      </c>
      <c r="F110" s="95">
        <f t="shared" si="16"/>
        <v>8563.9049731192499</v>
      </c>
      <c r="G110" s="95">
        <f t="shared" si="19"/>
        <v>2436.0950268807501</v>
      </c>
      <c r="H110" s="95">
        <f t="shared" si="17"/>
        <v>283027.40407709428</v>
      </c>
      <c r="N110"/>
      <c r="O110" s="4">
        <v>93</v>
      </c>
      <c r="P110" s="4">
        <f t="shared" si="22"/>
        <v>1112770.5133053865</v>
      </c>
      <c r="Q110" s="4">
        <f t="shared" si="23"/>
        <v>1111870.5133053865</v>
      </c>
      <c r="R110" s="4">
        <f t="shared" si="20"/>
        <v>900</v>
      </c>
      <c r="S110" s="4">
        <f t="shared" si="26"/>
        <v>11017.529834706798</v>
      </c>
      <c r="T110" s="94">
        <f t="shared" si="24"/>
        <v>-10117.529834706798</v>
      </c>
      <c r="U110" s="94">
        <f t="shared" si="25"/>
        <v>1122989.2184384405</v>
      </c>
      <c r="V110" t="str">
        <f>""</f>
        <v/>
      </c>
      <c r="W110" s="88"/>
    </row>
    <row r="111" spans="2:23" x14ac:dyDescent="0.25">
      <c r="B111" s="95">
        <v>95</v>
      </c>
      <c r="C111" s="95">
        <f t="shared" si="21"/>
        <v>283027.40407709428</v>
      </c>
      <c r="D111" s="95">
        <f t="shared" si="15"/>
        <v>280518.22619940713</v>
      </c>
      <c r="E111" s="95">
        <f t="shared" si="18"/>
        <v>11000</v>
      </c>
      <c r="F111" s="95">
        <f t="shared" si="16"/>
        <v>8490.8221223128276</v>
      </c>
      <c r="G111" s="95">
        <f t="shared" si="19"/>
        <v>2509.1778776871724</v>
      </c>
      <c r="H111" s="95">
        <f t="shared" si="17"/>
        <v>280518.22619940713</v>
      </c>
      <c r="N111"/>
      <c r="O111" s="4">
        <v>94</v>
      </c>
      <c r="P111" s="4">
        <f t="shared" si="22"/>
        <v>1122989.2184384405</v>
      </c>
      <c r="Q111" s="4">
        <f t="shared" si="23"/>
        <v>1122089.2184384405</v>
      </c>
      <c r="R111" s="4">
        <f t="shared" si="20"/>
        <v>900</v>
      </c>
      <c r="S111" s="4">
        <f t="shared" si="26"/>
        <v>11118.705133053865</v>
      </c>
      <c r="T111" s="94">
        <f t="shared" si="24"/>
        <v>-10218.705133053865</v>
      </c>
      <c r="U111" s="94">
        <f t="shared" si="25"/>
        <v>1133310.1106228249</v>
      </c>
      <c r="V111" t="str">
        <f>""</f>
        <v/>
      </c>
      <c r="W111" s="88"/>
    </row>
    <row r="112" spans="2:23" x14ac:dyDescent="0.25">
      <c r="B112" s="95">
        <v>96</v>
      </c>
      <c r="C112" s="95">
        <f t="shared" si="21"/>
        <v>280518.22619940713</v>
      </c>
      <c r="D112" s="95">
        <f t="shared" si="15"/>
        <v>277933.77298538934</v>
      </c>
      <c r="E112" s="95">
        <f t="shared" si="18"/>
        <v>11000</v>
      </c>
      <c r="F112" s="95">
        <f t="shared" si="16"/>
        <v>8415.5467859822129</v>
      </c>
      <c r="G112" s="95">
        <f t="shared" si="19"/>
        <v>2584.4532140177871</v>
      </c>
      <c r="H112" s="95">
        <f t="shared" si="17"/>
        <v>277933.77298538934</v>
      </c>
      <c r="N112"/>
      <c r="O112" s="4">
        <v>95</v>
      </c>
      <c r="P112" s="4">
        <f t="shared" si="22"/>
        <v>1133310.1106228249</v>
      </c>
      <c r="Q112" s="4">
        <f t="shared" si="23"/>
        <v>1132410.1106228249</v>
      </c>
      <c r="R112" s="4">
        <f t="shared" si="20"/>
        <v>900</v>
      </c>
      <c r="S112" s="4">
        <f t="shared" si="26"/>
        <v>11220.892184384405</v>
      </c>
      <c r="T112" s="94">
        <f t="shared" si="24"/>
        <v>-10320.892184384405</v>
      </c>
      <c r="U112" s="94">
        <f t="shared" si="25"/>
        <v>1143734.2117290532</v>
      </c>
      <c r="V112" t="str">
        <f>""</f>
        <v/>
      </c>
      <c r="W112" s="88"/>
    </row>
    <row r="113" spans="2:23" x14ac:dyDescent="0.25">
      <c r="B113" s="95">
        <v>97</v>
      </c>
      <c r="C113" s="95">
        <f t="shared" si="21"/>
        <v>277933.77298538934</v>
      </c>
      <c r="D113" s="95">
        <f t="shared" ref="D113:D144" si="27">C113*(1+$D$5)-E113</f>
        <v>275271.786174951</v>
      </c>
      <c r="E113" s="95">
        <f t="shared" si="18"/>
        <v>11000</v>
      </c>
      <c r="F113" s="95">
        <f t="shared" ref="F113:F144" si="28">C113*$D$5</f>
        <v>8338.0131895616796</v>
      </c>
      <c r="G113" s="95">
        <f t="shared" si="19"/>
        <v>2661.9868104383204</v>
      </c>
      <c r="H113" s="95">
        <f t="shared" ref="H113:H144" si="29">C113*(1+$D$5)-E113</f>
        <v>275271.786174951</v>
      </c>
      <c r="N113"/>
      <c r="O113" s="4">
        <v>96</v>
      </c>
      <c r="P113" s="4">
        <f t="shared" si="22"/>
        <v>1143734.2117290532</v>
      </c>
      <c r="Q113" s="4">
        <f t="shared" si="23"/>
        <v>1142834.2117290532</v>
      </c>
      <c r="R113" s="4">
        <f t="shared" si="20"/>
        <v>900</v>
      </c>
      <c r="S113" s="4">
        <f t="shared" si="26"/>
        <v>11324.101106228249</v>
      </c>
      <c r="T113" s="94">
        <f t="shared" si="24"/>
        <v>-10424.101106228249</v>
      </c>
      <c r="U113" s="94">
        <f t="shared" si="25"/>
        <v>1154262.5538463437</v>
      </c>
      <c r="V113" t="str">
        <f>""</f>
        <v/>
      </c>
      <c r="W113" s="88"/>
    </row>
    <row r="114" spans="2:23" x14ac:dyDescent="0.25">
      <c r="B114" s="95">
        <v>98</v>
      </c>
      <c r="C114" s="95">
        <f t="shared" si="21"/>
        <v>275271.786174951</v>
      </c>
      <c r="D114" s="95">
        <f t="shared" si="27"/>
        <v>272529.93976019952</v>
      </c>
      <c r="E114" s="95">
        <f t="shared" si="18"/>
        <v>11000</v>
      </c>
      <c r="F114" s="95">
        <f t="shared" si="28"/>
        <v>8258.1535852485304</v>
      </c>
      <c r="G114" s="95">
        <f t="shared" si="19"/>
        <v>2741.8464147514696</v>
      </c>
      <c r="H114" s="95">
        <f t="shared" si="29"/>
        <v>272529.93976019952</v>
      </c>
      <c r="N114"/>
      <c r="O114" s="4">
        <v>97</v>
      </c>
      <c r="P114" s="4">
        <f t="shared" si="22"/>
        <v>1154262.5538463437</v>
      </c>
      <c r="Q114" s="4">
        <f t="shared" si="23"/>
        <v>1153362.5538463437</v>
      </c>
      <c r="R114" s="4">
        <f t="shared" si="20"/>
        <v>900</v>
      </c>
      <c r="S114" s="4">
        <f t="shared" si="26"/>
        <v>11428.342117290533</v>
      </c>
      <c r="T114" s="94">
        <f t="shared" si="24"/>
        <v>-10528.342117290533</v>
      </c>
      <c r="U114" s="94">
        <f t="shared" si="25"/>
        <v>1164896.1793848071</v>
      </c>
      <c r="V114" t="str">
        <f>""</f>
        <v/>
      </c>
      <c r="W114" s="88"/>
    </row>
    <row r="115" spans="2:23" x14ac:dyDescent="0.25">
      <c r="B115" s="95">
        <v>99</v>
      </c>
      <c r="C115" s="95">
        <f t="shared" si="21"/>
        <v>272529.93976019952</v>
      </c>
      <c r="D115" s="95">
        <f t="shared" si="27"/>
        <v>269705.83795300551</v>
      </c>
      <c r="E115" s="95">
        <f t="shared" si="18"/>
        <v>11000</v>
      </c>
      <c r="F115" s="95">
        <f t="shared" si="28"/>
        <v>8175.8981928059848</v>
      </c>
      <c r="G115" s="95">
        <f t="shared" si="19"/>
        <v>2824.1018071940152</v>
      </c>
      <c r="H115" s="95">
        <f t="shared" si="29"/>
        <v>269705.83795300551</v>
      </c>
      <c r="N115"/>
      <c r="O115" s="4">
        <v>98</v>
      </c>
      <c r="P115" s="4">
        <f t="shared" si="22"/>
        <v>1164896.1793848071</v>
      </c>
      <c r="Q115" s="4">
        <f t="shared" si="23"/>
        <v>1163996.1793848071</v>
      </c>
      <c r="R115" s="4">
        <f t="shared" si="20"/>
        <v>900</v>
      </c>
      <c r="S115" s="4">
        <f t="shared" si="26"/>
        <v>11533.625538463437</v>
      </c>
      <c r="T115" s="94">
        <f t="shared" si="24"/>
        <v>-10633.625538463437</v>
      </c>
      <c r="U115" s="94">
        <f t="shared" si="25"/>
        <v>1175636.1411786552</v>
      </c>
      <c r="V115" t="str">
        <f>""</f>
        <v/>
      </c>
      <c r="W115" s="88"/>
    </row>
    <row r="116" spans="2:23" x14ac:dyDescent="0.25">
      <c r="B116" s="95">
        <v>100</v>
      </c>
      <c r="C116" s="95">
        <f t="shared" si="21"/>
        <v>269705.83795300551</v>
      </c>
      <c r="D116" s="95">
        <f t="shared" si="27"/>
        <v>266797.01309159567</v>
      </c>
      <c r="E116" s="95">
        <f t="shared" si="18"/>
        <v>11000</v>
      </c>
      <c r="F116" s="95">
        <f t="shared" si="28"/>
        <v>8091.1751385901653</v>
      </c>
      <c r="G116" s="95">
        <f t="shared" si="19"/>
        <v>2908.8248614098347</v>
      </c>
      <c r="H116" s="95">
        <f t="shared" si="29"/>
        <v>266797.01309159567</v>
      </c>
      <c r="N116"/>
      <c r="O116" s="4">
        <v>99</v>
      </c>
      <c r="P116" s="4">
        <f t="shared" si="22"/>
        <v>1175636.1411786552</v>
      </c>
      <c r="Q116" s="4">
        <f t="shared" si="23"/>
        <v>1174736.1411786552</v>
      </c>
      <c r="R116" s="4">
        <f t="shared" si="20"/>
        <v>900</v>
      </c>
      <c r="S116" s="4">
        <f t="shared" si="26"/>
        <v>11639.961793848071</v>
      </c>
      <c r="T116" s="94">
        <f t="shared" si="24"/>
        <v>-10739.961793848071</v>
      </c>
      <c r="U116" s="94">
        <f t="shared" si="25"/>
        <v>1186483.5025904418</v>
      </c>
      <c r="V116" t="str">
        <f>""</f>
        <v/>
      </c>
      <c r="W116" s="88"/>
    </row>
    <row r="117" spans="2:23" x14ac:dyDescent="0.25">
      <c r="B117" s="95">
        <v>101</v>
      </c>
      <c r="C117" s="95">
        <f t="shared" si="21"/>
        <v>266797.01309159567</v>
      </c>
      <c r="D117" s="95">
        <f t="shared" si="27"/>
        <v>263800.92348434357</v>
      </c>
      <c r="E117" s="95">
        <f t="shared" si="18"/>
        <v>11000</v>
      </c>
      <c r="F117" s="95">
        <f t="shared" si="28"/>
        <v>8003.91039274787</v>
      </c>
      <c r="G117" s="95">
        <f t="shared" si="19"/>
        <v>2996.08960725213</v>
      </c>
      <c r="H117" s="95">
        <f t="shared" si="29"/>
        <v>263800.92348434357</v>
      </c>
      <c r="N117"/>
      <c r="O117" s="4">
        <v>100</v>
      </c>
      <c r="P117" s="4">
        <f t="shared" si="22"/>
        <v>1186483.5025904418</v>
      </c>
      <c r="Q117" s="4">
        <f t="shared" si="23"/>
        <v>1185583.5025904418</v>
      </c>
      <c r="R117" s="4">
        <f t="shared" si="20"/>
        <v>900</v>
      </c>
      <c r="S117" s="4">
        <f t="shared" si="26"/>
        <v>11747.361411786553</v>
      </c>
      <c r="T117" s="94">
        <f t="shared" si="24"/>
        <v>-10847.361411786553</v>
      </c>
      <c r="U117" s="94">
        <f t="shared" si="25"/>
        <v>1197439.3376163463</v>
      </c>
      <c r="V117" t="str">
        <f>""</f>
        <v/>
      </c>
      <c r="W117" s="88"/>
    </row>
    <row r="118" spans="2:23" x14ac:dyDescent="0.25">
      <c r="B118" s="95">
        <v>102</v>
      </c>
      <c r="C118" s="95">
        <f t="shared" si="21"/>
        <v>263800.92348434357</v>
      </c>
      <c r="D118" s="95">
        <f t="shared" si="27"/>
        <v>260714.95118887391</v>
      </c>
      <c r="E118" s="95">
        <f t="shared" si="18"/>
        <v>11000</v>
      </c>
      <c r="F118" s="95">
        <f t="shared" si="28"/>
        <v>7914.0277045303064</v>
      </c>
      <c r="G118" s="95">
        <f t="shared" si="19"/>
        <v>3085.9722954696936</v>
      </c>
      <c r="H118" s="95">
        <f t="shared" si="29"/>
        <v>260714.95118887391</v>
      </c>
      <c r="N118"/>
      <c r="O118" s="4">
        <v>101</v>
      </c>
      <c r="P118" s="4">
        <f t="shared" si="22"/>
        <v>1197439.3376163463</v>
      </c>
      <c r="Q118" s="4">
        <f t="shared" si="23"/>
        <v>1196539.3376163463</v>
      </c>
      <c r="R118" s="4">
        <f t="shared" si="20"/>
        <v>900</v>
      </c>
      <c r="S118" s="4">
        <f t="shared" si="26"/>
        <v>11855.835025904418</v>
      </c>
      <c r="T118" s="94">
        <f t="shared" si="24"/>
        <v>-10955.835025904418</v>
      </c>
      <c r="U118" s="94">
        <f t="shared" si="25"/>
        <v>1208504.7309925098</v>
      </c>
      <c r="V118" t="str">
        <f>""</f>
        <v/>
      </c>
      <c r="W118" s="88"/>
    </row>
    <row r="119" spans="2:23" x14ac:dyDescent="0.25">
      <c r="B119" s="95">
        <v>103</v>
      </c>
      <c r="C119" s="95">
        <f t="shared" si="21"/>
        <v>260714.95118887391</v>
      </c>
      <c r="D119" s="95">
        <f t="shared" si="27"/>
        <v>257536.39972454013</v>
      </c>
      <c r="E119" s="95">
        <f t="shared" si="18"/>
        <v>11000</v>
      </c>
      <c r="F119" s="95">
        <f t="shared" si="28"/>
        <v>7821.4485356662171</v>
      </c>
      <c r="G119" s="95">
        <f t="shared" si="19"/>
        <v>3178.5514643337829</v>
      </c>
      <c r="H119" s="95">
        <f t="shared" si="29"/>
        <v>257536.39972454013</v>
      </c>
      <c r="N119"/>
      <c r="O119" s="4">
        <v>102</v>
      </c>
      <c r="P119" s="4">
        <f t="shared" si="22"/>
        <v>1208504.7309925098</v>
      </c>
      <c r="Q119" s="4">
        <f t="shared" si="23"/>
        <v>1207604.7309925098</v>
      </c>
      <c r="R119" s="4">
        <f t="shared" si="20"/>
        <v>900</v>
      </c>
      <c r="S119" s="4">
        <f t="shared" si="26"/>
        <v>11965.393376163463</v>
      </c>
      <c r="T119" s="94">
        <f t="shared" si="24"/>
        <v>-11065.393376163463</v>
      </c>
      <c r="U119" s="94">
        <f t="shared" si="25"/>
        <v>1219680.7783024348</v>
      </c>
      <c r="V119" t="str">
        <f>""</f>
        <v/>
      </c>
      <c r="W119" s="88"/>
    </row>
    <row r="120" spans="2:23" x14ac:dyDescent="0.25">
      <c r="B120" s="95">
        <v>104</v>
      </c>
      <c r="C120" s="95">
        <f t="shared" si="21"/>
        <v>257536.39972454013</v>
      </c>
      <c r="D120" s="95">
        <f t="shared" si="27"/>
        <v>254262.49171627633</v>
      </c>
      <c r="E120" s="95">
        <f t="shared" si="18"/>
        <v>11000</v>
      </c>
      <c r="F120" s="95">
        <f t="shared" si="28"/>
        <v>7726.0919917362035</v>
      </c>
      <c r="G120" s="95">
        <f t="shared" si="19"/>
        <v>3273.9080082637965</v>
      </c>
      <c r="H120" s="95">
        <f t="shared" si="29"/>
        <v>254262.49171627633</v>
      </c>
      <c r="N120"/>
      <c r="O120" s="4">
        <v>103</v>
      </c>
      <c r="P120" s="4">
        <f t="shared" si="22"/>
        <v>1219680.7783024348</v>
      </c>
      <c r="Q120" s="4">
        <f t="shared" si="23"/>
        <v>1218780.7783024348</v>
      </c>
      <c r="R120" s="4">
        <f t="shared" si="20"/>
        <v>900</v>
      </c>
      <c r="S120" s="4">
        <f t="shared" si="26"/>
        <v>12076.047309925098</v>
      </c>
      <c r="T120" s="94">
        <f t="shared" si="24"/>
        <v>-11176.047309925098</v>
      </c>
      <c r="U120" s="94">
        <f t="shared" si="25"/>
        <v>1230968.5860854592</v>
      </c>
      <c r="V120" t="str">
        <f>""</f>
        <v/>
      </c>
      <c r="W120" s="88"/>
    </row>
    <row r="121" spans="2:23" x14ac:dyDescent="0.25">
      <c r="B121" s="95">
        <v>105</v>
      </c>
      <c r="C121" s="95">
        <f t="shared" si="21"/>
        <v>254262.49171627633</v>
      </c>
      <c r="D121" s="95">
        <f t="shared" si="27"/>
        <v>250890.36646776463</v>
      </c>
      <c r="E121" s="95">
        <f t="shared" si="18"/>
        <v>11000</v>
      </c>
      <c r="F121" s="95">
        <f t="shared" si="28"/>
        <v>7627.8747514882898</v>
      </c>
      <c r="G121" s="95">
        <f t="shared" si="19"/>
        <v>3372.1252485117102</v>
      </c>
      <c r="H121" s="95">
        <f t="shared" si="29"/>
        <v>250890.36646776463</v>
      </c>
      <c r="N121"/>
      <c r="O121" s="4">
        <v>104</v>
      </c>
      <c r="P121" s="4">
        <f t="shared" si="22"/>
        <v>1230968.5860854592</v>
      </c>
      <c r="Q121" s="4">
        <f t="shared" si="23"/>
        <v>1230068.5860854592</v>
      </c>
      <c r="R121" s="4">
        <f t="shared" si="20"/>
        <v>900</v>
      </c>
      <c r="S121" s="4">
        <f t="shared" si="26"/>
        <v>12187.807783024349</v>
      </c>
      <c r="T121" s="94">
        <f t="shared" si="24"/>
        <v>-11287.807783024349</v>
      </c>
      <c r="U121" s="94">
        <f t="shared" si="25"/>
        <v>1242369.2719463138</v>
      </c>
      <c r="V121" t="str">
        <f>""</f>
        <v/>
      </c>
      <c r="W121" s="88"/>
    </row>
    <row r="122" spans="2:23" x14ac:dyDescent="0.25">
      <c r="B122" s="95">
        <v>106</v>
      </c>
      <c r="C122" s="95">
        <f t="shared" si="21"/>
        <v>250890.36646776463</v>
      </c>
      <c r="D122" s="95">
        <f t="shared" si="27"/>
        <v>247417.07746179757</v>
      </c>
      <c r="E122" s="95">
        <f t="shared" si="18"/>
        <v>11000</v>
      </c>
      <c r="F122" s="95">
        <f t="shared" si="28"/>
        <v>7526.7109940329383</v>
      </c>
      <c r="G122" s="95">
        <f t="shared" si="19"/>
        <v>3473.2890059670617</v>
      </c>
      <c r="H122" s="95">
        <f t="shared" si="29"/>
        <v>247417.07746179757</v>
      </c>
      <c r="N122"/>
      <c r="O122" s="4">
        <v>105</v>
      </c>
      <c r="P122" s="4">
        <f t="shared" si="22"/>
        <v>1242369.2719463138</v>
      </c>
      <c r="Q122" s="4">
        <f t="shared" si="23"/>
        <v>1241469.2719463138</v>
      </c>
      <c r="R122" s="4">
        <f t="shared" si="20"/>
        <v>900</v>
      </c>
      <c r="S122" s="4">
        <f t="shared" si="26"/>
        <v>12300.685860854592</v>
      </c>
      <c r="T122" s="94">
        <f t="shared" si="24"/>
        <v>-11400.685860854592</v>
      </c>
      <c r="U122" s="94">
        <f t="shared" si="25"/>
        <v>1253883.964665777</v>
      </c>
      <c r="V122" t="str">
        <f>""</f>
        <v/>
      </c>
      <c r="W122" s="88"/>
    </row>
    <row r="123" spans="2:23" x14ac:dyDescent="0.25">
      <c r="B123" s="95">
        <v>107</v>
      </c>
      <c r="C123" s="95">
        <f t="shared" si="21"/>
        <v>247417.07746179757</v>
      </c>
      <c r="D123" s="95">
        <f t="shared" si="27"/>
        <v>243839.58978565151</v>
      </c>
      <c r="E123" s="95">
        <f t="shared" si="18"/>
        <v>11000</v>
      </c>
      <c r="F123" s="95">
        <f t="shared" si="28"/>
        <v>7422.5123238539272</v>
      </c>
      <c r="G123" s="95">
        <f t="shared" si="19"/>
        <v>3577.4876761460728</v>
      </c>
      <c r="H123" s="95">
        <f t="shared" si="29"/>
        <v>243839.58978565151</v>
      </c>
      <c r="N123"/>
      <c r="O123" s="4">
        <v>106</v>
      </c>
      <c r="P123" s="4">
        <f t="shared" si="22"/>
        <v>1253883.964665777</v>
      </c>
      <c r="Q123" s="4">
        <f t="shared" si="23"/>
        <v>1252983.964665777</v>
      </c>
      <c r="R123" s="4">
        <f t="shared" si="20"/>
        <v>900</v>
      </c>
      <c r="S123" s="4">
        <f t="shared" si="26"/>
        <v>12414.692719463139</v>
      </c>
      <c r="T123" s="94">
        <f t="shared" si="24"/>
        <v>-11514.692719463139</v>
      </c>
      <c r="U123" s="94">
        <f t="shared" si="25"/>
        <v>1265513.8043124347</v>
      </c>
      <c r="V123" t="str">
        <f>""</f>
        <v/>
      </c>
      <c r="W123" s="88"/>
    </row>
    <row r="124" spans="2:23" x14ac:dyDescent="0.25">
      <c r="B124" s="95"/>
      <c r="C124" s="95">
        <f t="shared" si="21"/>
        <v>243839.58978565151</v>
      </c>
      <c r="D124" s="95">
        <f t="shared" si="27"/>
        <v>240154.77747922105</v>
      </c>
      <c r="E124" s="95">
        <f t="shared" si="18"/>
        <v>11000</v>
      </c>
      <c r="F124" s="95">
        <f t="shared" si="28"/>
        <v>7315.1876935695445</v>
      </c>
      <c r="G124" s="95">
        <f t="shared" si="19"/>
        <v>3684.8123064304555</v>
      </c>
      <c r="H124" s="95">
        <f t="shared" si="29"/>
        <v>240154.77747922105</v>
      </c>
      <c r="N124"/>
      <c r="O124" s="4">
        <v>107</v>
      </c>
      <c r="P124" s="4">
        <f t="shared" si="22"/>
        <v>1265513.8043124347</v>
      </c>
      <c r="Q124" s="4">
        <f t="shared" si="23"/>
        <v>1264613.8043124347</v>
      </c>
      <c r="R124" s="4">
        <f t="shared" si="20"/>
        <v>900</v>
      </c>
      <c r="S124" s="4">
        <f t="shared" si="26"/>
        <v>12529.839646657771</v>
      </c>
      <c r="T124" s="94">
        <f t="shared" si="24"/>
        <v>-11629.839646657771</v>
      </c>
      <c r="U124" s="94">
        <f t="shared" si="25"/>
        <v>1277259.9423555592</v>
      </c>
      <c r="V124" t="str">
        <f>""</f>
        <v/>
      </c>
      <c r="W124" s="88"/>
    </row>
    <row r="125" spans="2:23" x14ac:dyDescent="0.25">
      <c r="B125" s="95"/>
      <c r="C125" s="95">
        <f t="shared" si="21"/>
        <v>240154.77747922105</v>
      </c>
      <c r="D125" s="95">
        <f t="shared" si="27"/>
        <v>236359.42080359769</v>
      </c>
      <c r="E125" s="95">
        <f t="shared" si="18"/>
        <v>11000</v>
      </c>
      <c r="F125" s="95">
        <f t="shared" si="28"/>
        <v>7204.6433243766314</v>
      </c>
      <c r="G125" s="95">
        <f t="shared" si="19"/>
        <v>3795.3566756233686</v>
      </c>
      <c r="H125" s="95">
        <f t="shared" si="29"/>
        <v>236359.42080359769</v>
      </c>
      <c r="N125"/>
      <c r="O125" s="4">
        <v>108</v>
      </c>
      <c r="P125" s="4">
        <f t="shared" si="22"/>
        <v>1277259.9423555592</v>
      </c>
      <c r="Q125" s="4">
        <f t="shared" si="23"/>
        <v>1276359.9423555592</v>
      </c>
      <c r="R125" s="4">
        <f t="shared" si="20"/>
        <v>900</v>
      </c>
      <c r="S125" s="4">
        <f t="shared" si="26"/>
        <v>12646.138043124347</v>
      </c>
      <c r="T125" s="94">
        <f t="shared" si="24"/>
        <v>-11746.138043124347</v>
      </c>
      <c r="U125" s="94">
        <f t="shared" si="25"/>
        <v>1289123.5417791149</v>
      </c>
      <c r="V125" t="str">
        <f>""</f>
        <v/>
      </c>
      <c r="W125" s="88"/>
    </row>
    <row r="126" spans="2:23" x14ac:dyDescent="0.25">
      <c r="B126" s="95"/>
      <c r="C126" s="95">
        <f t="shared" si="21"/>
        <v>236359.42080359769</v>
      </c>
      <c r="D126" s="95">
        <f t="shared" si="27"/>
        <v>232450.20342770562</v>
      </c>
      <c r="E126" s="95">
        <f t="shared" si="18"/>
        <v>11000</v>
      </c>
      <c r="F126" s="95">
        <f t="shared" si="28"/>
        <v>7090.7826241079301</v>
      </c>
      <c r="G126" s="95">
        <f t="shared" si="19"/>
        <v>3909.2173758920699</v>
      </c>
      <c r="H126" s="95">
        <f t="shared" si="29"/>
        <v>232450.20342770562</v>
      </c>
      <c r="N126"/>
      <c r="O126" s="4">
        <v>109</v>
      </c>
      <c r="P126" s="4">
        <f t="shared" si="22"/>
        <v>1289123.5417791149</v>
      </c>
      <c r="Q126" s="4">
        <f t="shared" si="23"/>
        <v>1288223.5417791149</v>
      </c>
      <c r="R126" s="4">
        <f t="shared" si="20"/>
        <v>900</v>
      </c>
      <c r="S126" s="4">
        <f t="shared" si="26"/>
        <v>12763.599423555592</v>
      </c>
      <c r="T126" s="94">
        <f t="shared" si="24"/>
        <v>-11863.599423555592</v>
      </c>
      <c r="U126" s="94">
        <f t="shared" si="25"/>
        <v>1301105.777196906</v>
      </c>
      <c r="V126" t="str">
        <f>""</f>
        <v/>
      </c>
      <c r="W126" s="88"/>
    </row>
    <row r="127" spans="2:23" x14ac:dyDescent="0.25">
      <c r="B127" s="95"/>
      <c r="C127" s="95">
        <f t="shared" si="21"/>
        <v>232450.20342770562</v>
      </c>
      <c r="D127" s="95">
        <f t="shared" si="27"/>
        <v>228423.70953053678</v>
      </c>
      <c r="E127" s="95">
        <f t="shared" si="18"/>
        <v>11000</v>
      </c>
      <c r="F127" s="95">
        <f t="shared" si="28"/>
        <v>6973.5061028311684</v>
      </c>
      <c r="G127" s="95">
        <f t="shared" si="19"/>
        <v>4026.4938971688316</v>
      </c>
      <c r="H127" s="95">
        <f t="shared" si="29"/>
        <v>228423.70953053678</v>
      </c>
      <c r="N127"/>
      <c r="O127" s="4">
        <v>110</v>
      </c>
      <c r="P127" s="4">
        <f t="shared" si="22"/>
        <v>1301105.777196906</v>
      </c>
      <c r="Q127" s="4">
        <f t="shared" si="23"/>
        <v>1300205.777196906</v>
      </c>
      <c r="R127" s="4">
        <f t="shared" si="20"/>
        <v>900</v>
      </c>
      <c r="S127" s="4">
        <f t="shared" si="26"/>
        <v>12882.235417791149</v>
      </c>
      <c r="T127" s="94">
        <f t="shared" si="24"/>
        <v>-11982.235417791149</v>
      </c>
      <c r="U127" s="94">
        <f t="shared" si="25"/>
        <v>1313207.8349688752</v>
      </c>
      <c r="V127" t="str">
        <f>""</f>
        <v/>
      </c>
      <c r="W127" s="88"/>
    </row>
    <row r="128" spans="2:23" x14ac:dyDescent="0.25">
      <c r="B128" s="95"/>
      <c r="C128" s="95">
        <f t="shared" si="21"/>
        <v>228423.70953053678</v>
      </c>
      <c r="D128" s="95">
        <f t="shared" si="27"/>
        <v>224276.42081645288</v>
      </c>
      <c r="E128" s="95">
        <f t="shared" si="18"/>
        <v>11000</v>
      </c>
      <c r="F128" s="95">
        <f t="shared" si="28"/>
        <v>6852.7112859161034</v>
      </c>
      <c r="G128" s="95">
        <f t="shared" si="19"/>
        <v>4147.2887140838966</v>
      </c>
      <c r="H128" s="95">
        <f t="shared" si="29"/>
        <v>224276.42081645288</v>
      </c>
      <c r="N128"/>
      <c r="O128" s="4">
        <v>111</v>
      </c>
      <c r="P128" s="4">
        <f t="shared" si="22"/>
        <v>1313207.8349688752</v>
      </c>
      <c r="Q128" s="4">
        <f t="shared" si="23"/>
        <v>1312307.8349688752</v>
      </c>
      <c r="R128" s="4">
        <f t="shared" si="20"/>
        <v>900</v>
      </c>
      <c r="S128" s="4">
        <f t="shared" si="26"/>
        <v>13002.057771969061</v>
      </c>
      <c r="T128" s="94">
        <f t="shared" si="24"/>
        <v>-12102.057771969061</v>
      </c>
      <c r="U128" s="94">
        <f t="shared" si="25"/>
        <v>1325430.913318564</v>
      </c>
      <c r="V128" t="str">
        <f>""</f>
        <v/>
      </c>
      <c r="W128" s="88"/>
    </row>
    <row r="129" spans="2:23" x14ac:dyDescent="0.25">
      <c r="B129" s="95"/>
      <c r="C129" s="95">
        <f t="shared" si="21"/>
        <v>224276.42081645288</v>
      </c>
      <c r="D129" s="95">
        <f t="shared" si="27"/>
        <v>220004.71344094648</v>
      </c>
      <c r="E129" s="95">
        <f t="shared" si="18"/>
        <v>11000</v>
      </c>
      <c r="F129" s="95">
        <f t="shared" si="28"/>
        <v>6728.2926244935861</v>
      </c>
      <c r="G129" s="95">
        <f t="shared" si="19"/>
        <v>4271.7073755064139</v>
      </c>
      <c r="H129" s="95">
        <f t="shared" si="29"/>
        <v>220004.71344094648</v>
      </c>
      <c r="N129"/>
      <c r="O129" s="4">
        <v>112</v>
      </c>
      <c r="P129" s="4">
        <f t="shared" si="22"/>
        <v>1325430.913318564</v>
      </c>
      <c r="Q129" s="4">
        <f t="shared" si="23"/>
        <v>1324530.913318564</v>
      </c>
      <c r="R129" s="4">
        <f t="shared" si="20"/>
        <v>900</v>
      </c>
      <c r="S129" s="4">
        <f t="shared" si="26"/>
        <v>13123.078349688752</v>
      </c>
      <c r="T129" s="94">
        <f t="shared" si="24"/>
        <v>-12223.078349688752</v>
      </c>
      <c r="U129" s="94">
        <f t="shared" si="25"/>
        <v>1337776.2224517495</v>
      </c>
      <c r="V129" t="str">
        <f>""</f>
        <v/>
      </c>
      <c r="W129" s="88"/>
    </row>
    <row r="130" spans="2:23" x14ac:dyDescent="0.25">
      <c r="B130" s="95"/>
      <c r="C130" s="95">
        <f t="shared" si="21"/>
        <v>220004.71344094648</v>
      </c>
      <c r="D130" s="95">
        <f t="shared" si="27"/>
        <v>215604.85484417487</v>
      </c>
      <c r="E130" s="95">
        <f t="shared" si="18"/>
        <v>11000</v>
      </c>
      <c r="F130" s="95">
        <f t="shared" si="28"/>
        <v>6600.1414032283938</v>
      </c>
      <c r="G130" s="95">
        <f t="shared" si="19"/>
        <v>4399.8585967716062</v>
      </c>
      <c r="H130" s="95">
        <f t="shared" si="29"/>
        <v>215604.85484417487</v>
      </c>
      <c r="N130"/>
      <c r="O130" s="4">
        <v>113</v>
      </c>
      <c r="P130" s="4">
        <f t="shared" si="22"/>
        <v>1337776.2224517495</v>
      </c>
      <c r="Q130" s="4">
        <f t="shared" si="23"/>
        <v>1336876.2224517495</v>
      </c>
      <c r="R130" s="4">
        <f t="shared" si="20"/>
        <v>900</v>
      </c>
      <c r="S130" s="4">
        <f t="shared" si="26"/>
        <v>13245.309133185639</v>
      </c>
      <c r="T130" s="94">
        <f t="shared" si="24"/>
        <v>-12345.309133185639</v>
      </c>
      <c r="U130" s="94">
        <f t="shared" si="25"/>
        <v>1350244.984676267</v>
      </c>
      <c r="V130" t="str">
        <f>""</f>
        <v/>
      </c>
      <c r="W130" s="88"/>
    </row>
    <row r="131" spans="2:23" x14ac:dyDescent="0.25">
      <c r="B131" s="95"/>
      <c r="C131" s="95">
        <f t="shared" si="21"/>
        <v>215604.85484417487</v>
      </c>
      <c r="D131" s="95">
        <f t="shared" si="27"/>
        <v>211073.00048950012</v>
      </c>
      <c r="E131" s="95">
        <f t="shared" si="18"/>
        <v>11000</v>
      </c>
      <c r="F131" s="95">
        <f t="shared" si="28"/>
        <v>6468.1456453252458</v>
      </c>
      <c r="G131" s="95">
        <f t="shared" si="19"/>
        <v>4531.8543546747542</v>
      </c>
      <c r="H131" s="95">
        <f t="shared" si="29"/>
        <v>211073.00048950012</v>
      </c>
      <c r="N131"/>
      <c r="O131" s="4">
        <v>114</v>
      </c>
      <c r="P131" s="4">
        <f t="shared" si="22"/>
        <v>1350244.984676267</v>
      </c>
      <c r="Q131" s="4">
        <f t="shared" si="23"/>
        <v>1349344.984676267</v>
      </c>
      <c r="R131" s="4">
        <f t="shared" si="20"/>
        <v>900</v>
      </c>
      <c r="S131" s="4">
        <f t="shared" si="26"/>
        <v>13368.762224517495</v>
      </c>
      <c r="T131" s="94">
        <f t="shared" si="24"/>
        <v>-12468.762224517495</v>
      </c>
      <c r="U131" s="94">
        <f t="shared" si="25"/>
        <v>1362838.4345230297</v>
      </c>
      <c r="V131" t="str">
        <f>""</f>
        <v/>
      </c>
      <c r="W131" s="88"/>
    </row>
    <row r="132" spans="2:23" x14ac:dyDescent="0.25">
      <c r="B132" s="95"/>
      <c r="C132" s="95">
        <f t="shared" si="21"/>
        <v>211073.00048950012</v>
      </c>
      <c r="D132" s="95">
        <f t="shared" si="27"/>
        <v>206405.19050418513</v>
      </c>
      <c r="E132" s="95">
        <f t="shared" si="18"/>
        <v>11000</v>
      </c>
      <c r="F132" s="95">
        <f t="shared" si="28"/>
        <v>6332.190014685003</v>
      </c>
      <c r="G132" s="95">
        <f t="shared" si="19"/>
        <v>4667.809985314997</v>
      </c>
      <c r="H132" s="95">
        <f t="shared" si="29"/>
        <v>206405.19050418513</v>
      </c>
      <c r="N132"/>
      <c r="O132" s="4">
        <v>115</v>
      </c>
      <c r="P132" s="4">
        <f t="shared" si="22"/>
        <v>1362838.4345230297</v>
      </c>
      <c r="Q132" s="4">
        <f t="shared" si="23"/>
        <v>1361938.4345230297</v>
      </c>
      <c r="R132" s="4">
        <f t="shared" si="20"/>
        <v>900</v>
      </c>
      <c r="S132" s="4">
        <f t="shared" si="26"/>
        <v>13493.449846762671</v>
      </c>
      <c r="T132" s="94">
        <f t="shared" si="24"/>
        <v>-12593.449846762671</v>
      </c>
      <c r="U132" s="94">
        <f t="shared" si="25"/>
        <v>1375557.8188682601</v>
      </c>
      <c r="V132" t="str">
        <f>""</f>
        <v/>
      </c>
      <c r="W132" s="88"/>
    </row>
    <row r="133" spans="2:23" x14ac:dyDescent="0.25">
      <c r="B133" s="95"/>
      <c r="C133" s="95">
        <f t="shared" si="21"/>
        <v>206405.19050418513</v>
      </c>
      <c r="D133" s="95">
        <f t="shared" si="27"/>
        <v>201597.34621931068</v>
      </c>
      <c r="E133" s="95">
        <f t="shared" si="18"/>
        <v>11000</v>
      </c>
      <c r="F133" s="95">
        <f t="shared" si="28"/>
        <v>6192.1557151255538</v>
      </c>
      <c r="G133" s="95">
        <f t="shared" si="19"/>
        <v>4807.8442848744462</v>
      </c>
      <c r="H133" s="95">
        <f t="shared" si="29"/>
        <v>201597.34621931068</v>
      </c>
      <c r="N133"/>
      <c r="O133" s="4">
        <v>116</v>
      </c>
      <c r="P133" s="4">
        <f t="shared" si="22"/>
        <v>1375557.8188682601</v>
      </c>
      <c r="Q133" s="4">
        <f t="shared" si="23"/>
        <v>1374657.8188682601</v>
      </c>
      <c r="R133" s="4">
        <f t="shared" si="20"/>
        <v>900</v>
      </c>
      <c r="S133" s="4">
        <f t="shared" si="26"/>
        <v>13619.384345230297</v>
      </c>
      <c r="T133" s="94">
        <f t="shared" si="24"/>
        <v>-12719.384345230297</v>
      </c>
      <c r="U133" s="94">
        <f t="shared" si="25"/>
        <v>1388404.3970569428</v>
      </c>
      <c r="V133" t="str">
        <f>""</f>
        <v/>
      </c>
      <c r="W133" s="88"/>
    </row>
    <row r="134" spans="2:23" x14ac:dyDescent="0.25">
      <c r="B134" s="95"/>
      <c r="C134" s="95">
        <f t="shared" si="21"/>
        <v>201597.34621931068</v>
      </c>
      <c r="D134" s="95">
        <f t="shared" si="27"/>
        <v>196645.26660589001</v>
      </c>
      <c r="E134" s="95">
        <f t="shared" si="18"/>
        <v>11000</v>
      </c>
      <c r="F134" s="95">
        <f t="shared" si="28"/>
        <v>6047.9203865793206</v>
      </c>
      <c r="G134" s="95">
        <f t="shared" si="19"/>
        <v>4952.0796134206794</v>
      </c>
      <c r="H134" s="95">
        <f t="shared" si="29"/>
        <v>196645.26660589001</v>
      </c>
      <c r="N134"/>
      <c r="O134" s="4">
        <v>117</v>
      </c>
      <c r="P134" s="4">
        <f t="shared" si="22"/>
        <v>1388404.3970569428</v>
      </c>
      <c r="Q134" s="4">
        <f t="shared" si="23"/>
        <v>1387504.3970569428</v>
      </c>
      <c r="R134" s="4">
        <f t="shared" si="20"/>
        <v>900</v>
      </c>
      <c r="S134" s="4">
        <f t="shared" si="26"/>
        <v>13746.578188682601</v>
      </c>
      <c r="T134" s="94">
        <f t="shared" si="24"/>
        <v>-12846.578188682601</v>
      </c>
      <c r="U134" s="94">
        <f t="shared" si="25"/>
        <v>1401379.4410275123</v>
      </c>
      <c r="V134" t="str">
        <f>""</f>
        <v/>
      </c>
      <c r="W134" s="88"/>
    </row>
    <row r="135" spans="2:23" x14ac:dyDescent="0.25">
      <c r="B135" s="95"/>
      <c r="C135" s="95">
        <f t="shared" si="21"/>
        <v>196645.26660589001</v>
      </c>
      <c r="D135" s="95">
        <f t="shared" si="27"/>
        <v>191544.62460406672</v>
      </c>
      <c r="E135" s="95">
        <f t="shared" si="18"/>
        <v>11000</v>
      </c>
      <c r="F135" s="95">
        <f t="shared" si="28"/>
        <v>5899.3579981766998</v>
      </c>
      <c r="G135" s="95">
        <f t="shared" si="19"/>
        <v>5100.6420018233002</v>
      </c>
      <c r="H135" s="95">
        <f t="shared" si="29"/>
        <v>191544.62460406672</v>
      </c>
      <c r="N135"/>
      <c r="O135" s="4">
        <v>118</v>
      </c>
      <c r="P135" s="4">
        <f t="shared" si="22"/>
        <v>1401379.4410275123</v>
      </c>
      <c r="Q135" s="4">
        <f t="shared" si="23"/>
        <v>1400479.4410275123</v>
      </c>
      <c r="R135" s="4">
        <f t="shared" si="20"/>
        <v>900</v>
      </c>
      <c r="S135" s="4">
        <f t="shared" si="26"/>
        <v>13875.043970569428</v>
      </c>
      <c r="T135" s="94">
        <f t="shared" si="24"/>
        <v>-12975.043970569428</v>
      </c>
      <c r="U135" s="94">
        <f t="shared" si="25"/>
        <v>1414484.2354377874</v>
      </c>
      <c r="V135" t="str">
        <f>""</f>
        <v/>
      </c>
      <c r="W135" s="88"/>
    </row>
    <row r="136" spans="2:23" x14ac:dyDescent="0.25">
      <c r="B136" s="95"/>
      <c r="C136" s="95">
        <f t="shared" si="21"/>
        <v>191544.62460406672</v>
      </c>
      <c r="D136" s="95">
        <f t="shared" si="27"/>
        <v>186290.96334218871</v>
      </c>
      <c r="E136" s="95">
        <f t="shared" si="18"/>
        <v>11000</v>
      </c>
      <c r="F136" s="95">
        <f t="shared" si="28"/>
        <v>5746.3387381220009</v>
      </c>
      <c r="G136" s="95">
        <f t="shared" si="19"/>
        <v>5253.6612618779991</v>
      </c>
      <c r="H136" s="95">
        <f t="shared" si="29"/>
        <v>186290.96334218871</v>
      </c>
      <c r="N136"/>
      <c r="O136" s="4">
        <v>119</v>
      </c>
      <c r="P136" s="4">
        <f t="shared" si="22"/>
        <v>1414484.2354377874</v>
      </c>
      <c r="Q136" s="4">
        <f t="shared" si="23"/>
        <v>1413584.2354377874</v>
      </c>
      <c r="R136" s="4">
        <f t="shared" si="20"/>
        <v>900</v>
      </c>
      <c r="S136" s="4">
        <f t="shared" si="26"/>
        <v>14004.794410275123</v>
      </c>
      <c r="T136" s="94">
        <f t="shared" si="24"/>
        <v>-13104.794410275123</v>
      </c>
      <c r="U136" s="94">
        <f t="shared" si="25"/>
        <v>1427720.0777921653</v>
      </c>
      <c r="V136" t="str">
        <f>""</f>
        <v/>
      </c>
      <c r="W136" s="88"/>
    </row>
    <row r="137" spans="2:23" x14ac:dyDescent="0.25">
      <c r="B137" s="95"/>
      <c r="C137" s="95">
        <f t="shared" si="21"/>
        <v>186290.96334218871</v>
      </c>
      <c r="D137" s="95">
        <f t="shared" si="27"/>
        <v>180879.69224245439</v>
      </c>
      <c r="E137" s="95">
        <f t="shared" si="18"/>
        <v>11000</v>
      </c>
      <c r="F137" s="95">
        <f t="shared" si="28"/>
        <v>5588.7289002656607</v>
      </c>
      <c r="G137" s="95">
        <f t="shared" si="19"/>
        <v>5411.2710997343393</v>
      </c>
      <c r="H137" s="95">
        <f t="shared" si="29"/>
        <v>180879.69224245439</v>
      </c>
      <c r="N137"/>
      <c r="O137" s="4">
        <v>120</v>
      </c>
      <c r="P137" s="4">
        <f t="shared" si="22"/>
        <v>1427720.0777921653</v>
      </c>
      <c r="Q137" s="4">
        <f t="shared" si="23"/>
        <v>1426820.0777921653</v>
      </c>
      <c r="R137" s="4">
        <f t="shared" si="20"/>
        <v>900</v>
      </c>
      <c r="S137" s="4">
        <f t="shared" si="26"/>
        <v>14135.842354377874</v>
      </c>
      <c r="T137" s="94">
        <f t="shared" si="24"/>
        <v>-13235.842354377874</v>
      </c>
      <c r="U137" s="94">
        <f t="shared" si="25"/>
        <v>1441088.2785700869</v>
      </c>
      <c r="V137" t="str">
        <f>""</f>
        <v/>
      </c>
      <c r="W137" s="88"/>
    </row>
    <row r="138" spans="2:23" x14ac:dyDescent="0.25">
      <c r="B138" s="95"/>
      <c r="C138" s="95">
        <f t="shared" si="21"/>
        <v>180879.69224245439</v>
      </c>
      <c r="D138" s="95">
        <f t="shared" si="27"/>
        <v>175306.08300972803</v>
      </c>
      <c r="E138" s="95">
        <f t="shared" si="18"/>
        <v>11000</v>
      </c>
      <c r="F138" s="95">
        <f t="shared" si="28"/>
        <v>5426.3907672736314</v>
      </c>
      <c r="G138" s="95">
        <f t="shared" si="19"/>
        <v>5573.6092327263686</v>
      </c>
      <c r="H138" s="95">
        <f t="shared" si="29"/>
        <v>175306.08300972803</v>
      </c>
      <c r="N138"/>
      <c r="O138" s="4">
        <v>121</v>
      </c>
      <c r="P138" s="4">
        <f t="shared" si="22"/>
        <v>1441088.2785700869</v>
      </c>
      <c r="Q138" s="4">
        <f t="shared" si="23"/>
        <v>1440188.2785700869</v>
      </c>
      <c r="R138" s="4">
        <f t="shared" si="20"/>
        <v>900</v>
      </c>
      <c r="S138" s="4">
        <f t="shared" si="26"/>
        <v>14268.200777921653</v>
      </c>
      <c r="T138" s="94">
        <f t="shared" si="24"/>
        <v>-13368.200777921653</v>
      </c>
      <c r="U138" s="94">
        <f t="shared" si="25"/>
        <v>1454590.1613557879</v>
      </c>
      <c r="V138" t="str">
        <f>""</f>
        <v/>
      </c>
      <c r="W138" s="88"/>
    </row>
    <row r="139" spans="2:23" x14ac:dyDescent="0.25">
      <c r="B139" s="95"/>
      <c r="C139" s="95">
        <f t="shared" si="21"/>
        <v>175306.08300972803</v>
      </c>
      <c r="D139" s="95">
        <f t="shared" si="27"/>
        <v>169565.26550001989</v>
      </c>
      <c r="E139" s="95">
        <f t="shared" si="18"/>
        <v>11000</v>
      </c>
      <c r="F139" s="95">
        <f t="shared" si="28"/>
        <v>5259.1824902918406</v>
      </c>
      <c r="G139" s="95">
        <f t="shared" si="19"/>
        <v>5740.8175097081594</v>
      </c>
      <c r="H139" s="95">
        <f t="shared" si="29"/>
        <v>169565.26550001989</v>
      </c>
      <c r="N139"/>
      <c r="O139" s="4">
        <v>122</v>
      </c>
      <c r="P139" s="4">
        <f t="shared" si="22"/>
        <v>1454590.1613557879</v>
      </c>
      <c r="Q139" s="4">
        <f t="shared" si="23"/>
        <v>1453690.1613557879</v>
      </c>
      <c r="R139" s="4">
        <f t="shared" si="20"/>
        <v>900</v>
      </c>
      <c r="S139" s="4">
        <f t="shared" si="26"/>
        <v>14401.882785700869</v>
      </c>
      <c r="T139" s="94">
        <f t="shared" si="24"/>
        <v>-13501.882785700869</v>
      </c>
      <c r="U139" s="94">
        <f t="shared" si="25"/>
        <v>1468227.0629693458</v>
      </c>
      <c r="V139" t="str">
        <f>""</f>
        <v/>
      </c>
      <c r="W139" s="88"/>
    </row>
    <row r="140" spans="2:23" x14ac:dyDescent="0.25">
      <c r="B140" s="95"/>
      <c r="C140" s="95">
        <f t="shared" si="21"/>
        <v>169565.26550001989</v>
      </c>
      <c r="D140" s="95">
        <f t="shared" si="27"/>
        <v>163652.22346502048</v>
      </c>
      <c r="E140" s="95">
        <f t="shared" si="18"/>
        <v>11000</v>
      </c>
      <c r="F140" s="95">
        <f t="shared" si="28"/>
        <v>5086.9579650005962</v>
      </c>
      <c r="G140" s="95">
        <f t="shared" si="19"/>
        <v>5913.0420349994038</v>
      </c>
      <c r="H140" s="95">
        <f t="shared" si="29"/>
        <v>163652.22346502048</v>
      </c>
      <c r="N140"/>
      <c r="O140" s="4">
        <v>123</v>
      </c>
      <c r="P140" s="4">
        <f t="shared" si="22"/>
        <v>1468227.0629693458</v>
      </c>
      <c r="Q140" s="4">
        <f t="shared" si="23"/>
        <v>1467327.0629693458</v>
      </c>
      <c r="R140" s="4">
        <f t="shared" si="20"/>
        <v>900</v>
      </c>
      <c r="S140" s="4">
        <f t="shared" si="26"/>
        <v>14536.901613557879</v>
      </c>
      <c r="T140" s="94">
        <f t="shared" si="24"/>
        <v>-13636.901613557879</v>
      </c>
      <c r="U140" s="94">
        <f t="shared" si="25"/>
        <v>1482000.3335990394</v>
      </c>
      <c r="V140" t="str">
        <f>""</f>
        <v/>
      </c>
      <c r="W140" s="88"/>
    </row>
    <row r="141" spans="2:23" x14ac:dyDescent="0.25">
      <c r="B141" s="95"/>
      <c r="C141" s="95">
        <f t="shared" si="21"/>
        <v>163652.22346502048</v>
      </c>
      <c r="D141" s="95">
        <f t="shared" si="27"/>
        <v>157561.79016897109</v>
      </c>
      <c r="E141" s="95">
        <f t="shared" si="18"/>
        <v>11000</v>
      </c>
      <c r="F141" s="95">
        <f t="shared" si="28"/>
        <v>4909.5667039506143</v>
      </c>
      <c r="G141" s="95">
        <f t="shared" si="19"/>
        <v>6090.4332960493857</v>
      </c>
      <c r="H141" s="95">
        <f t="shared" si="29"/>
        <v>157561.79016897109</v>
      </c>
      <c r="N141"/>
      <c r="O141" s="4">
        <v>124</v>
      </c>
      <c r="P141" s="4">
        <f t="shared" si="22"/>
        <v>1482000.3335990394</v>
      </c>
      <c r="Q141" s="4">
        <f t="shared" si="23"/>
        <v>1481100.3335990394</v>
      </c>
      <c r="R141" s="4">
        <f t="shared" si="20"/>
        <v>900</v>
      </c>
      <c r="S141" s="4">
        <f t="shared" si="26"/>
        <v>14673.270629693459</v>
      </c>
      <c r="T141" s="94">
        <f t="shared" si="24"/>
        <v>-13773.270629693459</v>
      </c>
      <c r="U141" s="94">
        <f t="shared" si="25"/>
        <v>1495911.3369350298</v>
      </c>
      <c r="V141" t="str">
        <f>""</f>
        <v/>
      </c>
      <c r="W141" s="88"/>
    </row>
    <row r="142" spans="2:23" x14ac:dyDescent="0.25">
      <c r="B142" s="95"/>
      <c r="C142" s="95">
        <f t="shared" si="21"/>
        <v>157561.79016897109</v>
      </c>
      <c r="D142" s="95">
        <f t="shared" si="27"/>
        <v>151288.64387404022</v>
      </c>
      <c r="E142" s="95">
        <f t="shared" si="18"/>
        <v>11000</v>
      </c>
      <c r="F142" s="95">
        <f t="shared" si="28"/>
        <v>4726.853705069132</v>
      </c>
      <c r="G142" s="95">
        <f t="shared" si="19"/>
        <v>6273.146294930868</v>
      </c>
      <c r="H142" s="95">
        <f t="shared" si="29"/>
        <v>151288.64387404022</v>
      </c>
      <c r="N142"/>
      <c r="O142" s="4">
        <v>125</v>
      </c>
      <c r="P142" s="4">
        <f t="shared" si="22"/>
        <v>1495911.3369350298</v>
      </c>
      <c r="Q142" s="4">
        <f t="shared" si="23"/>
        <v>1495011.3369350298</v>
      </c>
      <c r="R142" s="4">
        <f t="shared" si="20"/>
        <v>900</v>
      </c>
      <c r="S142" s="4">
        <f t="shared" si="26"/>
        <v>14811.003335990394</v>
      </c>
      <c r="T142" s="94">
        <f t="shared" si="24"/>
        <v>-13911.003335990394</v>
      </c>
      <c r="U142" s="94">
        <f t="shared" si="25"/>
        <v>1509961.4503043802</v>
      </c>
      <c r="V142" t="str">
        <f>""</f>
        <v/>
      </c>
      <c r="W142" s="88"/>
    </row>
    <row r="143" spans="2:23" x14ac:dyDescent="0.25">
      <c r="B143" s="95"/>
      <c r="C143" s="95">
        <f t="shared" si="21"/>
        <v>151288.64387404022</v>
      </c>
      <c r="D143" s="95">
        <f t="shared" si="27"/>
        <v>144827.30319026145</v>
      </c>
      <c r="E143" s="95">
        <f t="shared" si="18"/>
        <v>11000</v>
      </c>
      <c r="F143" s="95">
        <f t="shared" si="28"/>
        <v>4538.6593162212066</v>
      </c>
      <c r="G143" s="95">
        <f t="shared" si="19"/>
        <v>6461.3406837787934</v>
      </c>
      <c r="H143" s="95">
        <f t="shared" si="29"/>
        <v>144827.30319026145</v>
      </c>
      <c r="N143"/>
      <c r="O143" s="4">
        <v>126</v>
      </c>
      <c r="P143" s="4">
        <f t="shared" si="22"/>
        <v>1509961.4503043802</v>
      </c>
      <c r="Q143" s="4">
        <f t="shared" si="23"/>
        <v>1509061.4503043802</v>
      </c>
      <c r="R143" s="4">
        <f t="shared" si="20"/>
        <v>900</v>
      </c>
      <c r="S143" s="4">
        <f t="shared" si="26"/>
        <v>14950.113369350298</v>
      </c>
      <c r="T143" s="94">
        <f t="shared" si="24"/>
        <v>-14050.113369350298</v>
      </c>
      <c r="U143" s="94">
        <f t="shared" si="25"/>
        <v>1524152.0648074239</v>
      </c>
      <c r="V143" t="str">
        <f>""</f>
        <v/>
      </c>
      <c r="W143" s="88"/>
    </row>
    <row r="144" spans="2:23" x14ac:dyDescent="0.25">
      <c r="B144" s="95"/>
      <c r="C144" s="95">
        <f t="shared" si="21"/>
        <v>144827.30319026145</v>
      </c>
      <c r="D144" s="95">
        <f t="shared" si="27"/>
        <v>138172.12228596929</v>
      </c>
      <c r="E144" s="95">
        <f t="shared" si="18"/>
        <v>11000</v>
      </c>
      <c r="F144" s="95">
        <f t="shared" si="28"/>
        <v>4344.8190957078432</v>
      </c>
      <c r="G144" s="95">
        <f t="shared" si="19"/>
        <v>6655.1809042921568</v>
      </c>
      <c r="H144" s="95">
        <f t="shared" si="29"/>
        <v>138172.12228596929</v>
      </c>
      <c r="N144"/>
      <c r="O144" s="4">
        <v>127</v>
      </c>
      <c r="P144" s="4">
        <f t="shared" si="22"/>
        <v>1524152.0648074239</v>
      </c>
      <c r="Q144" s="4">
        <f t="shared" si="23"/>
        <v>1523252.0648074239</v>
      </c>
      <c r="R144" s="4">
        <f t="shared" si="20"/>
        <v>900</v>
      </c>
      <c r="S144" s="4">
        <f t="shared" si="26"/>
        <v>15090.614503043802</v>
      </c>
      <c r="T144" s="94">
        <f t="shared" si="24"/>
        <v>-14190.614503043802</v>
      </c>
      <c r="U144" s="94">
        <f t="shared" si="25"/>
        <v>1538484.5854554982</v>
      </c>
      <c r="V144" t="str">
        <f>""</f>
        <v/>
      </c>
      <c r="W144" s="88"/>
    </row>
    <row r="145" spans="2:23" x14ac:dyDescent="0.25">
      <c r="B145" s="95"/>
      <c r="C145" s="95">
        <f t="shared" si="21"/>
        <v>138172.12228596929</v>
      </c>
      <c r="D145" s="95">
        <f t="shared" ref="D145:D176" si="30">C145*(1+$D$5)-E145</f>
        <v>131317.28595454837</v>
      </c>
      <c r="E145" s="95">
        <f t="shared" si="18"/>
        <v>11000</v>
      </c>
      <c r="F145" s="95">
        <f t="shared" ref="F145:F176" si="31">C145*$D$5</f>
        <v>4145.1636685790791</v>
      </c>
      <c r="G145" s="95">
        <f t="shared" si="19"/>
        <v>6854.8363314209209</v>
      </c>
      <c r="H145" s="95">
        <f t="shared" ref="H145:H176" si="32">C145*(1+$D$5)-E145</f>
        <v>131317.28595454837</v>
      </c>
      <c r="N145"/>
      <c r="O145" s="4">
        <v>128</v>
      </c>
      <c r="P145" s="4">
        <f t="shared" si="22"/>
        <v>1538484.5854554982</v>
      </c>
      <c r="Q145" s="4">
        <f t="shared" si="23"/>
        <v>1537584.5854554982</v>
      </c>
      <c r="R145" s="4">
        <f t="shared" si="20"/>
        <v>900</v>
      </c>
      <c r="S145" s="4">
        <f t="shared" si="26"/>
        <v>15232.520648074238</v>
      </c>
      <c r="T145" s="94">
        <f t="shared" si="24"/>
        <v>-14332.520648074238</v>
      </c>
      <c r="U145" s="94">
        <f t="shared" si="25"/>
        <v>1552960.4313100532</v>
      </c>
      <c r="V145" t="str">
        <f>""</f>
        <v/>
      </c>
      <c r="W145" s="88"/>
    </row>
    <row r="146" spans="2:23" x14ac:dyDescent="0.25">
      <c r="B146" s="95"/>
      <c r="C146" s="95">
        <f t="shared" si="21"/>
        <v>131317.28595454837</v>
      </c>
      <c r="D146" s="95">
        <f t="shared" si="30"/>
        <v>124256.80453318483</v>
      </c>
      <c r="E146" s="95">
        <f t="shared" ref="E146:E197" si="33">$D$13</f>
        <v>11000</v>
      </c>
      <c r="F146" s="95">
        <f t="shared" si="31"/>
        <v>3939.5185786364509</v>
      </c>
      <c r="G146" s="95">
        <f t="shared" ref="G146:G197" si="34">E146-F146</f>
        <v>7060.4814213635491</v>
      </c>
      <c r="H146" s="95">
        <f t="shared" si="32"/>
        <v>124256.80453318483</v>
      </c>
      <c r="N146"/>
      <c r="O146" s="4">
        <v>129</v>
      </c>
      <c r="P146" s="4">
        <f t="shared" si="22"/>
        <v>1552960.4313100532</v>
      </c>
      <c r="Q146" s="4">
        <f t="shared" si="23"/>
        <v>1552060.4313100532</v>
      </c>
      <c r="R146" s="4">
        <f t="shared" ref="R146:R209" si="35">IF(O146="","",$R$13)</f>
        <v>900</v>
      </c>
      <c r="S146" s="4">
        <f t="shared" si="26"/>
        <v>15375.845854554982</v>
      </c>
      <c r="T146" s="94">
        <f t="shared" si="24"/>
        <v>-14475.845854554982</v>
      </c>
      <c r="U146" s="94">
        <f t="shared" si="25"/>
        <v>1567581.0356231537</v>
      </c>
      <c r="V146" t="str">
        <f>""</f>
        <v/>
      </c>
      <c r="W146" s="88"/>
    </row>
    <row r="147" spans="2:23" x14ac:dyDescent="0.25">
      <c r="B147" s="95"/>
      <c r="C147" s="95">
        <f t="shared" ref="C147:C197" si="36">H146</f>
        <v>124256.80453318483</v>
      </c>
      <c r="D147" s="95">
        <f t="shared" si="30"/>
        <v>116984.50866918037</v>
      </c>
      <c r="E147" s="95">
        <f t="shared" si="33"/>
        <v>11000</v>
      </c>
      <c r="F147" s="95">
        <f t="shared" si="31"/>
        <v>3727.7041359955447</v>
      </c>
      <c r="G147" s="95">
        <f t="shared" si="34"/>
        <v>7272.2958640044553</v>
      </c>
      <c r="H147" s="95">
        <f t="shared" si="32"/>
        <v>116984.50866918037</v>
      </c>
      <c r="N147"/>
      <c r="O147" s="4">
        <v>130</v>
      </c>
      <c r="P147" s="4">
        <f t="shared" ref="P147:P210" si="37">IF(O147="","",U146)</f>
        <v>1567581.0356231537</v>
      </c>
      <c r="Q147" s="4">
        <f t="shared" ref="Q147:Q210" si="38">IF(O147="","",P147-R147)</f>
        <v>1566681.0356231537</v>
      </c>
      <c r="R147" s="4">
        <f t="shared" si="35"/>
        <v>900</v>
      </c>
      <c r="S147" s="4">
        <f t="shared" si="26"/>
        <v>15520.604313100532</v>
      </c>
      <c r="T147" s="94">
        <f t="shared" ref="T147:T210" si="39">IF(O147="","",R147-S147)</f>
        <v>-14620.604313100532</v>
      </c>
      <c r="U147" s="94">
        <f t="shared" ref="U147:U210" si="40">IF(O147="","",Q147*(1+$Q$5))</f>
        <v>1582347.8459793853</v>
      </c>
      <c r="V147" t="str">
        <f>""</f>
        <v/>
      </c>
      <c r="W147" s="88"/>
    </row>
    <row r="148" spans="2:23" x14ac:dyDescent="0.25">
      <c r="B148" s="95"/>
      <c r="C148" s="95">
        <f t="shared" si="36"/>
        <v>116984.50866918037</v>
      </c>
      <c r="D148" s="95">
        <f t="shared" si="30"/>
        <v>109494.04392925579</v>
      </c>
      <c r="E148" s="95">
        <f t="shared" si="33"/>
        <v>11000</v>
      </c>
      <c r="F148" s="95">
        <f t="shared" si="31"/>
        <v>3509.5352600754109</v>
      </c>
      <c r="G148" s="95">
        <f t="shared" si="34"/>
        <v>7490.4647399245896</v>
      </c>
      <c r="H148" s="95">
        <f t="shared" si="32"/>
        <v>109494.04392925579</v>
      </c>
      <c r="N148"/>
      <c r="O148" s="4">
        <v>131</v>
      </c>
      <c r="P148" s="4">
        <f t="shared" si="37"/>
        <v>1582347.8459793853</v>
      </c>
      <c r="Q148" s="4">
        <f t="shared" si="38"/>
        <v>1581447.8459793853</v>
      </c>
      <c r="R148" s="4">
        <f t="shared" si="35"/>
        <v>900</v>
      </c>
      <c r="S148" s="4">
        <f t="shared" ref="S148:S211" si="41">IF(O148="","",Q147*$Q$5)</f>
        <v>15666.810356231537</v>
      </c>
      <c r="T148" s="94">
        <f t="shared" si="39"/>
        <v>-14766.810356231537</v>
      </c>
      <c r="U148" s="94">
        <f t="shared" si="40"/>
        <v>1597262.3244391792</v>
      </c>
      <c r="V148" t="str">
        <f>""</f>
        <v/>
      </c>
      <c r="W148" s="88"/>
    </row>
    <row r="149" spans="2:23" x14ac:dyDescent="0.25">
      <c r="B149" s="95"/>
      <c r="C149" s="95">
        <f t="shared" si="36"/>
        <v>109494.04392925579</v>
      </c>
      <c r="D149" s="95">
        <f t="shared" si="30"/>
        <v>101778.86524713346</v>
      </c>
      <c r="E149" s="95">
        <f t="shared" si="33"/>
        <v>11000</v>
      </c>
      <c r="F149" s="95">
        <f t="shared" si="31"/>
        <v>3284.8213178776737</v>
      </c>
      <c r="G149" s="95">
        <f t="shared" si="34"/>
        <v>7715.1786821223268</v>
      </c>
      <c r="H149" s="95">
        <f t="shared" si="32"/>
        <v>101778.86524713346</v>
      </c>
      <c r="N149"/>
      <c r="O149" s="4">
        <v>132</v>
      </c>
      <c r="P149" s="4">
        <f t="shared" si="37"/>
        <v>1597262.3244391792</v>
      </c>
      <c r="Q149" s="4">
        <f t="shared" si="38"/>
        <v>1596362.3244391792</v>
      </c>
      <c r="R149" s="4">
        <f t="shared" si="35"/>
        <v>900</v>
      </c>
      <c r="S149" s="4">
        <f t="shared" si="41"/>
        <v>15814.478459793854</v>
      </c>
      <c r="T149" s="94">
        <f t="shared" si="39"/>
        <v>-14914.478459793854</v>
      </c>
      <c r="U149" s="94">
        <f t="shared" si="40"/>
        <v>1612325.9476835709</v>
      </c>
      <c r="V149" t="str">
        <f>""</f>
        <v/>
      </c>
      <c r="W149" s="88"/>
    </row>
    <row r="150" spans="2:23" x14ac:dyDescent="0.25">
      <c r="B150" s="95"/>
      <c r="C150" s="95">
        <f t="shared" si="36"/>
        <v>101778.86524713346</v>
      </c>
      <c r="D150" s="95">
        <f t="shared" si="30"/>
        <v>93832.231204547468</v>
      </c>
      <c r="E150" s="95">
        <f t="shared" si="33"/>
        <v>11000</v>
      </c>
      <c r="F150" s="95">
        <f t="shared" si="31"/>
        <v>3053.3659574140038</v>
      </c>
      <c r="G150" s="95">
        <f t="shared" si="34"/>
        <v>7946.6340425859962</v>
      </c>
      <c r="H150" s="95">
        <f t="shared" si="32"/>
        <v>93832.231204547468</v>
      </c>
      <c r="N150"/>
      <c r="O150" s="4">
        <v>133</v>
      </c>
      <c r="P150" s="4">
        <f t="shared" si="37"/>
        <v>1612325.9476835709</v>
      </c>
      <c r="Q150" s="4">
        <f t="shared" si="38"/>
        <v>1611425.9476835709</v>
      </c>
      <c r="R150" s="4">
        <f t="shared" si="35"/>
        <v>900</v>
      </c>
      <c r="S150" s="4">
        <f t="shared" si="41"/>
        <v>15963.623244391792</v>
      </c>
      <c r="T150" s="94">
        <f t="shared" si="39"/>
        <v>-15063.623244391792</v>
      </c>
      <c r="U150" s="94">
        <f t="shared" si="40"/>
        <v>1627540.2071604067</v>
      </c>
      <c r="V150" t="str">
        <f>""</f>
        <v/>
      </c>
      <c r="W150" s="88"/>
    </row>
    <row r="151" spans="2:23" x14ac:dyDescent="0.25">
      <c r="B151" s="95"/>
      <c r="C151" s="95">
        <f t="shared" si="36"/>
        <v>93832.231204547468</v>
      </c>
      <c r="D151" s="95">
        <f t="shared" si="30"/>
        <v>85647.19814068389</v>
      </c>
      <c r="E151" s="95">
        <f t="shared" si="33"/>
        <v>11000</v>
      </c>
      <c r="F151" s="95">
        <f t="shared" si="31"/>
        <v>2814.966936136424</v>
      </c>
      <c r="G151" s="95">
        <f t="shared" si="34"/>
        <v>8185.033063863576</v>
      </c>
      <c r="H151" s="95">
        <f t="shared" si="32"/>
        <v>85647.19814068389</v>
      </c>
      <c r="N151"/>
      <c r="O151" s="4">
        <v>134</v>
      </c>
      <c r="P151" s="4">
        <f t="shared" si="37"/>
        <v>1627540.2071604067</v>
      </c>
      <c r="Q151" s="4">
        <f t="shared" si="38"/>
        <v>1626640.2071604067</v>
      </c>
      <c r="R151" s="4">
        <f t="shared" si="35"/>
        <v>900</v>
      </c>
      <c r="S151" s="4">
        <f t="shared" si="41"/>
        <v>16114.25947683571</v>
      </c>
      <c r="T151" s="94">
        <f t="shared" si="39"/>
        <v>-15214.25947683571</v>
      </c>
      <c r="U151" s="94">
        <f t="shared" si="40"/>
        <v>1642906.6092320108</v>
      </c>
      <c r="V151" t="str">
        <f>""</f>
        <v/>
      </c>
      <c r="W151" s="88"/>
    </row>
    <row r="152" spans="2:23" x14ac:dyDescent="0.25">
      <c r="B152" s="95"/>
      <c r="C152" s="95">
        <f t="shared" si="36"/>
        <v>85647.19814068389</v>
      </c>
      <c r="D152" s="95">
        <f t="shared" si="30"/>
        <v>77216.614084904402</v>
      </c>
      <c r="E152" s="95">
        <f t="shared" si="33"/>
        <v>11000</v>
      </c>
      <c r="F152" s="95">
        <f t="shared" si="31"/>
        <v>2569.4159442205164</v>
      </c>
      <c r="G152" s="95">
        <f t="shared" si="34"/>
        <v>8430.5840557794836</v>
      </c>
      <c r="H152" s="95">
        <f t="shared" si="32"/>
        <v>77216.614084904402</v>
      </c>
      <c r="N152"/>
      <c r="O152" s="4">
        <v>135</v>
      </c>
      <c r="P152" s="4">
        <f t="shared" si="37"/>
        <v>1642906.6092320108</v>
      </c>
      <c r="Q152" s="4">
        <f t="shared" si="38"/>
        <v>1642006.6092320108</v>
      </c>
      <c r="R152" s="4">
        <f t="shared" si="35"/>
        <v>900</v>
      </c>
      <c r="S152" s="4">
        <f t="shared" si="41"/>
        <v>16266.402071604069</v>
      </c>
      <c r="T152" s="94">
        <f t="shared" si="39"/>
        <v>-15366.402071604069</v>
      </c>
      <c r="U152" s="94">
        <f t="shared" si="40"/>
        <v>1658426.6753243308</v>
      </c>
      <c r="V152" t="str">
        <f>""</f>
        <v/>
      </c>
      <c r="W152" s="88"/>
    </row>
    <row r="153" spans="2:23" x14ac:dyDescent="0.25">
      <c r="B153" s="95"/>
      <c r="C153" s="95">
        <f t="shared" si="36"/>
        <v>77216.614084904402</v>
      </c>
      <c r="D153" s="95">
        <f t="shared" si="30"/>
        <v>68533.112507451529</v>
      </c>
      <c r="E153" s="95">
        <f t="shared" si="33"/>
        <v>11000</v>
      </c>
      <c r="F153" s="95">
        <f t="shared" si="31"/>
        <v>2316.4984225471321</v>
      </c>
      <c r="G153" s="95">
        <f t="shared" si="34"/>
        <v>8683.5015774528674</v>
      </c>
      <c r="H153" s="95">
        <f t="shared" si="32"/>
        <v>68533.112507451529</v>
      </c>
      <c r="N153"/>
      <c r="O153" s="4">
        <v>136</v>
      </c>
      <c r="P153" s="4">
        <f t="shared" si="37"/>
        <v>1658426.6753243308</v>
      </c>
      <c r="Q153" s="4">
        <f t="shared" si="38"/>
        <v>1657526.6753243308</v>
      </c>
      <c r="R153" s="4">
        <f t="shared" si="35"/>
        <v>900</v>
      </c>
      <c r="S153" s="4">
        <f t="shared" si="41"/>
        <v>16420.066092320107</v>
      </c>
      <c r="T153" s="94">
        <f t="shared" si="39"/>
        <v>-15520.066092320107</v>
      </c>
      <c r="U153" s="94">
        <f t="shared" si="40"/>
        <v>1674101.9420775741</v>
      </c>
      <c r="V153" t="str">
        <f>""</f>
        <v/>
      </c>
      <c r="W153" s="88"/>
    </row>
    <row r="154" spans="2:23" x14ac:dyDescent="0.25">
      <c r="B154" s="95"/>
      <c r="C154" s="95">
        <f t="shared" si="36"/>
        <v>68533.112507451529</v>
      </c>
      <c r="D154" s="95">
        <f t="shared" si="30"/>
        <v>59589.105882675081</v>
      </c>
      <c r="E154" s="95">
        <f t="shared" si="33"/>
        <v>11000</v>
      </c>
      <c r="F154" s="95">
        <f t="shared" si="31"/>
        <v>2055.9933752235456</v>
      </c>
      <c r="G154" s="95">
        <f t="shared" si="34"/>
        <v>8944.0066247764553</v>
      </c>
      <c r="H154" s="95">
        <f t="shared" si="32"/>
        <v>59589.105882675081</v>
      </c>
      <c r="N154"/>
      <c r="O154" s="4">
        <v>137</v>
      </c>
      <c r="P154" s="4">
        <f t="shared" si="37"/>
        <v>1674101.9420775741</v>
      </c>
      <c r="Q154" s="4">
        <f t="shared" si="38"/>
        <v>1673201.9420775741</v>
      </c>
      <c r="R154" s="4">
        <f t="shared" si="35"/>
        <v>900</v>
      </c>
      <c r="S154" s="4">
        <f t="shared" si="41"/>
        <v>16575.266753243308</v>
      </c>
      <c r="T154" s="94">
        <f t="shared" si="39"/>
        <v>-15675.266753243308</v>
      </c>
      <c r="U154" s="94">
        <f t="shared" si="40"/>
        <v>1689933.9614983499</v>
      </c>
      <c r="V154" t="str">
        <f>""</f>
        <v/>
      </c>
      <c r="W154" s="88"/>
    </row>
    <row r="155" spans="2:23" x14ac:dyDescent="0.25">
      <c r="B155" s="95"/>
      <c r="C155" s="95">
        <f t="shared" si="36"/>
        <v>59589.105882675081</v>
      </c>
      <c r="D155" s="95">
        <f t="shared" si="30"/>
        <v>50376.779059155335</v>
      </c>
      <c r="E155" s="95">
        <f t="shared" si="33"/>
        <v>11000</v>
      </c>
      <c r="F155" s="95">
        <f t="shared" si="31"/>
        <v>1787.6731764802523</v>
      </c>
      <c r="G155" s="95">
        <f t="shared" si="34"/>
        <v>9212.3268235197484</v>
      </c>
      <c r="H155" s="95">
        <f t="shared" si="32"/>
        <v>50376.779059155335</v>
      </c>
      <c r="N155"/>
      <c r="O155" s="4">
        <v>138</v>
      </c>
      <c r="P155" s="4">
        <f t="shared" si="37"/>
        <v>1689933.9614983499</v>
      </c>
      <c r="Q155" s="4">
        <f t="shared" si="38"/>
        <v>1689033.9614983499</v>
      </c>
      <c r="R155" s="4">
        <f t="shared" si="35"/>
        <v>900</v>
      </c>
      <c r="S155" s="4">
        <f t="shared" si="41"/>
        <v>16732.019420775741</v>
      </c>
      <c r="T155" s="94">
        <f t="shared" si="39"/>
        <v>-15832.019420775741</v>
      </c>
      <c r="U155" s="94">
        <f t="shared" si="40"/>
        <v>1705924.3011133333</v>
      </c>
      <c r="V155" t="str">
        <f>""</f>
        <v/>
      </c>
      <c r="W155" s="88"/>
    </row>
    <row r="156" spans="2:23" x14ac:dyDescent="0.25">
      <c r="B156" s="95"/>
      <c r="C156" s="95">
        <f t="shared" si="36"/>
        <v>50376.779059155335</v>
      </c>
      <c r="D156" s="95">
        <f t="shared" si="30"/>
        <v>40888.082430929993</v>
      </c>
      <c r="E156" s="95">
        <f t="shared" si="33"/>
        <v>11000</v>
      </c>
      <c r="F156" s="95">
        <f t="shared" si="31"/>
        <v>1511.30337177466</v>
      </c>
      <c r="G156" s="95">
        <f t="shared" si="34"/>
        <v>9488.6966282253397</v>
      </c>
      <c r="H156" s="95">
        <f t="shared" si="32"/>
        <v>40888.082430929993</v>
      </c>
      <c r="N156"/>
      <c r="O156" s="4">
        <v>139</v>
      </c>
      <c r="P156" s="4">
        <f t="shared" si="37"/>
        <v>1705924.3011133333</v>
      </c>
      <c r="Q156" s="4">
        <f t="shared" si="38"/>
        <v>1705024.3011133333</v>
      </c>
      <c r="R156" s="4">
        <f t="shared" si="35"/>
        <v>900</v>
      </c>
      <c r="S156" s="4">
        <f t="shared" si="41"/>
        <v>16890.339614983499</v>
      </c>
      <c r="T156" s="94">
        <f t="shared" si="39"/>
        <v>-15990.339614983499</v>
      </c>
      <c r="U156" s="94">
        <f t="shared" si="40"/>
        <v>1722074.5441244666</v>
      </c>
      <c r="V156" t="str">
        <f>""</f>
        <v/>
      </c>
      <c r="W156" s="88"/>
    </row>
    <row r="157" spans="2:23" x14ac:dyDescent="0.25">
      <c r="B157" s="95"/>
      <c r="C157" s="95">
        <f t="shared" si="36"/>
        <v>40888.082430929993</v>
      </c>
      <c r="D157" s="95">
        <f t="shared" si="30"/>
        <v>31114.724903857896</v>
      </c>
      <c r="E157" s="95">
        <f t="shared" si="33"/>
        <v>11000</v>
      </c>
      <c r="F157" s="95">
        <f t="shared" si="31"/>
        <v>1226.6424729278997</v>
      </c>
      <c r="G157" s="95">
        <f t="shared" si="34"/>
        <v>9773.3575270721012</v>
      </c>
      <c r="H157" s="95">
        <f t="shared" si="32"/>
        <v>31114.724903857896</v>
      </c>
      <c r="N157"/>
      <c r="O157" s="4">
        <v>140</v>
      </c>
      <c r="P157" s="4">
        <f t="shared" si="37"/>
        <v>1722074.5441244666</v>
      </c>
      <c r="Q157" s="4">
        <f t="shared" si="38"/>
        <v>1721174.5441244666</v>
      </c>
      <c r="R157" s="4">
        <f t="shared" si="35"/>
        <v>900</v>
      </c>
      <c r="S157" s="4">
        <f t="shared" si="41"/>
        <v>17050.243011133334</v>
      </c>
      <c r="T157" s="94">
        <f t="shared" si="39"/>
        <v>-16150.243011133334</v>
      </c>
      <c r="U157" s="94">
        <f t="shared" si="40"/>
        <v>1738386.2895657113</v>
      </c>
      <c r="V157" t="str">
        <f>""</f>
        <v/>
      </c>
      <c r="W157" s="88"/>
    </row>
    <row r="158" spans="2:23" x14ac:dyDescent="0.25">
      <c r="B158" s="95"/>
      <c r="C158" s="95">
        <f t="shared" si="36"/>
        <v>31114.724903857896</v>
      </c>
      <c r="D158" s="95">
        <f t="shared" si="30"/>
        <v>21048.166650973635</v>
      </c>
      <c r="E158" s="95">
        <f t="shared" si="33"/>
        <v>11000</v>
      </c>
      <c r="F158" s="95">
        <f t="shared" si="31"/>
        <v>933.4417471157368</v>
      </c>
      <c r="G158" s="95">
        <f t="shared" si="34"/>
        <v>10066.558252884262</v>
      </c>
      <c r="H158" s="95">
        <f t="shared" si="32"/>
        <v>21048.166650973635</v>
      </c>
      <c r="N158"/>
      <c r="O158" s="4">
        <v>141</v>
      </c>
      <c r="P158" s="4">
        <f t="shared" si="37"/>
        <v>1738386.2895657113</v>
      </c>
      <c r="Q158" s="4">
        <f t="shared" si="38"/>
        <v>1737486.2895657113</v>
      </c>
      <c r="R158" s="4">
        <f t="shared" si="35"/>
        <v>900</v>
      </c>
      <c r="S158" s="4">
        <f t="shared" si="41"/>
        <v>17211.745441244668</v>
      </c>
      <c r="T158" s="94">
        <f t="shared" si="39"/>
        <v>-16311.745441244668</v>
      </c>
      <c r="U158" s="94">
        <f t="shared" si="40"/>
        <v>1754861.1524613684</v>
      </c>
      <c r="V158" t="str">
        <f>""</f>
        <v/>
      </c>
      <c r="W158" s="88"/>
    </row>
    <row r="159" spans="2:23" x14ac:dyDescent="0.25">
      <c r="B159" s="95"/>
      <c r="C159" s="95">
        <f t="shared" si="36"/>
        <v>21048.166650973635</v>
      </c>
      <c r="D159" s="95">
        <f t="shared" si="30"/>
        <v>10679.611650502844</v>
      </c>
      <c r="E159" s="95">
        <f t="shared" si="33"/>
        <v>11000</v>
      </c>
      <c r="F159" s="95">
        <f t="shared" si="31"/>
        <v>631.44499952920899</v>
      </c>
      <c r="G159" s="95">
        <f t="shared" si="34"/>
        <v>10368.555000470791</v>
      </c>
      <c r="H159" s="95">
        <f t="shared" si="32"/>
        <v>10679.611650502844</v>
      </c>
      <c r="N159"/>
      <c r="O159" s="4">
        <v>142</v>
      </c>
      <c r="P159" s="4">
        <f t="shared" si="37"/>
        <v>1754861.1524613684</v>
      </c>
      <c r="Q159" s="4">
        <f t="shared" si="38"/>
        <v>1753961.1524613684</v>
      </c>
      <c r="R159" s="4">
        <f t="shared" si="35"/>
        <v>900</v>
      </c>
      <c r="S159" s="4">
        <f t="shared" si="41"/>
        <v>17374.862895657112</v>
      </c>
      <c r="T159" s="94">
        <f t="shared" si="39"/>
        <v>-16474.862895657112</v>
      </c>
      <c r="U159" s="94">
        <f t="shared" si="40"/>
        <v>1771500.7639859822</v>
      </c>
      <c r="V159" t="str">
        <f>""</f>
        <v/>
      </c>
      <c r="W159" s="88"/>
    </row>
    <row r="160" spans="2:23" x14ac:dyDescent="0.25">
      <c r="B160" s="95"/>
      <c r="C160" s="95">
        <f t="shared" si="36"/>
        <v>10679.611650502844</v>
      </c>
      <c r="D160" s="95">
        <f t="shared" si="30"/>
        <v>1.7929778550751507E-8</v>
      </c>
      <c r="E160" s="95">
        <f t="shared" si="33"/>
        <v>11000</v>
      </c>
      <c r="F160" s="95">
        <f t="shared" si="31"/>
        <v>320.38834951508528</v>
      </c>
      <c r="G160" s="95">
        <f t="shared" si="34"/>
        <v>10679.611650484914</v>
      </c>
      <c r="H160" s="95">
        <f t="shared" si="32"/>
        <v>1.7929778550751507E-8</v>
      </c>
      <c r="N160"/>
      <c r="O160" s="4">
        <v>143</v>
      </c>
      <c r="P160" s="4">
        <f t="shared" si="37"/>
        <v>1771500.7639859822</v>
      </c>
      <c r="Q160" s="4">
        <f t="shared" si="38"/>
        <v>1770600.7639859822</v>
      </c>
      <c r="R160" s="4">
        <f t="shared" si="35"/>
        <v>900</v>
      </c>
      <c r="S160" s="4">
        <f t="shared" si="41"/>
        <v>17539.611524613683</v>
      </c>
      <c r="T160" s="94">
        <f t="shared" si="39"/>
        <v>-16639.611524613683</v>
      </c>
      <c r="U160" s="94">
        <f t="shared" si="40"/>
        <v>1788306.771625842</v>
      </c>
      <c r="V160" t="str">
        <f>""</f>
        <v/>
      </c>
      <c r="W160" s="88"/>
    </row>
    <row r="161" spans="2:23" x14ac:dyDescent="0.25">
      <c r="B161" s="95"/>
      <c r="C161" s="95">
        <f t="shared" si="36"/>
        <v>1.7929778550751507E-8</v>
      </c>
      <c r="D161" s="95">
        <f t="shared" si="30"/>
        <v>-10999.999999981532</v>
      </c>
      <c r="E161" s="95">
        <f t="shared" si="33"/>
        <v>11000</v>
      </c>
      <c r="F161" s="95">
        <f t="shared" si="31"/>
        <v>5.3789335652254518E-10</v>
      </c>
      <c r="G161" s="95">
        <f t="shared" si="34"/>
        <v>10999.999999999462</v>
      </c>
      <c r="H161" s="95">
        <f t="shared" si="32"/>
        <v>-10999.999999981532</v>
      </c>
      <c r="N161"/>
      <c r="O161" s="4">
        <v>144</v>
      </c>
      <c r="P161" s="4">
        <f t="shared" si="37"/>
        <v>1788306.771625842</v>
      </c>
      <c r="Q161" s="4">
        <f t="shared" si="38"/>
        <v>1787406.771625842</v>
      </c>
      <c r="R161" s="4">
        <f t="shared" si="35"/>
        <v>900</v>
      </c>
      <c r="S161" s="4">
        <f t="shared" si="41"/>
        <v>17706.007639859821</v>
      </c>
      <c r="T161" s="94">
        <f t="shared" si="39"/>
        <v>-16806.007639859821</v>
      </c>
      <c r="U161" s="94">
        <f t="shared" si="40"/>
        <v>1805280.8393421003</v>
      </c>
      <c r="V161" t="str">
        <f>""</f>
        <v/>
      </c>
      <c r="W161" s="88"/>
    </row>
    <row r="162" spans="2:23" x14ac:dyDescent="0.25">
      <c r="B162" s="95"/>
      <c r="C162" s="95">
        <f t="shared" si="36"/>
        <v>-10999.999999981532</v>
      </c>
      <c r="D162" s="95">
        <f t="shared" si="30"/>
        <v>-22329.999999980981</v>
      </c>
      <c r="E162" s="95">
        <f t="shared" si="33"/>
        <v>11000</v>
      </c>
      <c r="F162" s="95">
        <f t="shared" si="31"/>
        <v>-329.99999999944595</v>
      </c>
      <c r="G162" s="95">
        <f t="shared" si="34"/>
        <v>11329.999999999445</v>
      </c>
      <c r="H162" s="95">
        <f t="shared" si="32"/>
        <v>-22329.999999980981</v>
      </c>
      <c r="N162"/>
      <c r="O162" s="4">
        <v>145</v>
      </c>
      <c r="P162" s="4">
        <f t="shared" si="37"/>
        <v>1805280.8393421003</v>
      </c>
      <c r="Q162" s="4">
        <f t="shared" si="38"/>
        <v>1804380.8393421003</v>
      </c>
      <c r="R162" s="4">
        <f t="shared" si="35"/>
        <v>900</v>
      </c>
      <c r="S162" s="4">
        <f t="shared" si="41"/>
        <v>17874.067716258422</v>
      </c>
      <c r="T162" s="94">
        <f t="shared" si="39"/>
        <v>-16974.067716258422</v>
      </c>
      <c r="U162" s="94">
        <f t="shared" si="40"/>
        <v>1822424.6477355214</v>
      </c>
      <c r="V162" t="str">
        <f>""</f>
        <v/>
      </c>
      <c r="W162" s="88"/>
    </row>
    <row r="163" spans="2:23" x14ac:dyDescent="0.25">
      <c r="B163" s="95"/>
      <c r="C163" s="95">
        <f t="shared" si="36"/>
        <v>-22329.999999980981</v>
      </c>
      <c r="D163" s="95">
        <f t="shared" si="30"/>
        <v>-33999.899999980407</v>
      </c>
      <c r="E163" s="95">
        <f t="shared" si="33"/>
        <v>11000</v>
      </c>
      <c r="F163" s="95">
        <f t="shared" si="31"/>
        <v>-669.89999999942938</v>
      </c>
      <c r="G163" s="95">
        <f t="shared" si="34"/>
        <v>11669.89999999943</v>
      </c>
      <c r="H163" s="95">
        <f t="shared" si="32"/>
        <v>-33999.899999980407</v>
      </c>
      <c r="N163"/>
      <c r="O163" s="4">
        <v>146</v>
      </c>
      <c r="P163" s="4">
        <f t="shared" si="37"/>
        <v>1822424.6477355214</v>
      </c>
      <c r="Q163" s="4">
        <f t="shared" si="38"/>
        <v>1821524.6477355214</v>
      </c>
      <c r="R163" s="4">
        <f t="shared" si="35"/>
        <v>900</v>
      </c>
      <c r="S163" s="4">
        <f t="shared" si="41"/>
        <v>18043.808393421004</v>
      </c>
      <c r="T163" s="94">
        <f t="shared" si="39"/>
        <v>-17143.808393421004</v>
      </c>
      <c r="U163" s="94">
        <f t="shared" si="40"/>
        <v>1839739.8942128767</v>
      </c>
      <c r="V163" t="str">
        <f>""</f>
        <v/>
      </c>
      <c r="W163" s="88"/>
    </row>
    <row r="164" spans="2:23" x14ac:dyDescent="0.25">
      <c r="B164" s="95"/>
      <c r="C164" s="95">
        <f t="shared" si="36"/>
        <v>-33999.899999980407</v>
      </c>
      <c r="D164" s="95">
        <f t="shared" si="30"/>
        <v>-46019.896999979821</v>
      </c>
      <c r="E164" s="95">
        <f t="shared" si="33"/>
        <v>11000</v>
      </c>
      <c r="F164" s="95">
        <f t="shared" si="31"/>
        <v>-1019.9969999994122</v>
      </c>
      <c r="G164" s="95">
        <f t="shared" si="34"/>
        <v>12019.996999999412</v>
      </c>
      <c r="H164" s="95">
        <f t="shared" si="32"/>
        <v>-46019.896999979821</v>
      </c>
      <c r="N164"/>
      <c r="O164" s="4">
        <v>147</v>
      </c>
      <c r="P164" s="4">
        <f t="shared" si="37"/>
        <v>1839739.8942128767</v>
      </c>
      <c r="Q164" s="4">
        <f t="shared" si="38"/>
        <v>1838839.8942128767</v>
      </c>
      <c r="R164" s="4">
        <f t="shared" si="35"/>
        <v>900</v>
      </c>
      <c r="S164" s="4">
        <f t="shared" si="41"/>
        <v>18215.246477355216</v>
      </c>
      <c r="T164" s="94">
        <f t="shared" si="39"/>
        <v>-17315.246477355216</v>
      </c>
      <c r="U164" s="94">
        <f t="shared" si="40"/>
        <v>1857228.2931550054</v>
      </c>
      <c r="V164" t="str">
        <f>""</f>
        <v/>
      </c>
      <c r="W164" s="88"/>
    </row>
    <row r="165" spans="2:23" x14ac:dyDescent="0.25">
      <c r="B165" s="95"/>
      <c r="C165" s="95">
        <f t="shared" si="36"/>
        <v>-46019.896999979821</v>
      </c>
      <c r="D165" s="95">
        <f t="shared" si="30"/>
        <v>-58400.493909979217</v>
      </c>
      <c r="E165" s="95">
        <f t="shared" si="33"/>
        <v>11000</v>
      </c>
      <c r="F165" s="95">
        <f t="shared" si="31"/>
        <v>-1380.5969099993945</v>
      </c>
      <c r="G165" s="95">
        <f t="shared" si="34"/>
        <v>12380.596909999394</v>
      </c>
      <c r="H165" s="95">
        <f t="shared" si="32"/>
        <v>-58400.493909979217</v>
      </c>
      <c r="N165"/>
      <c r="O165" s="4">
        <v>148</v>
      </c>
      <c r="P165" s="4">
        <f t="shared" si="37"/>
        <v>1857228.2931550054</v>
      </c>
      <c r="Q165" s="4">
        <f t="shared" si="38"/>
        <v>1856328.2931550054</v>
      </c>
      <c r="R165" s="4">
        <f t="shared" si="35"/>
        <v>900</v>
      </c>
      <c r="S165" s="4">
        <f t="shared" si="41"/>
        <v>18388.398942128766</v>
      </c>
      <c r="T165" s="94">
        <f t="shared" si="39"/>
        <v>-17488.398942128766</v>
      </c>
      <c r="U165" s="94">
        <f t="shared" si="40"/>
        <v>1874891.5760865556</v>
      </c>
      <c r="V165" t="str">
        <f>""</f>
        <v/>
      </c>
      <c r="W165" s="88"/>
    </row>
    <row r="166" spans="2:23" x14ac:dyDescent="0.25">
      <c r="B166" s="95"/>
      <c r="C166" s="95">
        <f t="shared" si="36"/>
        <v>-58400.493909979217</v>
      </c>
      <c r="D166" s="95">
        <f t="shared" si="30"/>
        <v>-71152.50872727859</v>
      </c>
      <c r="E166" s="95">
        <f t="shared" si="33"/>
        <v>11000</v>
      </c>
      <c r="F166" s="95">
        <f t="shared" si="31"/>
        <v>-1752.0148172993765</v>
      </c>
      <c r="G166" s="95">
        <f t="shared" si="34"/>
        <v>12752.014817299376</v>
      </c>
      <c r="H166" s="95">
        <f t="shared" si="32"/>
        <v>-71152.50872727859</v>
      </c>
      <c r="N166"/>
      <c r="O166" s="4">
        <v>149</v>
      </c>
      <c r="P166" s="4">
        <f t="shared" si="37"/>
        <v>1874891.5760865556</v>
      </c>
      <c r="Q166" s="4">
        <f t="shared" si="38"/>
        <v>1873991.5760865556</v>
      </c>
      <c r="R166" s="4">
        <f t="shared" si="35"/>
        <v>900</v>
      </c>
      <c r="S166" s="4">
        <f t="shared" si="41"/>
        <v>18563.282931550053</v>
      </c>
      <c r="T166" s="94">
        <f t="shared" si="39"/>
        <v>-17663.282931550053</v>
      </c>
      <c r="U166" s="94">
        <f t="shared" si="40"/>
        <v>1892731.4918474213</v>
      </c>
      <c r="V166" t="str">
        <f>""</f>
        <v/>
      </c>
      <c r="W166" s="88"/>
    </row>
    <row r="167" spans="2:23" x14ac:dyDescent="0.25">
      <c r="B167" s="95"/>
      <c r="C167" s="95">
        <f t="shared" si="36"/>
        <v>-71152.50872727859</v>
      </c>
      <c r="D167" s="95">
        <f t="shared" si="30"/>
        <v>-84287.083989096951</v>
      </c>
      <c r="E167" s="95">
        <f t="shared" si="33"/>
        <v>11000</v>
      </c>
      <c r="F167" s="95">
        <f t="shared" si="31"/>
        <v>-2134.5752618183578</v>
      </c>
      <c r="G167" s="95">
        <f t="shared" si="34"/>
        <v>13134.575261818358</v>
      </c>
      <c r="H167" s="95">
        <f t="shared" si="32"/>
        <v>-84287.083989096951</v>
      </c>
      <c r="N167"/>
      <c r="O167" s="4">
        <v>150</v>
      </c>
      <c r="P167" s="4">
        <f t="shared" si="37"/>
        <v>1892731.4918474213</v>
      </c>
      <c r="Q167" s="4">
        <f t="shared" si="38"/>
        <v>1891831.4918474213</v>
      </c>
      <c r="R167" s="4">
        <f t="shared" si="35"/>
        <v>900</v>
      </c>
      <c r="S167" s="4">
        <f t="shared" si="41"/>
        <v>18739.915760865555</v>
      </c>
      <c r="T167" s="94">
        <f t="shared" si="39"/>
        <v>-17839.915760865555</v>
      </c>
      <c r="U167" s="94">
        <f t="shared" si="40"/>
        <v>1910749.8067658956</v>
      </c>
      <c r="V167" t="str">
        <f>""</f>
        <v/>
      </c>
      <c r="W167" s="88"/>
    </row>
    <row r="168" spans="2:23" x14ac:dyDescent="0.25">
      <c r="B168" s="95"/>
      <c r="C168" s="95">
        <f t="shared" si="36"/>
        <v>-84287.083989096951</v>
      </c>
      <c r="D168" s="95">
        <f t="shared" si="30"/>
        <v>-97815.696508769863</v>
      </c>
      <c r="E168" s="95">
        <f t="shared" si="33"/>
        <v>11000</v>
      </c>
      <c r="F168" s="95">
        <f t="shared" si="31"/>
        <v>-2528.6125196729085</v>
      </c>
      <c r="G168" s="95">
        <f t="shared" si="34"/>
        <v>13528.612519672908</v>
      </c>
      <c r="H168" s="95">
        <f t="shared" si="32"/>
        <v>-97815.696508769863</v>
      </c>
      <c r="N168"/>
      <c r="O168" s="4">
        <v>151</v>
      </c>
      <c r="P168" s="4">
        <f t="shared" si="37"/>
        <v>1910749.8067658956</v>
      </c>
      <c r="Q168" s="4">
        <f t="shared" si="38"/>
        <v>1909849.8067658956</v>
      </c>
      <c r="R168" s="4">
        <f t="shared" si="35"/>
        <v>900</v>
      </c>
      <c r="S168" s="4">
        <f t="shared" si="41"/>
        <v>18918.314918474214</v>
      </c>
      <c r="T168" s="94">
        <f t="shared" si="39"/>
        <v>-18018.314918474214</v>
      </c>
      <c r="U168" s="94">
        <f t="shared" si="40"/>
        <v>1928948.3048335544</v>
      </c>
      <c r="V168" t="str">
        <f>""</f>
        <v/>
      </c>
      <c r="W168" s="88"/>
    </row>
    <row r="169" spans="2:23" x14ac:dyDescent="0.25">
      <c r="B169" s="95"/>
      <c r="C169" s="95">
        <f t="shared" si="36"/>
        <v>-97815.696508769863</v>
      </c>
      <c r="D169" s="95">
        <f t="shared" si="30"/>
        <v>-111750.16740403297</v>
      </c>
      <c r="E169" s="95">
        <f t="shared" si="33"/>
        <v>11000</v>
      </c>
      <c r="F169" s="95">
        <f t="shared" si="31"/>
        <v>-2934.4708952630958</v>
      </c>
      <c r="G169" s="95">
        <f t="shared" si="34"/>
        <v>13934.470895263095</v>
      </c>
      <c r="H169" s="95">
        <f t="shared" si="32"/>
        <v>-111750.16740403297</v>
      </c>
      <c r="N169"/>
      <c r="O169" s="4">
        <v>152</v>
      </c>
      <c r="P169" s="4">
        <f t="shared" si="37"/>
        <v>1928948.3048335544</v>
      </c>
      <c r="Q169" s="4">
        <f t="shared" si="38"/>
        <v>1928048.3048335544</v>
      </c>
      <c r="R169" s="4">
        <f t="shared" si="35"/>
        <v>900</v>
      </c>
      <c r="S169" s="4">
        <f t="shared" si="41"/>
        <v>19098.498067658955</v>
      </c>
      <c r="T169" s="94">
        <f t="shared" si="39"/>
        <v>-18198.498067658955</v>
      </c>
      <c r="U169" s="94">
        <f t="shared" si="40"/>
        <v>1947328.7878818901</v>
      </c>
      <c r="V169" t="str">
        <f>""</f>
        <v/>
      </c>
      <c r="W169" s="88"/>
    </row>
    <row r="170" spans="2:23" x14ac:dyDescent="0.25">
      <c r="B170" s="95"/>
      <c r="C170" s="95">
        <f t="shared" si="36"/>
        <v>-111750.16740403297</v>
      </c>
      <c r="D170" s="95">
        <f t="shared" si="30"/>
        <v>-126102.67242615396</v>
      </c>
      <c r="E170" s="95">
        <f t="shared" si="33"/>
        <v>11000</v>
      </c>
      <c r="F170" s="95">
        <f t="shared" si="31"/>
        <v>-3352.505022120989</v>
      </c>
      <c r="G170" s="95">
        <f t="shared" si="34"/>
        <v>14352.505022120989</v>
      </c>
      <c r="H170" s="95">
        <f t="shared" si="32"/>
        <v>-126102.67242615396</v>
      </c>
      <c r="N170"/>
      <c r="O170" s="4">
        <v>153</v>
      </c>
      <c r="P170" s="4">
        <f t="shared" si="37"/>
        <v>1947328.7878818901</v>
      </c>
      <c r="Q170" s="4">
        <f t="shared" si="38"/>
        <v>1946428.7878818901</v>
      </c>
      <c r="R170" s="4">
        <f t="shared" si="35"/>
        <v>900</v>
      </c>
      <c r="S170" s="4">
        <f t="shared" si="41"/>
        <v>19280.483048335544</v>
      </c>
      <c r="T170" s="94">
        <f t="shared" si="39"/>
        <v>-18380.483048335544</v>
      </c>
      <c r="U170" s="94">
        <f t="shared" si="40"/>
        <v>1965893.0757607089</v>
      </c>
      <c r="V170" t="str">
        <f>""</f>
        <v/>
      </c>
      <c r="W170" s="88"/>
    </row>
    <row r="171" spans="2:23" x14ac:dyDescent="0.25">
      <c r="B171" s="95"/>
      <c r="C171" s="95">
        <f t="shared" si="36"/>
        <v>-126102.67242615396</v>
      </c>
      <c r="D171" s="95">
        <f t="shared" si="30"/>
        <v>-140885.75259893859</v>
      </c>
      <c r="E171" s="95">
        <f t="shared" si="33"/>
        <v>11000</v>
      </c>
      <c r="F171" s="95">
        <f t="shared" si="31"/>
        <v>-3783.0801727846188</v>
      </c>
      <c r="G171" s="95">
        <f t="shared" si="34"/>
        <v>14783.080172784619</v>
      </c>
      <c r="H171" s="95">
        <f t="shared" si="32"/>
        <v>-140885.75259893859</v>
      </c>
      <c r="N171"/>
      <c r="O171" s="4">
        <v>154</v>
      </c>
      <c r="P171" s="4">
        <f t="shared" si="37"/>
        <v>1965893.0757607089</v>
      </c>
      <c r="Q171" s="4">
        <f t="shared" si="38"/>
        <v>1964993.0757607089</v>
      </c>
      <c r="R171" s="4">
        <f t="shared" si="35"/>
        <v>900</v>
      </c>
      <c r="S171" s="4">
        <f t="shared" si="41"/>
        <v>19464.287878818901</v>
      </c>
      <c r="T171" s="94">
        <f t="shared" si="39"/>
        <v>-18564.287878818901</v>
      </c>
      <c r="U171" s="94">
        <f t="shared" si="40"/>
        <v>1984643.006518316</v>
      </c>
      <c r="V171" t="str">
        <f>""</f>
        <v/>
      </c>
      <c r="W171" s="88"/>
    </row>
    <row r="172" spans="2:23" x14ac:dyDescent="0.25">
      <c r="B172" s="95"/>
      <c r="C172" s="95">
        <f t="shared" si="36"/>
        <v>-140885.75259893859</v>
      </c>
      <c r="D172" s="95">
        <f t="shared" si="30"/>
        <v>-156112.32517690674</v>
      </c>
      <c r="E172" s="95">
        <f t="shared" si="33"/>
        <v>11000</v>
      </c>
      <c r="F172" s="95">
        <f t="shared" si="31"/>
        <v>-4226.5725779681579</v>
      </c>
      <c r="G172" s="95">
        <f t="shared" si="34"/>
        <v>15226.572577968158</v>
      </c>
      <c r="H172" s="95">
        <f t="shared" si="32"/>
        <v>-156112.32517690674</v>
      </c>
      <c r="N172"/>
      <c r="O172" s="4">
        <v>155</v>
      </c>
      <c r="P172" s="4">
        <f t="shared" si="37"/>
        <v>1984643.006518316</v>
      </c>
      <c r="Q172" s="4">
        <f t="shared" si="38"/>
        <v>1983743.006518316</v>
      </c>
      <c r="R172" s="4">
        <f t="shared" si="35"/>
        <v>900</v>
      </c>
      <c r="S172" s="4">
        <f t="shared" si="41"/>
        <v>19649.93075760709</v>
      </c>
      <c r="T172" s="94">
        <f t="shared" si="39"/>
        <v>-18749.93075760709</v>
      </c>
      <c r="U172" s="94">
        <f t="shared" si="40"/>
        <v>2003580.4365834992</v>
      </c>
      <c r="V172" t="str">
        <f>""</f>
        <v/>
      </c>
      <c r="W172" s="88"/>
    </row>
    <row r="173" spans="2:23" x14ac:dyDescent="0.25">
      <c r="B173" s="95"/>
      <c r="C173" s="95">
        <f t="shared" si="36"/>
        <v>-156112.32517690674</v>
      </c>
      <c r="D173" s="95">
        <f t="shared" si="30"/>
        <v>-171795.69493221396</v>
      </c>
      <c r="E173" s="95">
        <f t="shared" si="33"/>
        <v>11000</v>
      </c>
      <c r="F173" s="95">
        <f t="shared" si="31"/>
        <v>-4683.3697553072025</v>
      </c>
      <c r="G173" s="95">
        <f t="shared" si="34"/>
        <v>15683.369755307202</v>
      </c>
      <c r="H173" s="95">
        <f t="shared" si="32"/>
        <v>-171795.69493221396</v>
      </c>
      <c r="N173"/>
      <c r="O173" s="4">
        <v>156</v>
      </c>
      <c r="P173" s="4">
        <f t="shared" si="37"/>
        <v>2003580.4365834992</v>
      </c>
      <c r="Q173" s="4">
        <f t="shared" si="38"/>
        <v>2002680.4365834992</v>
      </c>
      <c r="R173" s="4">
        <f t="shared" si="35"/>
        <v>900</v>
      </c>
      <c r="S173" s="4">
        <f t="shared" si="41"/>
        <v>19837.430065183162</v>
      </c>
      <c r="T173" s="94">
        <f t="shared" si="39"/>
        <v>-18937.430065183162</v>
      </c>
      <c r="U173" s="94">
        <f t="shared" si="40"/>
        <v>2022707.2409493341</v>
      </c>
      <c r="V173" t="str">
        <f>""</f>
        <v/>
      </c>
      <c r="W173" s="88"/>
    </row>
    <row r="174" spans="2:23" x14ac:dyDescent="0.25">
      <c r="B174" s="95"/>
      <c r="C174" s="95">
        <f t="shared" si="36"/>
        <v>-171795.69493221396</v>
      </c>
      <c r="D174" s="95">
        <f t="shared" si="30"/>
        <v>-187949.56578018039</v>
      </c>
      <c r="E174" s="95">
        <f t="shared" si="33"/>
        <v>11000</v>
      </c>
      <c r="F174" s="95">
        <f t="shared" si="31"/>
        <v>-5153.8708479664183</v>
      </c>
      <c r="G174" s="95">
        <f t="shared" si="34"/>
        <v>16153.870847966418</v>
      </c>
      <c r="H174" s="95">
        <f t="shared" si="32"/>
        <v>-187949.56578018039</v>
      </c>
      <c r="N174"/>
      <c r="O174" s="4">
        <v>157</v>
      </c>
      <c r="P174" s="4">
        <f t="shared" si="37"/>
        <v>2022707.2409493341</v>
      </c>
      <c r="Q174" s="4">
        <f t="shared" si="38"/>
        <v>2021807.2409493341</v>
      </c>
      <c r="R174" s="4">
        <f t="shared" si="35"/>
        <v>900</v>
      </c>
      <c r="S174" s="4">
        <f t="shared" si="41"/>
        <v>20026.804365834992</v>
      </c>
      <c r="T174" s="94">
        <f t="shared" si="39"/>
        <v>-19126.804365834992</v>
      </c>
      <c r="U174" s="94">
        <f t="shared" si="40"/>
        <v>2042025.3133588275</v>
      </c>
      <c r="V174" t="str">
        <f>""</f>
        <v/>
      </c>
      <c r="W174" s="88"/>
    </row>
    <row r="175" spans="2:23" x14ac:dyDescent="0.25">
      <c r="B175" s="95"/>
      <c r="C175" s="95">
        <f t="shared" si="36"/>
        <v>-187949.56578018039</v>
      </c>
      <c r="D175" s="95">
        <f t="shared" si="30"/>
        <v>-204588.0527535858</v>
      </c>
      <c r="E175" s="95">
        <f t="shared" si="33"/>
        <v>11000</v>
      </c>
      <c r="F175" s="95">
        <f t="shared" si="31"/>
        <v>-5638.4869734054118</v>
      </c>
      <c r="G175" s="95">
        <f t="shared" si="34"/>
        <v>16638.486973405412</v>
      </c>
      <c r="H175" s="95">
        <f t="shared" si="32"/>
        <v>-204588.0527535858</v>
      </c>
      <c r="N175"/>
      <c r="O175" s="4">
        <v>158</v>
      </c>
      <c r="P175" s="4">
        <f t="shared" si="37"/>
        <v>2042025.3133588275</v>
      </c>
      <c r="Q175" s="4">
        <f t="shared" si="38"/>
        <v>2041125.3133588275</v>
      </c>
      <c r="R175" s="4">
        <f t="shared" si="35"/>
        <v>900</v>
      </c>
      <c r="S175" s="4">
        <f t="shared" si="41"/>
        <v>20218.072409493343</v>
      </c>
      <c r="T175" s="94">
        <f t="shared" si="39"/>
        <v>-19318.072409493343</v>
      </c>
      <c r="U175" s="94">
        <f t="shared" si="40"/>
        <v>2061536.5664924157</v>
      </c>
      <c r="V175" t="str">
        <f>""</f>
        <v/>
      </c>
      <c r="W175" s="88"/>
    </row>
    <row r="176" spans="2:23" x14ac:dyDescent="0.25">
      <c r="B176" s="95"/>
      <c r="C176" s="95">
        <f t="shared" si="36"/>
        <v>-204588.0527535858</v>
      </c>
      <c r="D176" s="95">
        <f t="shared" si="30"/>
        <v>-221725.69433619338</v>
      </c>
      <c r="E176" s="95">
        <f t="shared" si="33"/>
        <v>11000</v>
      </c>
      <c r="F176" s="95">
        <f t="shared" si="31"/>
        <v>-6137.6415826075736</v>
      </c>
      <c r="G176" s="95">
        <f t="shared" si="34"/>
        <v>17137.641582607575</v>
      </c>
      <c r="H176" s="95">
        <f t="shared" si="32"/>
        <v>-221725.69433619338</v>
      </c>
      <c r="N176"/>
      <c r="O176" s="4">
        <v>159</v>
      </c>
      <c r="P176" s="4">
        <f t="shared" si="37"/>
        <v>2061536.5664924157</v>
      </c>
      <c r="Q176" s="4">
        <f t="shared" si="38"/>
        <v>2060636.5664924157</v>
      </c>
      <c r="R176" s="4">
        <f t="shared" si="35"/>
        <v>900</v>
      </c>
      <c r="S176" s="4">
        <f t="shared" si="41"/>
        <v>20411.253133588274</v>
      </c>
      <c r="T176" s="94">
        <f t="shared" si="39"/>
        <v>-19511.253133588274</v>
      </c>
      <c r="U176" s="94">
        <f t="shared" si="40"/>
        <v>2081242.93215734</v>
      </c>
      <c r="V176" t="str">
        <f>""</f>
        <v/>
      </c>
      <c r="W176" s="88"/>
    </row>
    <row r="177" spans="2:23" x14ac:dyDescent="0.25">
      <c r="B177" s="95"/>
      <c r="C177" s="95">
        <f t="shared" si="36"/>
        <v>-221725.69433619338</v>
      </c>
      <c r="D177" s="95">
        <f t="shared" ref="D177:D197" si="42">C177*(1+$D$5)-E177</f>
        <v>-239377.4651662792</v>
      </c>
      <c r="E177" s="95">
        <f t="shared" si="33"/>
        <v>11000</v>
      </c>
      <c r="F177" s="95">
        <f t="shared" ref="F177:F197" si="43">C177*$D$5</f>
        <v>-6651.7708300858012</v>
      </c>
      <c r="G177" s="95">
        <f t="shared" si="34"/>
        <v>17651.770830085799</v>
      </c>
      <c r="H177" s="95">
        <f t="shared" ref="H177:H197" si="44">C177*(1+$D$5)-E177</f>
        <v>-239377.4651662792</v>
      </c>
      <c r="N177"/>
      <c r="O177" s="4">
        <v>160</v>
      </c>
      <c r="P177" s="4">
        <f t="shared" si="37"/>
        <v>2081242.93215734</v>
      </c>
      <c r="Q177" s="4">
        <f t="shared" si="38"/>
        <v>2080342.93215734</v>
      </c>
      <c r="R177" s="4">
        <f t="shared" si="35"/>
        <v>900</v>
      </c>
      <c r="S177" s="4">
        <f t="shared" si="41"/>
        <v>20606.365664924157</v>
      </c>
      <c r="T177" s="94">
        <f t="shared" si="39"/>
        <v>-19706.365664924157</v>
      </c>
      <c r="U177" s="94">
        <f t="shared" si="40"/>
        <v>2101146.3614789136</v>
      </c>
      <c r="V177" t="str">
        <f>""</f>
        <v/>
      </c>
      <c r="W177" s="88"/>
    </row>
    <row r="178" spans="2:23" x14ac:dyDescent="0.25">
      <c r="B178" s="95"/>
      <c r="C178" s="95">
        <f t="shared" si="36"/>
        <v>-239377.4651662792</v>
      </c>
      <c r="D178" s="95">
        <f t="shared" si="42"/>
        <v>-257558.78912126759</v>
      </c>
      <c r="E178" s="95">
        <f t="shared" si="33"/>
        <v>11000</v>
      </c>
      <c r="F178" s="95">
        <f t="shared" si="43"/>
        <v>-7181.3239549883756</v>
      </c>
      <c r="G178" s="95">
        <f t="shared" si="34"/>
        <v>18181.323954988376</v>
      </c>
      <c r="H178" s="95">
        <f t="shared" si="44"/>
        <v>-257558.78912126759</v>
      </c>
      <c r="N178"/>
      <c r="O178" s="4">
        <v>161</v>
      </c>
      <c r="P178" s="4">
        <f t="shared" si="37"/>
        <v>2101146.3614789136</v>
      </c>
      <c r="Q178" s="4">
        <f t="shared" si="38"/>
        <v>2100246.3614789136</v>
      </c>
      <c r="R178" s="4">
        <f t="shared" si="35"/>
        <v>900</v>
      </c>
      <c r="S178" s="4">
        <f t="shared" si="41"/>
        <v>20803.4293215734</v>
      </c>
      <c r="T178" s="94">
        <f t="shared" si="39"/>
        <v>-19903.4293215734</v>
      </c>
      <c r="U178" s="94">
        <f t="shared" si="40"/>
        <v>2121248.8250937029</v>
      </c>
      <c r="V178" t="str">
        <f>""</f>
        <v/>
      </c>
      <c r="W178" s="88"/>
    </row>
    <row r="179" spans="2:23" x14ac:dyDescent="0.25">
      <c r="B179" s="95"/>
      <c r="C179" s="95">
        <f t="shared" si="36"/>
        <v>-257558.78912126759</v>
      </c>
      <c r="D179" s="95">
        <f t="shared" si="42"/>
        <v>-276285.55279490561</v>
      </c>
      <c r="E179" s="95">
        <f t="shared" si="33"/>
        <v>11000</v>
      </c>
      <c r="F179" s="95">
        <f t="shared" si="43"/>
        <v>-7726.7636736380273</v>
      </c>
      <c r="G179" s="95">
        <f t="shared" si="34"/>
        <v>18726.763673638026</v>
      </c>
      <c r="H179" s="95">
        <f t="shared" si="44"/>
        <v>-276285.55279490561</v>
      </c>
      <c r="N179"/>
      <c r="O179" s="4">
        <v>162</v>
      </c>
      <c r="P179" s="4">
        <f t="shared" si="37"/>
        <v>2121248.8250937029</v>
      </c>
      <c r="Q179" s="4">
        <f t="shared" si="38"/>
        <v>2120348.8250937029</v>
      </c>
      <c r="R179" s="4">
        <f t="shared" si="35"/>
        <v>900</v>
      </c>
      <c r="S179" s="4">
        <f t="shared" si="41"/>
        <v>21002.463614789136</v>
      </c>
      <c r="T179" s="94">
        <f t="shared" si="39"/>
        <v>-20102.463614789136</v>
      </c>
      <c r="U179" s="94">
        <f t="shared" si="40"/>
        <v>2141552.3133446397</v>
      </c>
      <c r="V179" t="str">
        <f>""</f>
        <v/>
      </c>
      <c r="W179" s="88"/>
    </row>
    <row r="180" spans="2:23" x14ac:dyDescent="0.25">
      <c r="B180" s="95"/>
      <c r="C180" s="95">
        <f t="shared" si="36"/>
        <v>-276285.55279490561</v>
      </c>
      <c r="D180" s="95">
        <f t="shared" si="42"/>
        <v>-295574.11937875277</v>
      </c>
      <c r="E180" s="95">
        <f t="shared" si="33"/>
        <v>11000</v>
      </c>
      <c r="F180" s="95">
        <f t="shared" si="43"/>
        <v>-8288.5665838471687</v>
      </c>
      <c r="G180" s="95">
        <f t="shared" si="34"/>
        <v>19288.566583847169</v>
      </c>
      <c r="H180" s="95">
        <f t="shared" si="44"/>
        <v>-295574.11937875277</v>
      </c>
      <c r="N180"/>
      <c r="O180" s="4">
        <v>163</v>
      </c>
      <c r="P180" s="4">
        <f t="shared" si="37"/>
        <v>2141552.3133446397</v>
      </c>
      <c r="Q180" s="4">
        <f t="shared" si="38"/>
        <v>2140652.3133446397</v>
      </c>
      <c r="R180" s="4">
        <f t="shared" si="35"/>
        <v>900</v>
      </c>
      <c r="S180" s="4">
        <f t="shared" si="41"/>
        <v>21203.488250937029</v>
      </c>
      <c r="T180" s="94">
        <f t="shared" si="39"/>
        <v>-20303.488250937029</v>
      </c>
      <c r="U180" s="94">
        <f t="shared" si="40"/>
        <v>2162058.8364780862</v>
      </c>
      <c r="V180" t="str">
        <f>""</f>
        <v/>
      </c>
      <c r="W180" s="88"/>
    </row>
    <row r="181" spans="2:23" x14ac:dyDescent="0.25">
      <c r="B181" s="95"/>
      <c r="C181" s="95">
        <f t="shared" si="36"/>
        <v>-295574.11937875277</v>
      </c>
      <c r="D181" s="95">
        <f t="shared" si="42"/>
        <v>-315441.34296011535</v>
      </c>
      <c r="E181" s="95">
        <f t="shared" si="33"/>
        <v>11000</v>
      </c>
      <c r="F181" s="95">
        <f t="shared" si="43"/>
        <v>-8867.223581362583</v>
      </c>
      <c r="G181" s="95">
        <f t="shared" si="34"/>
        <v>19867.223581362581</v>
      </c>
      <c r="H181" s="95">
        <f t="shared" si="44"/>
        <v>-315441.34296011535</v>
      </c>
      <c r="N181"/>
      <c r="O181" s="4">
        <v>164</v>
      </c>
      <c r="P181" s="4">
        <f t="shared" si="37"/>
        <v>2162058.8364780862</v>
      </c>
      <c r="Q181" s="4">
        <f t="shared" si="38"/>
        <v>2161158.8364780862</v>
      </c>
      <c r="R181" s="4">
        <f t="shared" si="35"/>
        <v>900</v>
      </c>
      <c r="S181" s="4">
        <f t="shared" si="41"/>
        <v>21406.523133446397</v>
      </c>
      <c r="T181" s="94">
        <f t="shared" si="39"/>
        <v>-20506.523133446397</v>
      </c>
      <c r="U181" s="94">
        <f t="shared" si="40"/>
        <v>2182770.4248428671</v>
      </c>
      <c r="V181" t="str">
        <f>""</f>
        <v/>
      </c>
      <c r="W181" s="88"/>
    </row>
    <row r="182" spans="2:23" x14ac:dyDescent="0.25">
      <c r="B182" s="95"/>
      <c r="C182" s="95">
        <f t="shared" si="36"/>
        <v>-315441.34296011535</v>
      </c>
      <c r="D182" s="95">
        <f t="shared" si="42"/>
        <v>-335904.58324891882</v>
      </c>
      <c r="E182" s="95">
        <f t="shared" si="33"/>
        <v>11000</v>
      </c>
      <c r="F182" s="95">
        <f t="shared" si="43"/>
        <v>-9463.2402888034594</v>
      </c>
      <c r="G182" s="95">
        <f t="shared" si="34"/>
        <v>20463.240288803459</v>
      </c>
      <c r="H182" s="95">
        <f t="shared" si="44"/>
        <v>-335904.58324891882</v>
      </c>
      <c r="N182"/>
      <c r="O182" s="4">
        <v>165</v>
      </c>
      <c r="P182" s="4">
        <f t="shared" si="37"/>
        <v>2182770.4248428671</v>
      </c>
      <c r="Q182" s="4">
        <f t="shared" si="38"/>
        <v>2181870.4248428671</v>
      </c>
      <c r="R182" s="4">
        <f t="shared" si="35"/>
        <v>900</v>
      </c>
      <c r="S182" s="4">
        <f t="shared" si="41"/>
        <v>21611.588364780862</v>
      </c>
      <c r="T182" s="94">
        <f t="shared" si="39"/>
        <v>-20711.588364780862</v>
      </c>
      <c r="U182" s="94">
        <f t="shared" si="40"/>
        <v>2203689.1290912959</v>
      </c>
      <c r="V182" t="str">
        <f>""</f>
        <v/>
      </c>
      <c r="W182" s="88"/>
    </row>
    <row r="183" spans="2:23" x14ac:dyDescent="0.25">
      <c r="B183" s="95"/>
      <c r="C183" s="95">
        <f t="shared" si="36"/>
        <v>-335904.58324891882</v>
      </c>
      <c r="D183" s="95">
        <f t="shared" si="42"/>
        <v>-356981.72074638639</v>
      </c>
      <c r="E183" s="95">
        <f t="shared" si="33"/>
        <v>11000</v>
      </c>
      <c r="F183" s="95">
        <f t="shared" si="43"/>
        <v>-10077.137497467564</v>
      </c>
      <c r="G183" s="95">
        <f t="shared" si="34"/>
        <v>21077.137497467564</v>
      </c>
      <c r="H183" s="95">
        <f t="shared" si="44"/>
        <v>-356981.72074638639</v>
      </c>
      <c r="N183"/>
      <c r="O183" s="4">
        <v>166</v>
      </c>
      <c r="P183" s="4">
        <f t="shared" si="37"/>
        <v>2203689.1290912959</v>
      </c>
      <c r="Q183" s="4">
        <f t="shared" si="38"/>
        <v>2202789.1290912959</v>
      </c>
      <c r="R183" s="4">
        <f t="shared" si="35"/>
        <v>900</v>
      </c>
      <c r="S183" s="4">
        <f t="shared" si="41"/>
        <v>21818.704248428672</v>
      </c>
      <c r="T183" s="94">
        <f t="shared" si="39"/>
        <v>-20918.704248428672</v>
      </c>
      <c r="U183" s="94">
        <f t="shared" si="40"/>
        <v>2224817.0203822087</v>
      </c>
      <c r="V183" t="str">
        <f>""</f>
        <v/>
      </c>
      <c r="W183" s="88"/>
    </row>
    <row r="184" spans="2:23" x14ac:dyDescent="0.25">
      <c r="B184" s="95"/>
      <c r="C184" s="95">
        <f t="shared" si="36"/>
        <v>-356981.72074638639</v>
      </c>
      <c r="D184" s="95">
        <f t="shared" si="42"/>
        <v>-378691.17236877797</v>
      </c>
      <c r="E184" s="95">
        <f t="shared" si="33"/>
        <v>11000</v>
      </c>
      <c r="F184" s="95">
        <f t="shared" si="43"/>
        <v>-10709.451622391591</v>
      </c>
      <c r="G184" s="95">
        <f t="shared" si="34"/>
        <v>21709.451622391593</v>
      </c>
      <c r="H184" s="95">
        <f t="shared" si="44"/>
        <v>-378691.17236877797</v>
      </c>
      <c r="N184"/>
      <c r="O184" s="4">
        <v>167</v>
      </c>
      <c r="P184" s="4">
        <f t="shared" si="37"/>
        <v>2224817.0203822087</v>
      </c>
      <c r="Q184" s="4">
        <f t="shared" si="38"/>
        <v>2223917.0203822087</v>
      </c>
      <c r="R184" s="4">
        <f t="shared" si="35"/>
        <v>900</v>
      </c>
      <c r="S184" s="4">
        <f t="shared" si="41"/>
        <v>22027.891290912958</v>
      </c>
      <c r="T184" s="94">
        <f t="shared" si="39"/>
        <v>-21127.891290912958</v>
      </c>
      <c r="U184" s="94">
        <f t="shared" si="40"/>
        <v>2246156.1905860309</v>
      </c>
      <c r="V184" t="str">
        <f>""</f>
        <v/>
      </c>
      <c r="W184" s="88"/>
    </row>
    <row r="185" spans="2:23" x14ac:dyDescent="0.25">
      <c r="B185" s="95"/>
      <c r="C185" s="95">
        <f t="shared" si="36"/>
        <v>-378691.17236877797</v>
      </c>
      <c r="D185" s="95">
        <f t="shared" si="42"/>
        <v>-401051.90753984131</v>
      </c>
      <c r="E185" s="95">
        <f t="shared" si="33"/>
        <v>11000</v>
      </c>
      <c r="F185" s="95">
        <f t="shared" si="43"/>
        <v>-11360.735171063339</v>
      </c>
      <c r="G185" s="95">
        <f t="shared" si="34"/>
        <v>22360.735171063337</v>
      </c>
      <c r="H185" s="95">
        <f t="shared" si="44"/>
        <v>-401051.90753984131</v>
      </c>
      <c r="N185"/>
      <c r="O185" s="4">
        <v>168</v>
      </c>
      <c r="P185" s="4">
        <f t="shared" si="37"/>
        <v>2246156.1905860309</v>
      </c>
      <c r="Q185" s="4">
        <f t="shared" si="38"/>
        <v>2245256.1905860309</v>
      </c>
      <c r="R185" s="4">
        <f t="shared" si="35"/>
        <v>900</v>
      </c>
      <c r="S185" s="4">
        <f t="shared" si="41"/>
        <v>22239.170203822086</v>
      </c>
      <c r="T185" s="94">
        <f t="shared" si="39"/>
        <v>-21339.170203822086</v>
      </c>
      <c r="U185" s="94">
        <f t="shared" si="40"/>
        <v>2267708.7524918914</v>
      </c>
      <c r="V185" t="str">
        <f>""</f>
        <v/>
      </c>
      <c r="W185" s="88"/>
    </row>
    <row r="186" spans="2:23" x14ac:dyDescent="0.25">
      <c r="B186" s="95"/>
      <c r="C186" s="95">
        <f t="shared" si="36"/>
        <v>-401051.90753984131</v>
      </c>
      <c r="D186" s="95">
        <f t="shared" si="42"/>
        <v>-424083.46476603654</v>
      </c>
      <c r="E186" s="95">
        <f t="shared" si="33"/>
        <v>11000</v>
      </c>
      <c r="F186" s="95">
        <f t="shared" si="43"/>
        <v>-12031.557226195238</v>
      </c>
      <c r="G186" s="95">
        <f t="shared" si="34"/>
        <v>23031.55722619524</v>
      </c>
      <c r="H186" s="95">
        <f t="shared" si="44"/>
        <v>-424083.46476603654</v>
      </c>
      <c r="N186"/>
      <c r="O186" s="4">
        <v>169</v>
      </c>
      <c r="P186" s="4">
        <f t="shared" si="37"/>
        <v>2267708.7524918914</v>
      </c>
      <c r="Q186" s="4">
        <f t="shared" si="38"/>
        <v>2266808.7524918914</v>
      </c>
      <c r="R186" s="4">
        <f t="shared" si="35"/>
        <v>900</v>
      </c>
      <c r="S186" s="4">
        <f t="shared" si="41"/>
        <v>22452.561905860312</v>
      </c>
      <c r="T186" s="94">
        <f t="shared" si="39"/>
        <v>-21552.561905860312</v>
      </c>
      <c r="U186" s="94">
        <f t="shared" si="40"/>
        <v>2289476.8400168102</v>
      </c>
      <c r="V186" t="str">
        <f>""</f>
        <v/>
      </c>
      <c r="W186" s="88"/>
    </row>
    <row r="187" spans="2:23" x14ac:dyDescent="0.25">
      <c r="B187" s="95"/>
      <c r="C187" s="95">
        <f t="shared" si="36"/>
        <v>-424083.46476603654</v>
      </c>
      <c r="D187" s="95">
        <f t="shared" si="42"/>
        <v>-447805.96870901767</v>
      </c>
      <c r="E187" s="95">
        <f t="shared" si="33"/>
        <v>11000</v>
      </c>
      <c r="F187" s="95">
        <f t="shared" si="43"/>
        <v>-12722.503942981097</v>
      </c>
      <c r="G187" s="95">
        <f t="shared" si="34"/>
        <v>23722.503942981097</v>
      </c>
      <c r="H187" s="95">
        <f t="shared" si="44"/>
        <v>-447805.96870901767</v>
      </c>
      <c r="N187"/>
      <c r="O187" s="4">
        <v>170</v>
      </c>
      <c r="P187" s="4">
        <f t="shared" si="37"/>
        <v>2289476.8400168102</v>
      </c>
      <c r="Q187" s="4">
        <f t="shared" si="38"/>
        <v>2288576.8400168102</v>
      </c>
      <c r="R187" s="4">
        <f t="shared" si="35"/>
        <v>900</v>
      </c>
      <c r="S187" s="4">
        <f t="shared" si="41"/>
        <v>22668.087524918916</v>
      </c>
      <c r="T187" s="94">
        <f t="shared" si="39"/>
        <v>-21768.087524918916</v>
      </c>
      <c r="U187" s="94">
        <f t="shared" si="40"/>
        <v>2311462.6084169783</v>
      </c>
      <c r="V187" t="str">
        <f>""</f>
        <v/>
      </c>
      <c r="W187" s="88"/>
    </row>
    <row r="188" spans="2:23" x14ac:dyDescent="0.25">
      <c r="B188" s="95"/>
      <c r="C188" s="95">
        <f t="shared" si="36"/>
        <v>-447805.96870901767</v>
      </c>
      <c r="D188" s="95">
        <f t="shared" si="42"/>
        <v>-472240.14777028823</v>
      </c>
      <c r="E188" s="95">
        <f t="shared" si="33"/>
        <v>11000</v>
      </c>
      <c r="F188" s="95">
        <f t="shared" si="43"/>
        <v>-13434.17906127053</v>
      </c>
      <c r="G188" s="95">
        <f t="shared" si="34"/>
        <v>24434.17906127053</v>
      </c>
      <c r="H188" s="95">
        <f t="shared" si="44"/>
        <v>-472240.14777028823</v>
      </c>
      <c r="N188"/>
      <c r="O188" s="4">
        <v>171</v>
      </c>
      <c r="P188" s="4">
        <f t="shared" si="37"/>
        <v>2311462.6084169783</v>
      </c>
      <c r="Q188" s="4">
        <f t="shared" si="38"/>
        <v>2310562.6084169783</v>
      </c>
      <c r="R188" s="4">
        <f t="shared" si="35"/>
        <v>900</v>
      </c>
      <c r="S188" s="4">
        <f t="shared" si="41"/>
        <v>22885.768400168101</v>
      </c>
      <c r="T188" s="94">
        <f t="shared" si="39"/>
        <v>-21985.768400168101</v>
      </c>
      <c r="U188" s="94">
        <f t="shared" si="40"/>
        <v>2333668.2345011481</v>
      </c>
      <c r="V188" t="str">
        <f>""</f>
        <v/>
      </c>
      <c r="W188" s="88"/>
    </row>
    <row r="189" spans="2:23" x14ac:dyDescent="0.25">
      <c r="B189" s="95"/>
      <c r="C189" s="95">
        <f t="shared" si="36"/>
        <v>-472240.14777028823</v>
      </c>
      <c r="D189" s="95">
        <f t="shared" si="42"/>
        <v>-497407.35220339691</v>
      </c>
      <c r="E189" s="95">
        <f t="shared" si="33"/>
        <v>11000</v>
      </c>
      <c r="F189" s="95">
        <f t="shared" si="43"/>
        <v>-14167.204433108645</v>
      </c>
      <c r="G189" s="95">
        <f t="shared" si="34"/>
        <v>25167.204433108644</v>
      </c>
      <c r="H189" s="95">
        <f t="shared" si="44"/>
        <v>-497407.35220339691</v>
      </c>
      <c r="N189"/>
      <c r="O189" s="4">
        <v>172</v>
      </c>
      <c r="P189" s="4">
        <f t="shared" si="37"/>
        <v>2333668.2345011481</v>
      </c>
      <c r="Q189" s="4">
        <f t="shared" si="38"/>
        <v>2332768.2345011481</v>
      </c>
      <c r="R189" s="4">
        <f t="shared" si="35"/>
        <v>900</v>
      </c>
      <c r="S189" s="4">
        <f t="shared" si="41"/>
        <v>23105.626084169784</v>
      </c>
      <c r="T189" s="94">
        <f t="shared" si="39"/>
        <v>-22205.626084169784</v>
      </c>
      <c r="U189" s="94">
        <f t="shared" si="40"/>
        <v>2356095.9168461594</v>
      </c>
      <c r="V189" t="str">
        <f>""</f>
        <v/>
      </c>
      <c r="W189" s="88"/>
    </row>
    <row r="190" spans="2:23" x14ac:dyDescent="0.25">
      <c r="B190" s="95"/>
      <c r="C190" s="95">
        <f t="shared" si="36"/>
        <v>-497407.35220339691</v>
      </c>
      <c r="D190" s="95">
        <f t="shared" si="42"/>
        <v>-523329.5727694988</v>
      </c>
      <c r="E190" s="95">
        <f t="shared" si="33"/>
        <v>11000</v>
      </c>
      <c r="F190" s="95">
        <f t="shared" si="43"/>
        <v>-14922.220566101907</v>
      </c>
      <c r="G190" s="95">
        <f t="shared" si="34"/>
        <v>25922.220566101907</v>
      </c>
      <c r="H190" s="95">
        <f t="shared" si="44"/>
        <v>-523329.5727694988</v>
      </c>
      <c r="N190"/>
      <c r="O190" s="4">
        <v>173</v>
      </c>
      <c r="P190" s="4">
        <f t="shared" si="37"/>
        <v>2356095.9168461594</v>
      </c>
      <c r="Q190" s="4">
        <f t="shared" si="38"/>
        <v>2355195.9168461594</v>
      </c>
      <c r="R190" s="4">
        <f t="shared" si="35"/>
        <v>900</v>
      </c>
      <c r="S190" s="4">
        <f t="shared" si="41"/>
        <v>23327.682345011483</v>
      </c>
      <c r="T190" s="94">
        <f t="shared" si="39"/>
        <v>-22427.682345011483</v>
      </c>
      <c r="U190" s="94">
        <f t="shared" si="40"/>
        <v>2378747.876014621</v>
      </c>
      <c r="V190" t="str">
        <f>""</f>
        <v/>
      </c>
      <c r="W190" s="88"/>
    </row>
    <row r="191" spans="2:23" x14ac:dyDescent="0.25">
      <c r="B191" s="95"/>
      <c r="C191" s="95">
        <f t="shared" si="36"/>
        <v>-523329.5727694988</v>
      </c>
      <c r="D191" s="95">
        <f t="shared" si="42"/>
        <v>-550029.45995258377</v>
      </c>
      <c r="E191" s="95">
        <f t="shared" si="33"/>
        <v>11000</v>
      </c>
      <c r="F191" s="95">
        <f t="shared" si="43"/>
        <v>-15699.887183084964</v>
      </c>
      <c r="G191" s="95">
        <f t="shared" si="34"/>
        <v>26699.887183084964</v>
      </c>
      <c r="H191" s="95">
        <f t="shared" si="44"/>
        <v>-550029.45995258377</v>
      </c>
      <c r="N191"/>
      <c r="O191" s="4">
        <v>174</v>
      </c>
      <c r="P191" s="4">
        <f t="shared" si="37"/>
        <v>2378747.876014621</v>
      </c>
      <c r="Q191" s="4">
        <f t="shared" si="38"/>
        <v>2377847.876014621</v>
      </c>
      <c r="R191" s="4">
        <f t="shared" si="35"/>
        <v>900</v>
      </c>
      <c r="S191" s="4">
        <f t="shared" si="41"/>
        <v>23551.959168461595</v>
      </c>
      <c r="T191" s="94">
        <f t="shared" si="39"/>
        <v>-22651.959168461595</v>
      </c>
      <c r="U191" s="94">
        <f t="shared" si="40"/>
        <v>2401626.3547747671</v>
      </c>
      <c r="V191" t="str">
        <f>""</f>
        <v/>
      </c>
      <c r="W191" s="88"/>
    </row>
    <row r="192" spans="2:23" x14ac:dyDescent="0.25">
      <c r="B192" s="95"/>
      <c r="C192" s="95">
        <f t="shared" si="36"/>
        <v>-550029.45995258377</v>
      </c>
      <c r="D192" s="95">
        <f t="shared" si="42"/>
        <v>-577530.34375116124</v>
      </c>
      <c r="E192" s="95">
        <f t="shared" si="33"/>
        <v>11000</v>
      </c>
      <c r="F192" s="95">
        <f t="shared" si="43"/>
        <v>-16500.883798577514</v>
      </c>
      <c r="G192" s="95">
        <f t="shared" si="34"/>
        <v>27500.883798577514</v>
      </c>
      <c r="H192" s="95">
        <f t="shared" si="44"/>
        <v>-577530.34375116124</v>
      </c>
      <c r="N192"/>
      <c r="O192" s="4">
        <v>175</v>
      </c>
      <c r="P192" s="4">
        <f t="shared" si="37"/>
        <v>2401626.3547747671</v>
      </c>
      <c r="Q192" s="4">
        <f t="shared" si="38"/>
        <v>2400726.3547747671</v>
      </c>
      <c r="R192" s="4">
        <f t="shared" si="35"/>
        <v>900</v>
      </c>
      <c r="S192" s="4">
        <f t="shared" si="41"/>
        <v>23778.478760146212</v>
      </c>
      <c r="T192" s="94">
        <f t="shared" si="39"/>
        <v>-22878.478760146212</v>
      </c>
      <c r="U192" s="94">
        <f t="shared" si="40"/>
        <v>2424733.6183225149</v>
      </c>
      <c r="V192" t="str">
        <f>""</f>
        <v/>
      </c>
      <c r="W192" s="88"/>
    </row>
    <row r="193" spans="2:23" x14ac:dyDescent="0.25">
      <c r="B193" s="95"/>
      <c r="C193" s="95">
        <f t="shared" si="36"/>
        <v>-577530.34375116124</v>
      </c>
      <c r="D193" s="95">
        <f t="shared" si="42"/>
        <v>-605856.25406369613</v>
      </c>
      <c r="E193" s="95">
        <f t="shared" si="33"/>
        <v>11000</v>
      </c>
      <c r="F193" s="95">
        <f t="shared" si="43"/>
        <v>-17325.910312534837</v>
      </c>
      <c r="G193" s="95">
        <f t="shared" si="34"/>
        <v>28325.910312534837</v>
      </c>
      <c r="H193" s="95">
        <f t="shared" si="44"/>
        <v>-605856.25406369613</v>
      </c>
      <c r="N193"/>
      <c r="O193" s="4">
        <v>176</v>
      </c>
      <c r="P193" s="4">
        <f t="shared" si="37"/>
        <v>2424733.6183225149</v>
      </c>
      <c r="Q193" s="4">
        <f t="shared" si="38"/>
        <v>2423833.6183225149</v>
      </c>
      <c r="R193" s="4">
        <f t="shared" si="35"/>
        <v>900</v>
      </c>
      <c r="S193" s="4">
        <f t="shared" si="41"/>
        <v>24007.263547747672</v>
      </c>
      <c r="T193" s="94">
        <f t="shared" si="39"/>
        <v>-23107.263547747672</v>
      </c>
      <c r="U193" s="94">
        <f t="shared" si="40"/>
        <v>2448071.9545057402</v>
      </c>
      <c r="V193" t="str">
        <f>""</f>
        <v/>
      </c>
      <c r="W193" s="88"/>
    </row>
    <row r="194" spans="2:23" x14ac:dyDescent="0.25">
      <c r="B194" s="95"/>
      <c r="C194" s="95">
        <f t="shared" si="36"/>
        <v>-605856.25406369613</v>
      </c>
      <c r="D194" s="95">
        <f t="shared" si="42"/>
        <v>-635031.94168560707</v>
      </c>
      <c r="E194" s="95">
        <f t="shared" si="33"/>
        <v>11000</v>
      </c>
      <c r="F194" s="95">
        <f t="shared" si="43"/>
        <v>-18175.687621910882</v>
      </c>
      <c r="G194" s="95">
        <f t="shared" si="34"/>
        <v>29175.687621910882</v>
      </c>
      <c r="H194" s="95">
        <f t="shared" si="44"/>
        <v>-635031.94168560707</v>
      </c>
      <c r="N194"/>
      <c r="O194" s="4">
        <v>177</v>
      </c>
      <c r="P194" s="4">
        <f t="shared" si="37"/>
        <v>2448071.9545057402</v>
      </c>
      <c r="Q194" s="4">
        <f t="shared" si="38"/>
        <v>2447171.9545057402</v>
      </c>
      <c r="R194" s="4">
        <f t="shared" si="35"/>
        <v>900</v>
      </c>
      <c r="S194" s="4">
        <f t="shared" si="41"/>
        <v>24238.33618322515</v>
      </c>
      <c r="T194" s="94">
        <f t="shared" si="39"/>
        <v>-23338.33618322515</v>
      </c>
      <c r="U194" s="94">
        <f t="shared" si="40"/>
        <v>2471643.6740507977</v>
      </c>
      <c r="V194" t="str">
        <f>""</f>
        <v/>
      </c>
      <c r="W194" s="88"/>
    </row>
    <row r="195" spans="2:23" x14ac:dyDescent="0.25">
      <c r="B195" s="95"/>
      <c r="C195" s="95">
        <f t="shared" si="36"/>
        <v>-635031.94168560707</v>
      </c>
      <c r="D195" s="95">
        <f t="shared" si="42"/>
        <v>-665082.89993617532</v>
      </c>
      <c r="E195" s="95">
        <f t="shared" si="33"/>
        <v>11000</v>
      </c>
      <c r="F195" s="95">
        <f t="shared" si="43"/>
        <v>-19050.958250568212</v>
      </c>
      <c r="G195" s="95">
        <f t="shared" si="34"/>
        <v>30050.958250568212</v>
      </c>
      <c r="H195" s="95">
        <f t="shared" si="44"/>
        <v>-665082.89993617532</v>
      </c>
      <c r="N195"/>
      <c r="O195" s="4">
        <v>178</v>
      </c>
      <c r="P195" s="4">
        <f t="shared" si="37"/>
        <v>2471643.6740507977</v>
      </c>
      <c r="Q195" s="4">
        <f t="shared" si="38"/>
        <v>2470743.6740507977</v>
      </c>
      <c r="R195" s="4">
        <f t="shared" si="35"/>
        <v>900</v>
      </c>
      <c r="S195" s="4">
        <f t="shared" si="41"/>
        <v>24471.719545057404</v>
      </c>
      <c r="T195" s="94">
        <f t="shared" si="39"/>
        <v>-23571.719545057404</v>
      </c>
      <c r="U195" s="94">
        <f t="shared" si="40"/>
        <v>2495451.1107913055</v>
      </c>
      <c r="V195" t="str">
        <f>""</f>
        <v/>
      </c>
      <c r="W195" s="88"/>
    </row>
    <row r="196" spans="2:23" x14ac:dyDescent="0.25">
      <c r="B196" s="95"/>
      <c r="C196" s="95">
        <f t="shared" si="36"/>
        <v>-665082.89993617532</v>
      </c>
      <c r="D196" s="95">
        <f t="shared" si="42"/>
        <v>-696035.3869342606</v>
      </c>
      <c r="E196" s="95">
        <f t="shared" si="33"/>
        <v>11000</v>
      </c>
      <c r="F196" s="95">
        <f t="shared" si="43"/>
        <v>-19952.48699808526</v>
      </c>
      <c r="G196" s="95">
        <f t="shared" si="34"/>
        <v>30952.48699808526</v>
      </c>
      <c r="H196" s="95">
        <f t="shared" si="44"/>
        <v>-696035.3869342606</v>
      </c>
      <c r="N196"/>
      <c r="O196" s="4">
        <v>179</v>
      </c>
      <c r="P196" s="4">
        <f t="shared" si="37"/>
        <v>2495451.1107913055</v>
      </c>
      <c r="Q196" s="4">
        <f t="shared" si="38"/>
        <v>2494551.1107913055</v>
      </c>
      <c r="R196" s="4">
        <f t="shared" si="35"/>
        <v>900</v>
      </c>
      <c r="S196" s="4">
        <f t="shared" si="41"/>
        <v>24707.436740507979</v>
      </c>
      <c r="T196" s="94">
        <f t="shared" si="39"/>
        <v>-23807.436740507979</v>
      </c>
      <c r="U196" s="94">
        <f t="shared" si="40"/>
        <v>2519496.6218992188</v>
      </c>
      <c r="V196" t="str">
        <f>""</f>
        <v/>
      </c>
      <c r="W196" s="88"/>
    </row>
    <row r="197" spans="2:23" x14ac:dyDescent="0.25">
      <c r="B197" s="95"/>
      <c r="C197" s="95">
        <f t="shared" si="36"/>
        <v>-696035.3869342606</v>
      </c>
      <c r="D197" s="95">
        <f t="shared" si="42"/>
        <v>-727916.44854228839</v>
      </c>
      <c r="E197" s="95">
        <f t="shared" si="33"/>
        <v>11000</v>
      </c>
      <c r="F197" s="95">
        <f t="shared" si="43"/>
        <v>-20881.061608027816</v>
      </c>
      <c r="G197" s="95">
        <f t="shared" si="34"/>
        <v>31881.061608027816</v>
      </c>
      <c r="H197" s="95">
        <f t="shared" si="44"/>
        <v>-727916.44854228839</v>
      </c>
      <c r="N197"/>
      <c r="O197" s="4">
        <v>180</v>
      </c>
      <c r="P197" s="4">
        <f t="shared" si="37"/>
        <v>2519496.6218992188</v>
      </c>
      <c r="Q197" s="4">
        <f t="shared" si="38"/>
        <v>2518596.6218992188</v>
      </c>
      <c r="R197" s="4">
        <f t="shared" si="35"/>
        <v>900</v>
      </c>
      <c r="S197" s="4">
        <f t="shared" si="41"/>
        <v>24945.511107913055</v>
      </c>
      <c r="T197" s="94">
        <f t="shared" si="39"/>
        <v>-24045.511107913055</v>
      </c>
      <c r="U197" s="94">
        <f t="shared" si="40"/>
        <v>2543782.5881182109</v>
      </c>
      <c r="V197" t="str">
        <f>""</f>
        <v/>
      </c>
      <c r="W197" s="88"/>
    </row>
    <row r="198" spans="2:23" x14ac:dyDescent="0.25">
      <c r="B198" s="95"/>
      <c r="N198"/>
      <c r="O198" s="4">
        <v>181</v>
      </c>
      <c r="P198" s="4">
        <f t="shared" si="37"/>
        <v>2543782.5881182109</v>
      </c>
      <c r="Q198" s="4">
        <f t="shared" si="38"/>
        <v>2542882.5881182109</v>
      </c>
      <c r="R198" s="4">
        <f t="shared" si="35"/>
        <v>900</v>
      </c>
      <c r="S198" s="4">
        <f t="shared" si="41"/>
        <v>25185.966218992187</v>
      </c>
      <c r="T198" s="94">
        <f t="shared" si="39"/>
        <v>-24285.966218992187</v>
      </c>
      <c r="U198" s="94">
        <f t="shared" si="40"/>
        <v>2568311.4139993931</v>
      </c>
      <c r="V198" t="str">
        <f>""</f>
        <v/>
      </c>
      <c r="W198" s="88"/>
    </row>
    <row r="199" spans="2:23" x14ac:dyDescent="0.25">
      <c r="B199" s="95"/>
      <c r="N199"/>
      <c r="O199" s="4">
        <v>182</v>
      </c>
      <c r="P199" s="4">
        <f t="shared" si="37"/>
        <v>2568311.4139993931</v>
      </c>
      <c r="Q199" s="4">
        <f t="shared" si="38"/>
        <v>2567411.4139993931</v>
      </c>
      <c r="R199" s="4">
        <f t="shared" si="35"/>
        <v>900</v>
      </c>
      <c r="S199" s="4">
        <f t="shared" si="41"/>
        <v>25428.825881182111</v>
      </c>
      <c r="T199" s="94">
        <f t="shared" si="39"/>
        <v>-24528.825881182111</v>
      </c>
      <c r="U199" s="94">
        <f t="shared" si="40"/>
        <v>2593085.5281393873</v>
      </c>
      <c r="V199" t="str">
        <f>""</f>
        <v/>
      </c>
      <c r="W199" s="88"/>
    </row>
    <row r="200" spans="2:23" x14ac:dyDescent="0.25">
      <c r="B200" s="95"/>
      <c r="N200"/>
      <c r="O200" s="4">
        <v>183</v>
      </c>
      <c r="P200" s="4">
        <f t="shared" si="37"/>
        <v>2593085.5281393873</v>
      </c>
      <c r="Q200" s="4">
        <f t="shared" si="38"/>
        <v>2592185.5281393873</v>
      </c>
      <c r="R200" s="4">
        <f t="shared" si="35"/>
        <v>900</v>
      </c>
      <c r="S200" s="4">
        <f t="shared" si="41"/>
        <v>25674.114139993933</v>
      </c>
      <c r="T200" s="94">
        <f t="shared" si="39"/>
        <v>-24774.114139993933</v>
      </c>
      <c r="U200" s="94">
        <f t="shared" si="40"/>
        <v>2618107.3834207812</v>
      </c>
      <c r="V200" t="str">
        <f>""</f>
        <v/>
      </c>
      <c r="W200" s="88"/>
    </row>
    <row r="201" spans="2:23" x14ac:dyDescent="0.25">
      <c r="B201" s="95"/>
      <c r="N201"/>
      <c r="O201" s="4">
        <v>184</v>
      </c>
      <c r="P201" s="4">
        <f t="shared" si="37"/>
        <v>2618107.3834207812</v>
      </c>
      <c r="Q201" s="4">
        <f t="shared" si="38"/>
        <v>2617207.3834207812</v>
      </c>
      <c r="R201" s="4">
        <f t="shared" si="35"/>
        <v>900</v>
      </c>
      <c r="S201" s="4">
        <f t="shared" si="41"/>
        <v>25921.855281393873</v>
      </c>
      <c r="T201" s="94">
        <f t="shared" si="39"/>
        <v>-25021.855281393873</v>
      </c>
      <c r="U201" s="94">
        <f t="shared" si="40"/>
        <v>2643379.4572549891</v>
      </c>
      <c r="V201" t="str">
        <f>""</f>
        <v/>
      </c>
      <c r="W201" s="88"/>
    </row>
    <row r="202" spans="2:23" x14ac:dyDescent="0.25">
      <c r="B202" s="95"/>
      <c r="N202"/>
      <c r="O202" s="4">
        <v>185</v>
      </c>
      <c r="P202" s="4">
        <f t="shared" si="37"/>
        <v>2643379.4572549891</v>
      </c>
      <c r="Q202" s="4">
        <f t="shared" si="38"/>
        <v>2642479.4572549891</v>
      </c>
      <c r="R202" s="4">
        <f t="shared" si="35"/>
        <v>900</v>
      </c>
      <c r="S202" s="4">
        <f t="shared" si="41"/>
        <v>26172.073834207811</v>
      </c>
      <c r="T202" s="94">
        <f t="shared" si="39"/>
        <v>-25272.073834207811</v>
      </c>
      <c r="U202" s="94">
        <f t="shared" si="40"/>
        <v>2668904.2518275389</v>
      </c>
      <c r="V202" t="str">
        <f>""</f>
        <v/>
      </c>
      <c r="W202" s="88"/>
    </row>
    <row r="203" spans="2:23" x14ac:dyDescent="0.25">
      <c r="B203" s="95"/>
      <c r="N203"/>
      <c r="O203" s="4">
        <v>186</v>
      </c>
      <c r="P203" s="4">
        <f t="shared" si="37"/>
        <v>2668904.2518275389</v>
      </c>
      <c r="Q203" s="4">
        <f t="shared" si="38"/>
        <v>2668004.2518275389</v>
      </c>
      <c r="R203" s="4">
        <f t="shared" si="35"/>
        <v>900</v>
      </c>
      <c r="S203" s="4">
        <f t="shared" si="41"/>
        <v>26424.79457254989</v>
      </c>
      <c r="T203" s="94">
        <f t="shared" si="39"/>
        <v>-25524.79457254989</v>
      </c>
      <c r="U203" s="94">
        <f t="shared" si="40"/>
        <v>2694684.2943458143</v>
      </c>
      <c r="V203" t="str">
        <f>""</f>
        <v/>
      </c>
      <c r="W203" s="88"/>
    </row>
    <row r="204" spans="2:23" x14ac:dyDescent="0.25">
      <c r="B204" s="95"/>
      <c r="N204"/>
      <c r="O204" s="4">
        <v>187</v>
      </c>
      <c r="P204" s="4">
        <f t="shared" si="37"/>
        <v>2694684.2943458143</v>
      </c>
      <c r="Q204" s="4">
        <f t="shared" si="38"/>
        <v>2693784.2943458143</v>
      </c>
      <c r="R204" s="4">
        <f t="shared" si="35"/>
        <v>900</v>
      </c>
      <c r="S204" s="4">
        <f t="shared" si="41"/>
        <v>26680.04251827539</v>
      </c>
      <c r="T204" s="94">
        <f t="shared" si="39"/>
        <v>-25780.04251827539</v>
      </c>
      <c r="U204" s="94">
        <f t="shared" si="40"/>
        <v>2720722.1372892726</v>
      </c>
      <c r="V204" t="str">
        <f>""</f>
        <v/>
      </c>
      <c r="W204" s="88"/>
    </row>
    <row r="205" spans="2:23" x14ac:dyDescent="0.25">
      <c r="B205" s="95"/>
      <c r="N205"/>
      <c r="O205" s="4">
        <v>188</v>
      </c>
      <c r="P205" s="4">
        <f t="shared" si="37"/>
        <v>2720722.1372892726</v>
      </c>
      <c r="Q205" s="4">
        <f t="shared" si="38"/>
        <v>2719822.1372892726</v>
      </c>
      <c r="R205" s="4">
        <f t="shared" si="35"/>
        <v>900</v>
      </c>
      <c r="S205" s="4">
        <f t="shared" si="41"/>
        <v>26937.842943458145</v>
      </c>
      <c r="T205" s="94">
        <f t="shared" si="39"/>
        <v>-26037.842943458145</v>
      </c>
      <c r="U205" s="94">
        <f t="shared" si="40"/>
        <v>2747020.3586621652</v>
      </c>
      <c r="V205" t="str">
        <f>""</f>
        <v/>
      </c>
      <c r="W205" s="88"/>
    </row>
    <row r="206" spans="2:23" x14ac:dyDescent="0.25">
      <c r="B206" s="95"/>
      <c r="N206"/>
      <c r="O206" s="4">
        <v>189</v>
      </c>
      <c r="P206" s="4">
        <f t="shared" si="37"/>
        <v>2747020.3586621652</v>
      </c>
      <c r="Q206" s="4">
        <f t="shared" si="38"/>
        <v>2746120.3586621652</v>
      </c>
      <c r="R206" s="4">
        <f t="shared" si="35"/>
        <v>900</v>
      </c>
      <c r="S206" s="4">
        <f t="shared" si="41"/>
        <v>27198.221372892727</v>
      </c>
      <c r="T206" s="94">
        <f t="shared" si="39"/>
        <v>-26298.221372892727</v>
      </c>
      <c r="U206" s="94">
        <f t="shared" si="40"/>
        <v>2773581.5622487869</v>
      </c>
      <c r="V206" t="str">
        <f>""</f>
        <v/>
      </c>
      <c r="W206" s="88"/>
    </row>
    <row r="207" spans="2:23" x14ac:dyDescent="0.25">
      <c r="B207" s="95"/>
      <c r="N207"/>
      <c r="O207" s="4">
        <v>190</v>
      </c>
      <c r="P207" s="4">
        <f t="shared" si="37"/>
        <v>2773581.5622487869</v>
      </c>
      <c r="Q207" s="4">
        <f t="shared" si="38"/>
        <v>2772681.5622487869</v>
      </c>
      <c r="R207" s="4">
        <f t="shared" si="35"/>
        <v>900</v>
      </c>
      <c r="S207" s="4">
        <f t="shared" si="41"/>
        <v>27461.203586621654</v>
      </c>
      <c r="T207" s="94">
        <f t="shared" si="39"/>
        <v>-26561.203586621654</v>
      </c>
      <c r="U207" s="94">
        <f t="shared" si="40"/>
        <v>2800408.3778712749</v>
      </c>
      <c r="V207" t="str">
        <f>""</f>
        <v/>
      </c>
      <c r="W207" s="88"/>
    </row>
    <row r="208" spans="2:23" x14ac:dyDescent="0.25">
      <c r="B208" s="95"/>
      <c r="N208"/>
      <c r="O208" s="4">
        <v>191</v>
      </c>
      <c r="P208" s="4">
        <f t="shared" si="37"/>
        <v>2800408.3778712749</v>
      </c>
      <c r="Q208" s="4">
        <f t="shared" si="38"/>
        <v>2799508.3778712749</v>
      </c>
      <c r="R208" s="4">
        <f t="shared" si="35"/>
        <v>900</v>
      </c>
      <c r="S208" s="4">
        <f t="shared" si="41"/>
        <v>27726.815622487869</v>
      </c>
      <c r="T208" s="94">
        <f t="shared" si="39"/>
        <v>-26826.815622487869</v>
      </c>
      <c r="U208" s="94">
        <f t="shared" si="40"/>
        <v>2827503.4616499878</v>
      </c>
      <c r="V208" t="str">
        <f>""</f>
        <v/>
      </c>
      <c r="W208" s="88"/>
    </row>
    <row r="209" spans="2:23" x14ac:dyDescent="0.25">
      <c r="B209" s="95"/>
      <c r="N209"/>
      <c r="O209" s="4">
        <v>192</v>
      </c>
      <c r="P209" s="4">
        <f t="shared" si="37"/>
        <v>2827503.4616499878</v>
      </c>
      <c r="Q209" s="4">
        <f t="shared" si="38"/>
        <v>2826603.4616499878</v>
      </c>
      <c r="R209" s="4">
        <f t="shared" si="35"/>
        <v>900</v>
      </c>
      <c r="S209" s="4">
        <f t="shared" si="41"/>
        <v>27995.083778712749</v>
      </c>
      <c r="T209" s="94">
        <f t="shared" si="39"/>
        <v>-27095.083778712749</v>
      </c>
      <c r="U209" s="94">
        <f t="shared" si="40"/>
        <v>2854869.4962664875</v>
      </c>
      <c r="V209" t="str">
        <f>""</f>
        <v/>
      </c>
      <c r="W209" s="88"/>
    </row>
    <row r="210" spans="2:23" x14ac:dyDescent="0.25">
      <c r="B210" s="95"/>
      <c r="N210"/>
      <c r="O210" s="4">
        <v>193</v>
      </c>
      <c r="P210" s="4">
        <f t="shared" si="37"/>
        <v>2854869.4962664875</v>
      </c>
      <c r="Q210" s="4">
        <f t="shared" si="38"/>
        <v>2853969.4962664875</v>
      </c>
      <c r="R210" s="4">
        <f t="shared" ref="R210:R230" si="45">IF(O210="","",$R$13)</f>
        <v>900</v>
      </c>
      <c r="S210" s="4">
        <f t="shared" si="41"/>
        <v>28266.034616499877</v>
      </c>
      <c r="T210" s="94">
        <f t="shared" si="39"/>
        <v>-27366.034616499877</v>
      </c>
      <c r="U210" s="94">
        <f t="shared" si="40"/>
        <v>2882509.1912291525</v>
      </c>
      <c r="V210" t="str">
        <f>""</f>
        <v/>
      </c>
      <c r="W210" s="88"/>
    </row>
    <row r="211" spans="2:23" x14ac:dyDescent="0.25">
      <c r="B211" s="95"/>
      <c r="N211"/>
      <c r="O211" s="4">
        <v>194</v>
      </c>
      <c r="P211" s="4">
        <f t="shared" ref="P211:P230" si="46">IF(O211="","",U210)</f>
        <v>2882509.1912291525</v>
      </c>
      <c r="Q211" s="4">
        <f t="shared" ref="Q211:Q230" si="47">IF(O211="","",P211-R211)</f>
        <v>2881609.1912291525</v>
      </c>
      <c r="R211" s="4">
        <f t="shared" si="45"/>
        <v>900</v>
      </c>
      <c r="S211" s="4">
        <f t="shared" si="41"/>
        <v>28539.694962664875</v>
      </c>
      <c r="T211" s="94">
        <f t="shared" ref="T211:T230" si="48">IF(O211="","",R211-S211)</f>
        <v>-27639.694962664875</v>
      </c>
      <c r="U211" s="94">
        <f t="shared" ref="U211:U230" si="49">IF(O211="","",Q211*(1+$Q$5))</f>
        <v>2910425.283141444</v>
      </c>
      <c r="V211" t="str">
        <f>""</f>
        <v/>
      </c>
      <c r="W211" s="88"/>
    </row>
    <row r="212" spans="2:23" x14ac:dyDescent="0.25">
      <c r="B212" s="95"/>
      <c r="N212"/>
      <c r="O212" s="4">
        <v>195</v>
      </c>
      <c r="P212" s="4">
        <f t="shared" si="46"/>
        <v>2910425.283141444</v>
      </c>
      <c r="Q212" s="4">
        <f t="shared" si="47"/>
        <v>2909525.283141444</v>
      </c>
      <c r="R212" s="4">
        <f t="shared" si="45"/>
        <v>900</v>
      </c>
      <c r="S212" s="4">
        <f t="shared" ref="S212:S230" si="50">IF(O212="","",Q211*$Q$5)</f>
        <v>28816.091912291526</v>
      </c>
      <c r="T212" s="94">
        <f t="shared" si="48"/>
        <v>-27916.091912291526</v>
      </c>
      <c r="U212" s="94">
        <f t="shared" si="49"/>
        <v>2938620.5359728583</v>
      </c>
      <c r="V212" t="str">
        <f>""</f>
        <v/>
      </c>
      <c r="W212" s="88"/>
    </row>
    <row r="213" spans="2:23" x14ac:dyDescent="0.25">
      <c r="B213" s="95"/>
      <c r="N213"/>
      <c r="O213" s="4">
        <v>196</v>
      </c>
      <c r="P213" s="4">
        <f t="shared" si="46"/>
        <v>2938620.5359728583</v>
      </c>
      <c r="Q213" s="4">
        <f t="shared" si="47"/>
        <v>2937720.5359728583</v>
      </c>
      <c r="R213" s="4">
        <f t="shared" si="45"/>
        <v>900</v>
      </c>
      <c r="S213" s="4">
        <f t="shared" si="50"/>
        <v>29095.25283141444</v>
      </c>
      <c r="T213" s="94">
        <f t="shared" si="48"/>
        <v>-28195.25283141444</v>
      </c>
      <c r="U213" s="94">
        <f t="shared" si="49"/>
        <v>2967097.7413325869</v>
      </c>
      <c r="V213" t="str">
        <f>""</f>
        <v/>
      </c>
      <c r="W213" s="88"/>
    </row>
    <row r="214" spans="2:23" x14ac:dyDescent="0.25">
      <c r="B214" s="95"/>
      <c r="N214"/>
      <c r="O214" s="4">
        <v>197</v>
      </c>
      <c r="P214" s="4">
        <f t="shared" si="46"/>
        <v>2967097.7413325869</v>
      </c>
      <c r="Q214" s="4">
        <f t="shared" si="47"/>
        <v>2966197.7413325869</v>
      </c>
      <c r="R214" s="4">
        <f t="shared" si="45"/>
        <v>900</v>
      </c>
      <c r="S214" s="4">
        <f t="shared" si="50"/>
        <v>29377.205359728585</v>
      </c>
      <c r="T214" s="94">
        <f t="shared" si="48"/>
        <v>-28477.205359728585</v>
      </c>
      <c r="U214" s="94">
        <f t="shared" si="49"/>
        <v>2995859.7187459129</v>
      </c>
      <c r="V214" t="str">
        <f>""</f>
        <v/>
      </c>
      <c r="W214" s="88"/>
    </row>
    <row r="215" spans="2:23" x14ac:dyDescent="0.25">
      <c r="B215" s="95"/>
      <c r="N215"/>
      <c r="O215" s="4">
        <v>198</v>
      </c>
      <c r="P215" s="4">
        <f t="shared" si="46"/>
        <v>2995859.7187459129</v>
      </c>
      <c r="Q215" s="4">
        <f t="shared" si="47"/>
        <v>2994959.7187459129</v>
      </c>
      <c r="R215" s="4">
        <f t="shared" si="45"/>
        <v>900</v>
      </c>
      <c r="S215" s="4">
        <f t="shared" si="50"/>
        <v>29661.977413325869</v>
      </c>
      <c r="T215" s="94">
        <f t="shared" si="48"/>
        <v>-28761.977413325869</v>
      </c>
      <c r="U215" s="94">
        <f t="shared" si="49"/>
        <v>3024909.3159333719</v>
      </c>
      <c r="V215" t="str">
        <f>""</f>
        <v/>
      </c>
      <c r="W215" s="88"/>
    </row>
    <row r="216" spans="2:23" x14ac:dyDescent="0.25">
      <c r="B216" s="95"/>
      <c r="N216"/>
      <c r="O216" s="4">
        <v>199</v>
      </c>
      <c r="P216" s="4">
        <f t="shared" si="46"/>
        <v>3024909.3159333719</v>
      </c>
      <c r="Q216" s="4">
        <f t="shared" si="47"/>
        <v>3024009.3159333719</v>
      </c>
      <c r="R216" s="4">
        <f t="shared" si="45"/>
        <v>900</v>
      </c>
      <c r="S216" s="4">
        <f t="shared" si="50"/>
        <v>29949.597187459131</v>
      </c>
      <c r="T216" s="94">
        <f t="shared" si="48"/>
        <v>-29049.597187459131</v>
      </c>
      <c r="U216" s="94">
        <f t="shared" si="49"/>
        <v>3054249.4090927057</v>
      </c>
      <c r="V216" t="str">
        <f>""</f>
        <v/>
      </c>
      <c r="W216" s="88"/>
    </row>
    <row r="217" spans="2:23" x14ac:dyDescent="0.25">
      <c r="B217" s="95"/>
      <c r="N217"/>
      <c r="O217" s="4">
        <v>200</v>
      </c>
      <c r="P217" s="4">
        <f t="shared" si="46"/>
        <v>3054249.4090927057</v>
      </c>
      <c r="Q217" s="4">
        <f t="shared" si="47"/>
        <v>3053349.4090927057</v>
      </c>
      <c r="R217" s="4">
        <f t="shared" si="45"/>
        <v>900</v>
      </c>
      <c r="S217" s="4">
        <f t="shared" si="50"/>
        <v>30240.093159333719</v>
      </c>
      <c r="T217" s="94">
        <f t="shared" si="48"/>
        <v>-29340.093159333719</v>
      </c>
      <c r="U217" s="94">
        <f t="shared" si="49"/>
        <v>3083882.903183633</v>
      </c>
      <c r="V217" t="str">
        <f>""</f>
        <v/>
      </c>
      <c r="W217" s="88"/>
    </row>
    <row r="218" spans="2:23" x14ac:dyDescent="0.25">
      <c r="B218" s="95"/>
      <c r="N218"/>
      <c r="O218" s="4">
        <v>201</v>
      </c>
      <c r="P218" s="4">
        <f t="shared" si="46"/>
        <v>3083882.903183633</v>
      </c>
      <c r="Q218" s="4">
        <f t="shared" si="47"/>
        <v>3082982.903183633</v>
      </c>
      <c r="R218" s="4">
        <f t="shared" si="45"/>
        <v>900</v>
      </c>
      <c r="S218" s="4">
        <f t="shared" si="50"/>
        <v>30533.494090927059</v>
      </c>
      <c r="T218" s="94">
        <f t="shared" si="48"/>
        <v>-29633.494090927059</v>
      </c>
      <c r="U218" s="94">
        <f t="shared" si="49"/>
        <v>3113812.7322154692</v>
      </c>
      <c r="V218" t="str">
        <f>""</f>
        <v/>
      </c>
      <c r="W218" s="88"/>
    </row>
    <row r="219" spans="2:23" x14ac:dyDescent="0.25">
      <c r="B219" s="95"/>
      <c r="N219"/>
      <c r="O219" s="4">
        <v>202</v>
      </c>
      <c r="P219" s="4">
        <f t="shared" si="46"/>
        <v>3113812.7322154692</v>
      </c>
      <c r="Q219" s="4">
        <f t="shared" si="47"/>
        <v>3112912.7322154692</v>
      </c>
      <c r="R219" s="4">
        <f t="shared" si="45"/>
        <v>900</v>
      </c>
      <c r="S219" s="4">
        <f t="shared" si="50"/>
        <v>30829.829031836329</v>
      </c>
      <c r="T219" s="94">
        <f t="shared" si="48"/>
        <v>-29929.829031836329</v>
      </c>
      <c r="U219" s="94">
        <f t="shared" si="49"/>
        <v>3144041.8595376238</v>
      </c>
      <c r="V219" t="str">
        <f>""</f>
        <v/>
      </c>
      <c r="W219" s="88"/>
    </row>
    <row r="220" spans="2:23" x14ac:dyDescent="0.25">
      <c r="B220" s="95"/>
      <c r="N220"/>
      <c r="O220" s="4">
        <v>203</v>
      </c>
      <c r="P220" s="4">
        <f t="shared" si="46"/>
        <v>3144041.8595376238</v>
      </c>
      <c r="Q220" s="4">
        <f t="shared" si="47"/>
        <v>3143141.8595376238</v>
      </c>
      <c r="R220" s="4">
        <f t="shared" si="45"/>
        <v>900</v>
      </c>
      <c r="S220" s="4">
        <f t="shared" si="50"/>
        <v>31129.127322154694</v>
      </c>
      <c r="T220" s="94">
        <f t="shared" si="48"/>
        <v>-30229.127322154694</v>
      </c>
      <c r="U220" s="94">
        <f t="shared" si="49"/>
        <v>3174573.2781330002</v>
      </c>
      <c r="V220" t="str">
        <f>""</f>
        <v/>
      </c>
      <c r="W220" s="88"/>
    </row>
    <row r="221" spans="2:23" x14ac:dyDescent="0.25">
      <c r="B221" s="95"/>
      <c r="N221"/>
      <c r="O221" s="4">
        <v>204</v>
      </c>
      <c r="P221" s="4">
        <f t="shared" si="46"/>
        <v>3174573.2781330002</v>
      </c>
      <c r="Q221" s="4">
        <f t="shared" si="47"/>
        <v>3173673.2781330002</v>
      </c>
      <c r="R221" s="4">
        <f t="shared" si="45"/>
        <v>900</v>
      </c>
      <c r="S221" s="4">
        <f t="shared" si="50"/>
        <v>31431.418595376239</v>
      </c>
      <c r="T221" s="94">
        <f t="shared" si="48"/>
        <v>-30531.418595376239</v>
      </c>
      <c r="U221" s="94">
        <f t="shared" si="49"/>
        <v>3205410.0109143304</v>
      </c>
      <c r="V221" t="str">
        <f>""</f>
        <v/>
      </c>
      <c r="W221" s="88"/>
    </row>
    <row r="222" spans="2:23" x14ac:dyDescent="0.25">
      <c r="B222" s="95"/>
      <c r="N222"/>
      <c r="O222" s="4">
        <v>205</v>
      </c>
      <c r="P222" s="4">
        <f t="shared" si="46"/>
        <v>3205410.0109143304</v>
      </c>
      <c r="Q222" s="4">
        <f t="shared" si="47"/>
        <v>3204510.0109143304</v>
      </c>
      <c r="R222" s="4">
        <f t="shared" si="45"/>
        <v>900</v>
      </c>
      <c r="S222" s="4">
        <f t="shared" si="50"/>
        <v>31736.732781330003</v>
      </c>
      <c r="T222" s="94">
        <f t="shared" si="48"/>
        <v>-30836.732781330003</v>
      </c>
      <c r="U222" s="94">
        <f t="shared" si="49"/>
        <v>3236555.1110234736</v>
      </c>
      <c r="V222" t="str">
        <f>""</f>
        <v/>
      </c>
      <c r="W222" s="88"/>
    </row>
    <row r="223" spans="2:23" x14ac:dyDescent="0.25">
      <c r="B223" s="95"/>
      <c r="N223"/>
      <c r="O223" s="4">
        <v>206</v>
      </c>
      <c r="P223" s="4">
        <f t="shared" si="46"/>
        <v>3236555.1110234736</v>
      </c>
      <c r="Q223" s="4">
        <f t="shared" si="47"/>
        <v>3235655.1110234736</v>
      </c>
      <c r="R223" s="4">
        <f t="shared" si="45"/>
        <v>900</v>
      </c>
      <c r="S223" s="4">
        <f t="shared" si="50"/>
        <v>32045.100109143303</v>
      </c>
      <c r="T223" s="94">
        <f t="shared" si="48"/>
        <v>-31145.100109143303</v>
      </c>
      <c r="U223" s="94">
        <f t="shared" si="49"/>
        <v>3268011.6621337081</v>
      </c>
      <c r="V223" t="str">
        <f>""</f>
        <v/>
      </c>
      <c r="W223" s="88"/>
    </row>
    <row r="224" spans="2:23" x14ac:dyDescent="0.25">
      <c r="B224" s="95"/>
      <c r="N224"/>
      <c r="O224" s="4">
        <v>207</v>
      </c>
      <c r="P224" s="4">
        <f t="shared" si="46"/>
        <v>3268011.6621337081</v>
      </c>
      <c r="Q224" s="4">
        <f t="shared" si="47"/>
        <v>3267111.6621337081</v>
      </c>
      <c r="R224" s="4">
        <f t="shared" si="45"/>
        <v>900</v>
      </c>
      <c r="S224" s="4">
        <f t="shared" si="50"/>
        <v>32356.551110234737</v>
      </c>
      <c r="T224" s="94">
        <f t="shared" si="48"/>
        <v>-31456.551110234737</v>
      </c>
      <c r="U224" s="94">
        <f t="shared" si="49"/>
        <v>3299782.778755045</v>
      </c>
      <c r="V224" t="str">
        <f>""</f>
        <v/>
      </c>
      <c r="W224" s="88"/>
    </row>
    <row r="225" spans="2:23" x14ac:dyDescent="0.25">
      <c r="B225" s="95"/>
      <c r="N225"/>
      <c r="O225" s="4">
        <v>208</v>
      </c>
      <c r="P225" s="4">
        <f t="shared" si="46"/>
        <v>3299782.778755045</v>
      </c>
      <c r="Q225" s="4">
        <f t="shared" si="47"/>
        <v>3298882.778755045</v>
      </c>
      <c r="R225" s="4">
        <f t="shared" si="45"/>
        <v>900</v>
      </c>
      <c r="S225" s="4">
        <f t="shared" si="50"/>
        <v>32671.116621337082</v>
      </c>
      <c r="T225" s="94">
        <f t="shared" si="48"/>
        <v>-31771.116621337082</v>
      </c>
      <c r="U225" s="94">
        <f t="shared" si="49"/>
        <v>3331871.6065425957</v>
      </c>
      <c r="V225" t="str">
        <f>""</f>
        <v/>
      </c>
      <c r="W225" s="88"/>
    </row>
    <row r="226" spans="2:23" x14ac:dyDescent="0.25">
      <c r="B226" s="95"/>
      <c r="N226"/>
      <c r="O226" s="4">
        <v>209</v>
      </c>
      <c r="P226" s="4">
        <f t="shared" si="46"/>
        <v>3331871.6065425957</v>
      </c>
      <c r="Q226" s="4">
        <f t="shared" si="47"/>
        <v>3330971.6065425957</v>
      </c>
      <c r="R226" s="4">
        <f t="shared" si="45"/>
        <v>900</v>
      </c>
      <c r="S226" s="4">
        <f t="shared" si="50"/>
        <v>32988.82778755045</v>
      </c>
      <c r="T226" s="94">
        <f t="shared" si="48"/>
        <v>-32088.82778755045</v>
      </c>
      <c r="U226" s="94">
        <f t="shared" si="49"/>
        <v>3364281.3226080216</v>
      </c>
      <c r="V226" t="str">
        <f>""</f>
        <v/>
      </c>
      <c r="W226" s="88"/>
    </row>
    <row r="227" spans="2:23" x14ac:dyDescent="0.25">
      <c r="B227" s="95"/>
      <c r="N227"/>
      <c r="O227" s="4">
        <v>210</v>
      </c>
      <c r="P227" s="4">
        <f t="shared" si="46"/>
        <v>3364281.3226080216</v>
      </c>
      <c r="Q227" s="4">
        <f t="shared" si="47"/>
        <v>3363381.3226080216</v>
      </c>
      <c r="R227" s="4">
        <f t="shared" si="45"/>
        <v>900</v>
      </c>
      <c r="S227" s="4">
        <f t="shared" si="50"/>
        <v>33309.716065425957</v>
      </c>
      <c r="T227" s="94">
        <f t="shared" si="48"/>
        <v>-32409.716065425957</v>
      </c>
      <c r="U227" s="94">
        <f t="shared" si="49"/>
        <v>3397015.1358341016</v>
      </c>
      <c r="V227" t="str">
        <f>""</f>
        <v/>
      </c>
      <c r="W227" s="88"/>
    </row>
    <row r="228" spans="2:23" x14ac:dyDescent="0.25">
      <c r="B228" s="95"/>
      <c r="N228"/>
      <c r="O228" s="4">
        <v>211</v>
      </c>
      <c r="P228" s="4">
        <f t="shared" si="46"/>
        <v>3397015.1358341016</v>
      </c>
      <c r="Q228" s="4">
        <f t="shared" si="47"/>
        <v>3396115.1358341016</v>
      </c>
      <c r="R228" s="4">
        <f t="shared" si="45"/>
        <v>900</v>
      </c>
      <c r="S228" s="4">
        <f t="shared" si="50"/>
        <v>33633.813226080216</v>
      </c>
      <c r="T228" s="94">
        <f t="shared" si="48"/>
        <v>-32733.813226080216</v>
      </c>
      <c r="U228" s="94">
        <f t="shared" si="49"/>
        <v>3430076.2871924425</v>
      </c>
      <c r="V228" t="str">
        <f>""</f>
        <v/>
      </c>
      <c r="W228" s="88"/>
    </row>
    <row r="229" spans="2:23" x14ac:dyDescent="0.25">
      <c r="B229" s="95"/>
      <c r="N229"/>
      <c r="O229" s="4">
        <v>212</v>
      </c>
      <c r="P229" s="4">
        <f t="shared" si="46"/>
        <v>3430076.2871924425</v>
      </c>
      <c r="Q229" s="4">
        <f t="shared" si="47"/>
        <v>3429176.2871924425</v>
      </c>
      <c r="R229" s="4">
        <f t="shared" si="45"/>
        <v>900</v>
      </c>
      <c r="S229" s="4">
        <f t="shared" si="50"/>
        <v>33961.15135834102</v>
      </c>
      <c r="T229" s="94">
        <f t="shared" si="48"/>
        <v>-33061.15135834102</v>
      </c>
      <c r="U229" s="94">
        <f t="shared" si="49"/>
        <v>3463468.0500643668</v>
      </c>
      <c r="V229" t="str">
        <f>""</f>
        <v/>
      </c>
      <c r="W229" s="88"/>
    </row>
    <row r="230" spans="2:23" x14ac:dyDescent="0.25">
      <c r="B230" s="95"/>
      <c r="N230"/>
      <c r="O230" s="4">
        <v>213</v>
      </c>
      <c r="P230" s="4">
        <f t="shared" si="46"/>
        <v>3463468.0500643668</v>
      </c>
      <c r="Q230" s="4">
        <f t="shared" si="47"/>
        <v>3462568.0500643668</v>
      </c>
      <c r="R230" s="4">
        <f t="shared" si="45"/>
        <v>900</v>
      </c>
      <c r="S230" s="4">
        <f t="shared" si="50"/>
        <v>34291.762871924424</v>
      </c>
      <c r="T230" s="94">
        <f t="shared" si="48"/>
        <v>-33391.762871924424</v>
      </c>
      <c r="U230" s="94">
        <f t="shared" si="49"/>
        <v>3497193.7305650106</v>
      </c>
      <c r="V230" t="str">
        <f>""</f>
        <v/>
      </c>
      <c r="W230" s="88"/>
    </row>
    <row r="231" spans="2:23" x14ac:dyDescent="0.25">
      <c r="B231" s="95"/>
      <c r="N231"/>
      <c r="O231" s="4">
        <v>214</v>
      </c>
      <c r="P231" s="4"/>
      <c r="Q231" s="4"/>
      <c r="R231" s="4"/>
      <c r="S231" s="4"/>
      <c r="T231" s="94"/>
      <c r="U231" s="4"/>
    </row>
    <row r="232" spans="2:23" x14ac:dyDescent="0.25">
      <c r="B232" s="95"/>
      <c r="N232"/>
      <c r="O232" s="4">
        <v>215</v>
      </c>
      <c r="P232" s="4"/>
      <c r="Q232" s="4"/>
      <c r="R232" s="4"/>
      <c r="S232" s="4"/>
      <c r="T232" s="94"/>
      <c r="U232" s="4"/>
    </row>
    <row r="233" spans="2:23" x14ac:dyDescent="0.25">
      <c r="B233" s="95"/>
      <c r="N233"/>
      <c r="O233" s="4">
        <v>216</v>
      </c>
      <c r="P233" s="4"/>
      <c r="Q233" s="4"/>
      <c r="R233" s="4"/>
      <c r="S233" s="4"/>
      <c r="T233" s="94"/>
      <c r="U233" s="4"/>
    </row>
    <row r="234" spans="2:23" x14ac:dyDescent="0.25">
      <c r="B234" s="95"/>
      <c r="N234"/>
      <c r="O234" s="4">
        <v>217</v>
      </c>
      <c r="P234" s="4"/>
      <c r="Q234" s="4"/>
      <c r="R234" s="4"/>
      <c r="S234" s="4"/>
      <c r="T234" s="94"/>
      <c r="U234" s="4"/>
    </row>
    <row r="235" spans="2:23" x14ac:dyDescent="0.25">
      <c r="B235" s="95"/>
      <c r="N235"/>
      <c r="O235" s="4">
        <v>218</v>
      </c>
      <c r="P235" s="4"/>
      <c r="Q235" s="4"/>
      <c r="R235" s="4"/>
      <c r="S235" s="4"/>
      <c r="T235" s="94"/>
      <c r="U235" s="4"/>
    </row>
    <row r="236" spans="2:23" x14ac:dyDescent="0.25">
      <c r="B236" s="95"/>
      <c r="N236"/>
      <c r="O236" s="4">
        <v>219</v>
      </c>
      <c r="P236" s="4"/>
      <c r="Q236" s="4"/>
      <c r="R236" s="4"/>
      <c r="S236" s="4"/>
      <c r="T236" s="94"/>
      <c r="U236" s="4"/>
    </row>
    <row r="237" spans="2:23" x14ac:dyDescent="0.25">
      <c r="B237" s="95"/>
      <c r="N237"/>
      <c r="O237" s="4">
        <v>220</v>
      </c>
      <c r="P237" s="4"/>
      <c r="Q237" s="4"/>
      <c r="R237" s="4"/>
      <c r="S237" s="4"/>
      <c r="T237" s="94"/>
      <c r="U237" s="4"/>
    </row>
    <row r="238" spans="2:23" x14ac:dyDescent="0.25">
      <c r="B238" s="95"/>
      <c r="N238"/>
      <c r="O238" s="4">
        <v>221</v>
      </c>
      <c r="P238" s="4"/>
      <c r="Q238" s="4"/>
      <c r="R238" s="4"/>
      <c r="S238" s="4"/>
      <c r="T238" s="94"/>
      <c r="U238" s="4"/>
    </row>
    <row r="239" spans="2:23" x14ac:dyDescent="0.25">
      <c r="B239" s="95"/>
      <c r="N239"/>
      <c r="O239" s="4">
        <v>222</v>
      </c>
      <c r="P239" s="4"/>
      <c r="Q239" s="4"/>
      <c r="R239" s="4"/>
      <c r="S239" s="4"/>
      <c r="T239" s="94"/>
      <c r="U239" s="4"/>
    </row>
    <row r="240" spans="2:23" x14ac:dyDescent="0.25">
      <c r="B240" s="95"/>
      <c r="N240"/>
      <c r="O240" s="4">
        <v>223</v>
      </c>
      <c r="P240" s="4"/>
      <c r="Q240" s="4"/>
      <c r="R240" s="4"/>
      <c r="S240" s="4"/>
      <c r="T240" s="94"/>
      <c r="U240" s="4"/>
    </row>
    <row r="241" spans="2:21" x14ac:dyDescent="0.25">
      <c r="B241" s="95"/>
      <c r="N241"/>
      <c r="O241" s="4">
        <v>224</v>
      </c>
      <c r="P241" s="4"/>
      <c r="Q241" s="4"/>
      <c r="R241" s="4"/>
      <c r="S241" s="4"/>
      <c r="T241" s="94"/>
      <c r="U241" s="4"/>
    </row>
    <row r="242" spans="2:21" x14ac:dyDescent="0.25">
      <c r="B242" s="95"/>
      <c r="N242"/>
      <c r="O242" s="4">
        <v>225</v>
      </c>
      <c r="P242" s="4"/>
      <c r="Q242" s="4"/>
      <c r="R242" s="4"/>
      <c r="S242" s="4"/>
      <c r="T242" s="94"/>
      <c r="U242" s="4"/>
    </row>
    <row r="243" spans="2:21" x14ac:dyDescent="0.25">
      <c r="B243" s="95"/>
      <c r="N243"/>
      <c r="O243" s="4">
        <v>226</v>
      </c>
      <c r="P243" s="4"/>
      <c r="Q243" s="4"/>
      <c r="R243" s="4"/>
      <c r="S243" s="4"/>
      <c r="T243" s="94"/>
      <c r="U243" s="4"/>
    </row>
    <row r="244" spans="2:21" x14ac:dyDescent="0.25">
      <c r="B244" s="95"/>
      <c r="N244"/>
      <c r="O244" s="4">
        <v>227</v>
      </c>
      <c r="P244" s="4"/>
      <c r="Q244" s="4"/>
      <c r="R244" s="4"/>
      <c r="S244" s="4"/>
      <c r="T244" s="94"/>
      <c r="U244" s="4"/>
    </row>
    <row r="245" spans="2:21" x14ac:dyDescent="0.25">
      <c r="B245" s="95"/>
      <c r="N245"/>
      <c r="O245" s="4">
        <v>228</v>
      </c>
      <c r="P245" s="4"/>
      <c r="Q245" s="4"/>
      <c r="R245" s="4"/>
      <c r="S245" s="4"/>
      <c r="T245" s="94"/>
      <c r="U245" s="4"/>
    </row>
    <row r="246" spans="2:21" x14ac:dyDescent="0.25">
      <c r="B246" s="95"/>
      <c r="N246"/>
      <c r="O246" s="4">
        <v>229</v>
      </c>
      <c r="P246" s="4"/>
      <c r="Q246" s="4"/>
      <c r="R246" s="4"/>
      <c r="S246" s="4"/>
      <c r="T246" s="94"/>
      <c r="U246" s="4"/>
    </row>
    <row r="247" spans="2:21" x14ac:dyDescent="0.25">
      <c r="B247" s="95"/>
      <c r="N247"/>
      <c r="O247" s="4">
        <v>230</v>
      </c>
      <c r="P247" s="4"/>
      <c r="Q247" s="4"/>
      <c r="R247" s="4"/>
      <c r="S247" s="4"/>
      <c r="T247" s="94"/>
      <c r="U247" s="4"/>
    </row>
    <row r="248" spans="2:21" x14ac:dyDescent="0.25">
      <c r="B248" s="95"/>
      <c r="N248"/>
      <c r="O248" s="4">
        <v>231</v>
      </c>
      <c r="P248" s="4"/>
      <c r="Q248" s="4"/>
      <c r="R248" s="4"/>
      <c r="S248" s="4"/>
      <c r="T248" s="94"/>
      <c r="U248" s="4"/>
    </row>
    <row r="249" spans="2:21" x14ac:dyDescent="0.25">
      <c r="B249" s="95"/>
      <c r="N249"/>
      <c r="O249" s="4">
        <v>232</v>
      </c>
      <c r="P249" s="4"/>
      <c r="Q249" s="4"/>
      <c r="R249" s="4"/>
      <c r="S249" s="4"/>
      <c r="T249" s="94"/>
      <c r="U249" s="4"/>
    </row>
    <row r="250" spans="2:21" x14ac:dyDescent="0.25">
      <c r="B250" s="95"/>
      <c r="N250"/>
      <c r="O250" s="4">
        <v>233</v>
      </c>
      <c r="P250" s="4"/>
      <c r="Q250" s="4"/>
      <c r="R250" s="4"/>
      <c r="S250" s="4"/>
      <c r="T250" s="94"/>
      <c r="U250" s="4"/>
    </row>
    <row r="251" spans="2:21" x14ac:dyDescent="0.25">
      <c r="B251" s="95"/>
      <c r="N251"/>
      <c r="O251" s="4">
        <v>234</v>
      </c>
      <c r="P251" s="4"/>
      <c r="Q251" s="4"/>
      <c r="R251" s="4"/>
      <c r="S251" s="4"/>
      <c r="T251" s="94"/>
      <c r="U251" s="4"/>
    </row>
    <row r="252" spans="2:21" x14ac:dyDescent="0.25">
      <c r="B252" s="95"/>
      <c r="N252"/>
      <c r="O252" s="4">
        <v>235</v>
      </c>
      <c r="P252" s="4"/>
      <c r="Q252" s="4"/>
      <c r="R252" s="4"/>
      <c r="S252" s="4"/>
      <c r="T252" s="94"/>
      <c r="U252" s="4"/>
    </row>
    <row r="253" spans="2:21" x14ac:dyDescent="0.25">
      <c r="B253" s="95"/>
      <c r="N253"/>
      <c r="O253" s="4">
        <v>236</v>
      </c>
      <c r="P253" s="4"/>
      <c r="Q253" s="4"/>
      <c r="R253" s="4"/>
      <c r="S253" s="4"/>
      <c r="T253" s="94"/>
      <c r="U253" s="4"/>
    </row>
    <row r="254" spans="2:21" x14ac:dyDescent="0.25">
      <c r="B254" s="95"/>
      <c r="N254"/>
      <c r="O254" s="4">
        <v>237</v>
      </c>
      <c r="P254" s="4"/>
      <c r="Q254" s="4"/>
      <c r="R254" s="4"/>
      <c r="S254" s="4"/>
      <c r="T254" s="94"/>
      <c r="U254" s="4"/>
    </row>
    <row r="255" spans="2:21" x14ac:dyDescent="0.25">
      <c r="B255" s="95"/>
      <c r="N255"/>
      <c r="O255" s="4">
        <v>238</v>
      </c>
      <c r="P255" s="4"/>
      <c r="Q255" s="4"/>
      <c r="R255" s="4"/>
      <c r="S255" s="4"/>
      <c r="T255" s="94"/>
      <c r="U255" s="4"/>
    </row>
    <row r="256" spans="2:21" x14ac:dyDescent="0.25">
      <c r="B256" s="95"/>
      <c r="N256"/>
      <c r="O256" s="4">
        <v>239</v>
      </c>
      <c r="P256" s="4"/>
      <c r="Q256" s="4"/>
      <c r="R256" s="4"/>
      <c r="S256" s="4"/>
      <c r="T256" s="94"/>
      <c r="U256" s="4"/>
    </row>
    <row r="257" spans="2:21" x14ac:dyDescent="0.25">
      <c r="B257" s="95"/>
      <c r="N257"/>
      <c r="O257" s="4">
        <v>240</v>
      </c>
      <c r="P257" s="4"/>
      <c r="Q257" s="4"/>
      <c r="R257" s="4"/>
      <c r="S257" s="4"/>
      <c r="T257" s="94"/>
      <c r="U257" s="4"/>
    </row>
    <row r="258" spans="2:21" x14ac:dyDescent="0.25">
      <c r="B258" s="95"/>
      <c r="N258"/>
      <c r="O258" s="4">
        <v>241</v>
      </c>
      <c r="P258" s="4"/>
      <c r="Q258" s="4"/>
      <c r="R258" s="4"/>
      <c r="S258" s="4"/>
      <c r="T258" s="94"/>
      <c r="U258" s="4"/>
    </row>
    <row r="259" spans="2:21" x14ac:dyDescent="0.25">
      <c r="B259" s="95"/>
      <c r="N259"/>
      <c r="O259" s="4"/>
      <c r="P259" s="4"/>
      <c r="Q259" s="4"/>
      <c r="R259" s="4"/>
      <c r="S259" s="4"/>
      <c r="T259" s="94"/>
      <c r="U259" s="4"/>
    </row>
    <row r="260" spans="2:21" x14ac:dyDescent="0.25">
      <c r="B260" s="95"/>
      <c r="N260"/>
      <c r="O260" s="4"/>
      <c r="P260" s="4"/>
      <c r="Q260" s="4"/>
      <c r="R260" s="4"/>
      <c r="S260" s="4"/>
      <c r="T260" s="94"/>
      <c r="U260" s="4"/>
    </row>
    <row r="261" spans="2:21" x14ac:dyDescent="0.25">
      <c r="B261" s="95"/>
      <c r="N261"/>
      <c r="O261" s="4"/>
      <c r="P261" s="4"/>
      <c r="Q261" s="4"/>
      <c r="R261" s="4"/>
      <c r="S261" s="4"/>
      <c r="T261" s="94"/>
      <c r="U261" s="4"/>
    </row>
    <row r="262" spans="2:21" x14ac:dyDescent="0.25">
      <c r="B262" s="95"/>
      <c r="N262"/>
      <c r="O262" s="4"/>
      <c r="P262" s="4"/>
      <c r="Q262" s="4"/>
      <c r="R262" s="4"/>
      <c r="S262" s="4"/>
      <c r="T262" s="94"/>
      <c r="U262" s="4"/>
    </row>
    <row r="263" spans="2:21" x14ac:dyDescent="0.25">
      <c r="B263" s="95"/>
      <c r="N263"/>
      <c r="O263" s="4"/>
      <c r="P263" s="4"/>
      <c r="Q263" s="4"/>
      <c r="R263" s="4"/>
      <c r="S263" s="4"/>
      <c r="T263" s="94"/>
      <c r="U263" s="4"/>
    </row>
    <row r="264" spans="2:21" x14ac:dyDescent="0.25">
      <c r="B264" s="95"/>
      <c r="N264"/>
      <c r="O264" s="4"/>
      <c r="P264" s="4"/>
      <c r="Q264" s="4"/>
      <c r="R264" s="4"/>
      <c r="S264" s="4"/>
      <c r="T264" s="94"/>
      <c r="U264" s="4"/>
    </row>
    <row r="265" spans="2:21" x14ac:dyDescent="0.25">
      <c r="B265" s="95"/>
      <c r="N265"/>
      <c r="O265" s="4"/>
      <c r="P265" s="4"/>
      <c r="Q265" s="4"/>
      <c r="R265" s="4"/>
      <c r="S265" s="4"/>
      <c r="T265" s="94"/>
      <c r="U265" s="4"/>
    </row>
    <row r="266" spans="2:21" x14ac:dyDescent="0.25">
      <c r="B266" s="95"/>
      <c r="N266"/>
      <c r="O266" s="4"/>
      <c r="P266" s="4"/>
      <c r="Q266" s="4"/>
      <c r="R266" s="4"/>
      <c r="S266" s="4"/>
      <c r="T266" s="94"/>
      <c r="U266" s="4"/>
    </row>
    <row r="267" spans="2:21" x14ac:dyDescent="0.25">
      <c r="B267" s="95"/>
      <c r="N267"/>
      <c r="O267" s="4"/>
      <c r="P267" s="4"/>
      <c r="Q267" s="4"/>
      <c r="R267" s="4"/>
      <c r="S267" s="4"/>
      <c r="T267" s="94"/>
      <c r="U267" s="4"/>
    </row>
    <row r="268" spans="2:21" x14ac:dyDescent="0.25">
      <c r="B268" s="95"/>
      <c r="N268"/>
      <c r="O268" s="4"/>
      <c r="P268" s="4"/>
      <c r="Q268" s="4"/>
      <c r="R268" s="4"/>
      <c r="S268" s="4"/>
      <c r="T268" s="94"/>
      <c r="U268" s="4"/>
    </row>
    <row r="269" spans="2:21" x14ac:dyDescent="0.25">
      <c r="B269" s="95"/>
      <c r="N269"/>
      <c r="O269" s="4"/>
      <c r="P269" s="4"/>
      <c r="Q269" s="4"/>
      <c r="R269" s="4"/>
      <c r="S269" s="4"/>
      <c r="T269" s="94"/>
      <c r="U269" s="4"/>
    </row>
    <row r="270" spans="2:21" x14ac:dyDescent="0.25">
      <c r="B270" s="95"/>
      <c r="N270"/>
      <c r="O270" s="4"/>
      <c r="P270" s="4"/>
      <c r="Q270" s="4"/>
      <c r="R270" s="4"/>
      <c r="S270" s="4"/>
      <c r="T270" s="94"/>
      <c r="U270" s="4"/>
    </row>
    <row r="271" spans="2:21" x14ac:dyDescent="0.25">
      <c r="B271" s="95"/>
      <c r="N271"/>
      <c r="O271" s="4"/>
      <c r="P271" s="4"/>
      <c r="Q271" s="4"/>
      <c r="R271" s="4"/>
      <c r="S271" s="4"/>
      <c r="T271" s="94"/>
      <c r="U271" s="4"/>
    </row>
    <row r="272" spans="2:21" x14ac:dyDescent="0.25">
      <c r="B272" s="95"/>
      <c r="N272"/>
      <c r="O272" s="4"/>
      <c r="P272" s="4"/>
      <c r="Q272" s="4"/>
      <c r="R272" s="4"/>
      <c r="S272" s="4"/>
      <c r="T272" s="94"/>
      <c r="U272" s="4"/>
    </row>
    <row r="273" spans="2:21" x14ac:dyDescent="0.25">
      <c r="B273" s="95"/>
      <c r="N273"/>
      <c r="O273" s="4"/>
      <c r="P273" s="4"/>
      <c r="Q273" s="4"/>
      <c r="R273" s="4"/>
      <c r="S273" s="4"/>
      <c r="T273" s="94"/>
      <c r="U273" s="4"/>
    </row>
    <row r="274" spans="2:21" x14ac:dyDescent="0.25">
      <c r="B274" s="95"/>
      <c r="N274"/>
      <c r="O274" s="4"/>
      <c r="P274" s="4"/>
      <c r="Q274" s="4"/>
      <c r="R274" s="4"/>
      <c r="S274" s="4"/>
      <c r="T274" s="94"/>
      <c r="U274" s="4"/>
    </row>
    <row r="275" spans="2:21" x14ac:dyDescent="0.25">
      <c r="B275" s="95"/>
      <c r="N275"/>
      <c r="O275" s="4"/>
      <c r="P275" s="4"/>
      <c r="Q275" s="4"/>
      <c r="R275" s="4"/>
      <c r="S275" s="4"/>
      <c r="T275" s="94"/>
      <c r="U275" s="4"/>
    </row>
    <row r="276" spans="2:21" x14ac:dyDescent="0.25">
      <c r="B276" s="95"/>
      <c r="N276"/>
      <c r="O276" s="4"/>
      <c r="P276" s="4"/>
      <c r="Q276" s="4"/>
      <c r="R276" s="4"/>
      <c r="S276" s="4"/>
      <c r="T276" s="94"/>
      <c r="U276" s="4"/>
    </row>
    <row r="277" spans="2:21" x14ac:dyDescent="0.25">
      <c r="B277" s="95"/>
      <c r="N277"/>
      <c r="O277" s="4"/>
      <c r="P277" s="4"/>
      <c r="Q277" s="4"/>
      <c r="R277" s="4"/>
      <c r="S277" s="4"/>
      <c r="T277" s="94"/>
      <c r="U277" s="4"/>
    </row>
    <row r="278" spans="2:21" x14ac:dyDescent="0.25">
      <c r="B278" s="95"/>
      <c r="N278"/>
      <c r="O278" s="4"/>
      <c r="P278" s="4"/>
      <c r="Q278" s="4"/>
      <c r="R278" s="4"/>
      <c r="S278" s="4"/>
      <c r="T278" s="94"/>
      <c r="U278" s="4"/>
    </row>
    <row r="279" spans="2:21" x14ac:dyDescent="0.25">
      <c r="B279" s="95"/>
      <c r="N279"/>
      <c r="O279" s="4"/>
      <c r="P279" s="4"/>
      <c r="Q279" s="4"/>
      <c r="R279" s="4"/>
      <c r="S279" s="4"/>
      <c r="T279" s="94"/>
      <c r="U279" s="4"/>
    </row>
    <row r="280" spans="2:21" x14ac:dyDescent="0.25">
      <c r="B280" s="95"/>
      <c r="N280"/>
      <c r="O280" s="4"/>
      <c r="P280" s="4"/>
      <c r="Q280" s="4"/>
      <c r="R280" s="4"/>
      <c r="S280" s="4"/>
      <c r="T280" s="94"/>
      <c r="U280" s="4"/>
    </row>
    <row r="281" spans="2:21" x14ac:dyDescent="0.25">
      <c r="B281" s="95"/>
      <c r="N281"/>
      <c r="O281" s="4"/>
      <c r="P281" s="4"/>
      <c r="Q281" s="4"/>
      <c r="R281" s="4"/>
      <c r="S281" s="4"/>
      <c r="T281" s="94"/>
      <c r="U281" s="4"/>
    </row>
    <row r="282" spans="2:21" x14ac:dyDescent="0.25">
      <c r="B282" s="95"/>
      <c r="N282"/>
      <c r="O282" s="4"/>
      <c r="P282" s="4"/>
      <c r="Q282" s="4"/>
      <c r="R282" s="4"/>
      <c r="S282" s="4"/>
      <c r="T282" s="94"/>
      <c r="U282" s="4"/>
    </row>
    <row r="283" spans="2:21" x14ac:dyDescent="0.25">
      <c r="B283" s="95"/>
      <c r="N283"/>
      <c r="O283" s="4"/>
      <c r="P283" s="4"/>
      <c r="Q283" s="4"/>
      <c r="R283" s="4"/>
      <c r="S283" s="4"/>
      <c r="T283" s="94"/>
      <c r="U283" s="4"/>
    </row>
    <row r="284" spans="2:21" x14ac:dyDescent="0.25">
      <c r="B284" s="95"/>
      <c r="N284"/>
      <c r="O284" s="4"/>
      <c r="P284" s="4"/>
      <c r="Q284" s="4"/>
      <c r="R284" s="4"/>
      <c r="S284" s="4"/>
      <c r="T284" s="94"/>
      <c r="U284" s="4"/>
    </row>
    <row r="285" spans="2:21" x14ac:dyDescent="0.25">
      <c r="B285" s="95"/>
      <c r="N285"/>
      <c r="O285" s="4"/>
      <c r="P285" s="4"/>
      <c r="Q285" s="4"/>
      <c r="R285" s="4"/>
      <c r="S285" s="4"/>
      <c r="T285" s="94"/>
      <c r="U285" s="4"/>
    </row>
    <row r="286" spans="2:21" x14ac:dyDescent="0.25">
      <c r="B286" s="95"/>
      <c r="N286"/>
      <c r="O286" s="4"/>
      <c r="P286" s="4"/>
      <c r="Q286" s="4"/>
      <c r="R286" s="4"/>
      <c r="S286" s="4"/>
      <c r="T286" s="94"/>
      <c r="U286" s="4"/>
    </row>
    <row r="287" spans="2:21" x14ac:dyDescent="0.25">
      <c r="B287" s="95"/>
      <c r="N287"/>
      <c r="O287" s="4"/>
      <c r="P287" s="4"/>
      <c r="Q287" s="4"/>
      <c r="R287" s="4"/>
      <c r="S287" s="4"/>
      <c r="T287" s="94"/>
      <c r="U287" s="4"/>
    </row>
    <row r="288" spans="2:21" x14ac:dyDescent="0.25">
      <c r="B288" s="95"/>
      <c r="N288"/>
      <c r="O288" s="4"/>
      <c r="P288" s="4"/>
      <c r="Q288" s="4"/>
      <c r="R288" s="4"/>
      <c r="S288" s="4"/>
      <c r="T288" s="94"/>
      <c r="U288" s="4"/>
    </row>
    <row r="289" spans="2:21" x14ac:dyDescent="0.25">
      <c r="B289" s="95"/>
      <c r="N289"/>
      <c r="O289" s="4"/>
      <c r="P289" s="4"/>
      <c r="Q289" s="4"/>
      <c r="R289" s="4"/>
      <c r="S289" s="4"/>
      <c r="T289" s="94"/>
      <c r="U289" s="4"/>
    </row>
    <row r="290" spans="2:21" x14ac:dyDescent="0.25">
      <c r="B290" s="95"/>
      <c r="N290"/>
      <c r="O290" s="4"/>
      <c r="P290" s="4"/>
      <c r="Q290" s="4"/>
      <c r="R290" s="4"/>
      <c r="S290" s="4"/>
      <c r="T290" s="94"/>
      <c r="U290" s="4"/>
    </row>
    <row r="291" spans="2:21" x14ac:dyDescent="0.25">
      <c r="B291" s="95"/>
      <c r="N291"/>
      <c r="O291" s="4"/>
      <c r="P291" s="4"/>
      <c r="Q291" s="4"/>
      <c r="R291" s="4"/>
      <c r="S291" s="4"/>
      <c r="T291" s="94"/>
      <c r="U291" s="4"/>
    </row>
    <row r="292" spans="2:21" x14ac:dyDescent="0.25">
      <c r="B292" s="95"/>
      <c r="N292"/>
      <c r="O292" s="4"/>
      <c r="P292" s="4"/>
      <c r="Q292" s="4"/>
      <c r="R292" s="4"/>
      <c r="S292" s="4"/>
      <c r="T292" s="94"/>
      <c r="U292" s="4"/>
    </row>
    <row r="293" spans="2:21" x14ac:dyDescent="0.25">
      <c r="B293" s="95"/>
      <c r="N293"/>
      <c r="O293" s="4"/>
      <c r="P293" s="4"/>
      <c r="Q293" s="4"/>
      <c r="R293" s="4"/>
      <c r="S293" s="4"/>
      <c r="T293" s="94"/>
      <c r="U293" s="4"/>
    </row>
    <row r="294" spans="2:21" x14ac:dyDescent="0.25">
      <c r="B294" s="95"/>
      <c r="N294"/>
      <c r="O294" s="4"/>
      <c r="P294" s="4"/>
      <c r="Q294" s="4"/>
      <c r="R294" s="4"/>
      <c r="S294" s="4"/>
      <c r="T294" s="94"/>
      <c r="U294" s="4"/>
    </row>
    <row r="295" spans="2:21" x14ac:dyDescent="0.25">
      <c r="B295" s="95"/>
      <c r="N295"/>
      <c r="O295" s="4"/>
      <c r="P295" s="4"/>
      <c r="Q295" s="4"/>
      <c r="R295" s="4"/>
      <c r="S295" s="4"/>
      <c r="T295" s="94"/>
      <c r="U295" s="4"/>
    </row>
    <row r="296" spans="2:21" x14ac:dyDescent="0.25">
      <c r="B296" s="95"/>
      <c r="N296"/>
      <c r="O296" s="4"/>
      <c r="P296" s="4"/>
      <c r="Q296" s="4"/>
      <c r="R296" s="4"/>
      <c r="S296" s="4"/>
      <c r="T296" s="94"/>
      <c r="U296" s="4"/>
    </row>
    <row r="297" spans="2:21" x14ac:dyDescent="0.25">
      <c r="B297" s="95"/>
      <c r="N297"/>
      <c r="O297" s="4"/>
      <c r="P297" s="4"/>
      <c r="Q297" s="4"/>
      <c r="R297" s="4"/>
      <c r="S297" s="4"/>
      <c r="T297" s="94"/>
      <c r="U297" s="4"/>
    </row>
    <row r="298" spans="2:21" x14ac:dyDescent="0.25">
      <c r="B298" s="95"/>
      <c r="N298"/>
      <c r="O298" s="4"/>
      <c r="P298" s="4"/>
      <c r="Q298" s="4"/>
      <c r="R298" s="4"/>
      <c r="S298" s="4"/>
      <c r="T298" s="94"/>
      <c r="U298" s="4"/>
    </row>
    <row r="299" spans="2:21" x14ac:dyDescent="0.25">
      <c r="B299" s="95"/>
      <c r="N299"/>
      <c r="O299" s="4"/>
      <c r="P299" s="4"/>
      <c r="Q299" s="4"/>
      <c r="R299" s="4"/>
      <c r="S299" s="4"/>
      <c r="T299" s="94"/>
      <c r="U299" s="4"/>
    </row>
    <row r="300" spans="2:21" x14ac:dyDescent="0.25">
      <c r="B300" s="95"/>
      <c r="N300"/>
      <c r="O300" s="4"/>
      <c r="P300" s="4"/>
      <c r="Q300" s="4"/>
      <c r="R300" s="4"/>
      <c r="S300" s="4"/>
      <c r="T300" s="94"/>
      <c r="U300" s="4"/>
    </row>
    <row r="301" spans="2:21" x14ac:dyDescent="0.25">
      <c r="B301" s="95"/>
      <c r="N301"/>
      <c r="O301" s="4"/>
      <c r="P301" s="4"/>
      <c r="Q301" s="4"/>
      <c r="R301" s="4"/>
      <c r="S301" s="4"/>
      <c r="T301" s="94"/>
      <c r="U301" s="4"/>
    </row>
    <row r="302" spans="2:21" x14ac:dyDescent="0.25">
      <c r="B302" s="95"/>
      <c r="N302"/>
      <c r="O302" s="4"/>
      <c r="P302" s="4"/>
      <c r="Q302" s="4"/>
      <c r="R302" s="4"/>
      <c r="S302" s="4"/>
      <c r="T302" s="94"/>
      <c r="U302" s="4"/>
    </row>
    <row r="303" spans="2:21" x14ac:dyDescent="0.25">
      <c r="B303" s="95"/>
      <c r="N303"/>
      <c r="O303" s="4"/>
      <c r="P303" s="4"/>
      <c r="Q303" s="4"/>
      <c r="R303" s="4"/>
      <c r="S303" s="4"/>
      <c r="T303" s="94"/>
      <c r="U303" s="4"/>
    </row>
    <row r="304" spans="2:21" x14ac:dyDescent="0.25">
      <c r="B304" s="95"/>
      <c r="N304"/>
      <c r="O304" s="4"/>
      <c r="P304" s="4"/>
      <c r="Q304" s="4"/>
      <c r="R304" s="4"/>
      <c r="S304" s="4"/>
      <c r="T304" s="94"/>
      <c r="U304" s="4"/>
    </row>
    <row r="305" spans="2:21" x14ac:dyDescent="0.25">
      <c r="B305" s="95"/>
      <c r="N305"/>
      <c r="O305" s="4"/>
      <c r="P305" s="4"/>
      <c r="Q305" s="4"/>
      <c r="R305" s="4"/>
      <c r="S305" s="4"/>
      <c r="T305" s="94"/>
      <c r="U305" s="4"/>
    </row>
    <row r="306" spans="2:21" x14ac:dyDescent="0.25">
      <c r="B306" s="95"/>
      <c r="N306"/>
      <c r="O306" s="4"/>
      <c r="P306" s="4"/>
      <c r="Q306" s="4"/>
      <c r="R306" s="4"/>
      <c r="S306" s="4"/>
      <c r="T306" s="94"/>
      <c r="U306" s="4"/>
    </row>
    <row r="307" spans="2:21" x14ac:dyDescent="0.25">
      <c r="B307" s="95"/>
      <c r="N307"/>
      <c r="O307" s="4"/>
      <c r="P307" s="4"/>
      <c r="Q307" s="4"/>
      <c r="R307" s="4"/>
      <c r="S307" s="4"/>
      <c r="T307" s="94"/>
      <c r="U307" s="4"/>
    </row>
    <row r="308" spans="2:21" x14ac:dyDescent="0.25">
      <c r="B308" s="95"/>
      <c r="N308"/>
      <c r="O308" s="4"/>
      <c r="P308" s="4"/>
      <c r="Q308" s="4"/>
      <c r="R308" s="4"/>
      <c r="S308" s="4"/>
      <c r="T308" s="94"/>
      <c r="U308" s="4"/>
    </row>
    <row r="309" spans="2:21" x14ac:dyDescent="0.25">
      <c r="B309" s="95"/>
      <c r="N309"/>
      <c r="O309" s="4"/>
      <c r="P309" s="4"/>
      <c r="Q309" s="4"/>
      <c r="R309" s="4"/>
      <c r="S309" s="4"/>
      <c r="T309" s="94"/>
      <c r="U309" s="4"/>
    </row>
    <row r="310" spans="2:21" x14ac:dyDescent="0.25">
      <c r="B310" s="95"/>
      <c r="N310"/>
      <c r="O310" s="4"/>
      <c r="P310" s="4"/>
      <c r="Q310" s="4"/>
      <c r="R310" s="4"/>
      <c r="S310" s="4"/>
      <c r="T310" s="94"/>
      <c r="U310" s="4"/>
    </row>
    <row r="311" spans="2:21" x14ac:dyDescent="0.25">
      <c r="B311" s="95"/>
      <c r="N311"/>
      <c r="O311" s="4"/>
      <c r="P311" s="4"/>
      <c r="Q311" s="4"/>
      <c r="R311" s="4"/>
      <c r="S311" s="4"/>
      <c r="T311" s="94"/>
      <c r="U311" s="4"/>
    </row>
    <row r="312" spans="2:21" x14ac:dyDescent="0.25">
      <c r="B312" s="95"/>
      <c r="N312"/>
      <c r="O312" s="4"/>
      <c r="P312" s="4"/>
      <c r="Q312" s="4"/>
      <c r="R312" s="4"/>
      <c r="S312" s="4"/>
      <c r="T312" s="94"/>
      <c r="U312" s="4"/>
    </row>
    <row r="313" spans="2:21" x14ac:dyDescent="0.25">
      <c r="B313" s="95"/>
      <c r="N313"/>
      <c r="O313" s="4"/>
      <c r="P313" s="4"/>
      <c r="Q313" s="4"/>
      <c r="R313" s="4"/>
      <c r="S313" s="4"/>
      <c r="T313" s="94"/>
      <c r="U313" s="4"/>
    </row>
    <row r="314" spans="2:21" x14ac:dyDescent="0.25">
      <c r="B314" s="95"/>
      <c r="N314"/>
      <c r="O314" s="4"/>
      <c r="P314" s="4"/>
      <c r="Q314" s="4"/>
      <c r="R314" s="4"/>
      <c r="S314" s="4"/>
      <c r="T314" s="94"/>
      <c r="U314" s="4"/>
    </row>
    <row r="315" spans="2:21" x14ac:dyDescent="0.25">
      <c r="B315" s="95"/>
      <c r="N315"/>
      <c r="O315" s="4"/>
      <c r="P315" s="4"/>
      <c r="Q315" s="4"/>
      <c r="R315" s="4"/>
      <c r="S315" s="4"/>
      <c r="T315" s="94"/>
      <c r="U315" s="4"/>
    </row>
    <row r="316" spans="2:21" x14ac:dyDescent="0.25">
      <c r="B316" s="95"/>
      <c r="N316"/>
      <c r="O316" s="4"/>
      <c r="P316" s="4"/>
      <c r="Q316" s="4"/>
      <c r="R316" s="4"/>
      <c r="S316" s="4"/>
      <c r="T316" s="94"/>
      <c r="U316" s="4"/>
    </row>
    <row r="317" spans="2:21" x14ac:dyDescent="0.25">
      <c r="B317" s="95"/>
      <c r="N317"/>
      <c r="O317" s="4"/>
      <c r="P317" s="4"/>
      <c r="Q317" s="4"/>
      <c r="R317" s="4"/>
      <c r="S317" s="4"/>
      <c r="T317" s="94"/>
      <c r="U317" s="4"/>
    </row>
    <row r="318" spans="2:21" x14ac:dyDescent="0.25">
      <c r="B318" s="95"/>
      <c r="N318"/>
      <c r="O318" s="4"/>
      <c r="P318" s="4"/>
      <c r="Q318" s="4"/>
      <c r="R318" s="4"/>
      <c r="S318" s="4"/>
      <c r="T318" s="94"/>
      <c r="U318" s="4"/>
    </row>
    <row r="319" spans="2:21" x14ac:dyDescent="0.25">
      <c r="B319" s="95"/>
      <c r="N319"/>
      <c r="O319" s="4"/>
      <c r="P319" s="4"/>
      <c r="Q319" s="4"/>
      <c r="R319" s="4"/>
      <c r="S319" s="4"/>
      <c r="T319" s="94"/>
      <c r="U319" s="4"/>
    </row>
    <row r="320" spans="2:21" x14ac:dyDescent="0.25">
      <c r="B320" s="95"/>
      <c r="N320"/>
      <c r="O320" s="4"/>
      <c r="P320" s="4"/>
      <c r="Q320" s="4"/>
      <c r="R320" s="4"/>
      <c r="S320" s="4"/>
      <c r="T320" s="94"/>
      <c r="U320" s="4"/>
    </row>
    <row r="321" spans="2:21" x14ac:dyDescent="0.25">
      <c r="B321" s="95"/>
      <c r="N321"/>
      <c r="O321" s="4"/>
      <c r="P321" s="4"/>
      <c r="Q321" s="4"/>
      <c r="R321" s="4"/>
      <c r="S321" s="4"/>
      <c r="T321" s="94"/>
      <c r="U321" s="4"/>
    </row>
    <row r="322" spans="2:21" x14ac:dyDescent="0.25">
      <c r="B322" s="95"/>
      <c r="N322"/>
      <c r="O322" s="4"/>
      <c r="P322" s="4"/>
      <c r="Q322" s="4"/>
      <c r="R322" s="4"/>
      <c r="S322" s="4"/>
      <c r="T322" s="94"/>
      <c r="U322" s="4"/>
    </row>
    <row r="323" spans="2:21" x14ac:dyDescent="0.25">
      <c r="B323" s="95"/>
      <c r="N323"/>
      <c r="O323" s="4"/>
      <c r="P323" s="4"/>
      <c r="Q323" s="4"/>
      <c r="R323" s="4"/>
      <c r="S323" s="4"/>
      <c r="T323" s="94"/>
      <c r="U323" s="4"/>
    </row>
    <row r="324" spans="2:21" x14ac:dyDescent="0.25">
      <c r="B324" s="95"/>
      <c r="N324"/>
      <c r="O324" s="4"/>
      <c r="P324" s="4"/>
      <c r="Q324" s="4"/>
      <c r="R324" s="4"/>
      <c r="S324" s="4"/>
      <c r="T324" s="94"/>
      <c r="U324" s="4"/>
    </row>
    <row r="325" spans="2:21" x14ac:dyDescent="0.25">
      <c r="B325" s="95"/>
      <c r="N325"/>
      <c r="O325" s="4"/>
      <c r="P325" s="4"/>
      <c r="Q325" s="4"/>
      <c r="R325" s="4"/>
      <c r="S325" s="4"/>
      <c r="T325" s="94"/>
      <c r="U325" s="4"/>
    </row>
    <row r="326" spans="2:21" x14ac:dyDescent="0.25">
      <c r="B326" s="95"/>
      <c r="N326"/>
      <c r="O326" s="4"/>
      <c r="P326" s="4"/>
      <c r="Q326" s="4"/>
      <c r="R326" s="4"/>
      <c r="S326" s="4"/>
      <c r="T326" s="94"/>
      <c r="U326" s="4"/>
    </row>
    <row r="327" spans="2:21" x14ac:dyDescent="0.25">
      <c r="B327" s="95"/>
      <c r="N327"/>
      <c r="O327" s="4"/>
      <c r="P327" s="4"/>
      <c r="Q327" s="4"/>
      <c r="R327" s="4"/>
      <c r="S327" s="4"/>
      <c r="T327" s="94"/>
      <c r="U327" s="4"/>
    </row>
    <row r="328" spans="2:21" x14ac:dyDescent="0.25">
      <c r="B328" s="95"/>
      <c r="N328"/>
      <c r="O328" s="4"/>
      <c r="P328" s="4"/>
      <c r="Q328" s="4"/>
      <c r="R328" s="4"/>
      <c r="S328" s="4"/>
      <c r="T328" s="94"/>
      <c r="U328" s="4"/>
    </row>
    <row r="329" spans="2:21" x14ac:dyDescent="0.25">
      <c r="B329" s="95"/>
      <c r="N329"/>
      <c r="O329" s="4"/>
      <c r="P329" s="4"/>
      <c r="Q329" s="4"/>
      <c r="R329" s="4"/>
      <c r="S329" s="4"/>
      <c r="T329" s="94"/>
      <c r="U329" s="4"/>
    </row>
    <row r="330" spans="2:21" x14ac:dyDescent="0.25">
      <c r="B330" s="95"/>
      <c r="N330"/>
      <c r="O330" s="4"/>
      <c r="P330" s="4"/>
      <c r="Q330" s="4"/>
      <c r="R330" s="4"/>
      <c r="S330" s="4"/>
      <c r="T330" s="94"/>
      <c r="U330" s="4"/>
    </row>
    <row r="331" spans="2:21" x14ac:dyDescent="0.25">
      <c r="B331" s="95"/>
      <c r="N331"/>
      <c r="O331" s="4"/>
      <c r="P331" s="4"/>
      <c r="Q331" s="4"/>
      <c r="R331" s="4"/>
      <c r="S331" s="4"/>
      <c r="T331" s="94"/>
      <c r="U331" s="4"/>
    </row>
    <row r="332" spans="2:21" x14ac:dyDescent="0.25">
      <c r="B332" s="95"/>
      <c r="N332"/>
      <c r="O332" s="4"/>
      <c r="P332" s="4"/>
      <c r="Q332" s="4"/>
      <c r="R332" s="4"/>
      <c r="S332" s="4"/>
      <c r="T332" s="94"/>
      <c r="U332" s="4"/>
    </row>
    <row r="333" spans="2:21" x14ac:dyDescent="0.25">
      <c r="B333" s="95"/>
      <c r="N333"/>
      <c r="O333" s="4"/>
      <c r="P333" s="4"/>
      <c r="Q333" s="4"/>
      <c r="R333" s="4"/>
      <c r="S333" s="4"/>
      <c r="T333" s="94"/>
      <c r="U333" s="4"/>
    </row>
    <row r="334" spans="2:21" x14ac:dyDescent="0.25">
      <c r="B334" s="95"/>
      <c r="N334"/>
      <c r="O334" s="4"/>
      <c r="P334" s="4"/>
      <c r="Q334" s="4"/>
      <c r="R334" s="4"/>
      <c r="S334" s="4"/>
      <c r="T334" s="94"/>
      <c r="U334" s="4"/>
    </row>
    <row r="335" spans="2:21" x14ac:dyDescent="0.25">
      <c r="B335" s="95"/>
      <c r="N335"/>
      <c r="O335" s="4"/>
      <c r="P335" s="4"/>
      <c r="Q335" s="4"/>
      <c r="R335" s="4"/>
      <c r="S335" s="4"/>
      <c r="T335" s="94"/>
      <c r="U335" s="4"/>
    </row>
    <row r="336" spans="2:21" x14ac:dyDescent="0.25">
      <c r="B336" s="95"/>
      <c r="N336"/>
      <c r="O336" s="4"/>
      <c r="P336" s="4"/>
      <c r="Q336" s="4"/>
      <c r="R336" s="4"/>
      <c r="S336" s="4"/>
      <c r="T336" s="94"/>
      <c r="U336" s="4"/>
    </row>
    <row r="337" spans="2:21" x14ac:dyDescent="0.25">
      <c r="B337" s="95"/>
      <c r="N337"/>
      <c r="O337" s="4"/>
      <c r="P337" s="4"/>
      <c r="Q337" s="4"/>
      <c r="R337" s="4"/>
      <c r="S337" s="4"/>
      <c r="T337" s="94"/>
      <c r="U337" s="4"/>
    </row>
    <row r="338" spans="2:21" x14ac:dyDescent="0.25">
      <c r="B338" s="95"/>
      <c r="N338"/>
      <c r="O338" s="4"/>
      <c r="P338" s="4"/>
      <c r="Q338" s="4"/>
      <c r="R338" s="4"/>
      <c r="S338" s="4"/>
      <c r="T338" s="94"/>
      <c r="U338" s="4"/>
    </row>
    <row r="339" spans="2:21" x14ac:dyDescent="0.25">
      <c r="B339" s="95"/>
      <c r="N339"/>
      <c r="O339" s="4"/>
      <c r="P339" s="4"/>
      <c r="Q339" s="4"/>
      <c r="R339" s="4"/>
      <c r="S339" s="4"/>
      <c r="T339" s="94"/>
      <c r="U339" s="4"/>
    </row>
    <row r="340" spans="2:21" x14ac:dyDescent="0.25">
      <c r="B340" s="95"/>
      <c r="N340"/>
      <c r="O340" s="4"/>
      <c r="P340" s="4"/>
      <c r="Q340" s="4"/>
      <c r="R340" s="4"/>
      <c r="S340" s="4"/>
      <c r="T340" s="94"/>
      <c r="U340" s="4"/>
    </row>
    <row r="341" spans="2:21" x14ac:dyDescent="0.25">
      <c r="B341" s="95"/>
      <c r="N341"/>
      <c r="O341" s="4"/>
      <c r="P341" s="4"/>
      <c r="Q341" s="4"/>
      <c r="R341" s="4"/>
      <c r="S341" s="4"/>
      <c r="T341" s="94"/>
      <c r="U341" s="4"/>
    </row>
    <row r="342" spans="2:21" x14ac:dyDescent="0.25">
      <c r="B342" s="95"/>
      <c r="N342"/>
      <c r="O342" s="4"/>
      <c r="P342" s="4"/>
      <c r="Q342" s="4"/>
      <c r="R342" s="4"/>
      <c r="S342" s="4"/>
      <c r="T342" s="94"/>
      <c r="U342" s="4"/>
    </row>
    <row r="343" spans="2:21" x14ac:dyDescent="0.25">
      <c r="B343" s="95"/>
      <c r="N343"/>
      <c r="O343" s="4"/>
      <c r="P343" s="4"/>
      <c r="Q343" s="4"/>
      <c r="R343" s="4"/>
      <c r="S343" s="4"/>
      <c r="T343" s="94"/>
      <c r="U343" s="4"/>
    </row>
    <row r="344" spans="2:21" x14ac:dyDescent="0.25">
      <c r="B344" s="95"/>
      <c r="N344"/>
      <c r="O344" s="4"/>
      <c r="P344" s="4"/>
      <c r="Q344" s="4"/>
      <c r="R344" s="4"/>
      <c r="S344" s="4"/>
      <c r="T344" s="94"/>
      <c r="U344" s="4"/>
    </row>
    <row r="345" spans="2:21" x14ac:dyDescent="0.25">
      <c r="B345" s="95"/>
      <c r="N345"/>
      <c r="O345" s="4"/>
      <c r="P345" s="4"/>
      <c r="Q345" s="4"/>
      <c r="R345" s="4"/>
      <c r="S345" s="4"/>
      <c r="T345" s="94"/>
      <c r="U345" s="4"/>
    </row>
    <row r="346" spans="2:21" x14ac:dyDescent="0.25">
      <c r="B346" s="95"/>
      <c r="N346"/>
      <c r="O346" s="4"/>
      <c r="P346" s="4"/>
      <c r="Q346" s="4"/>
      <c r="R346" s="4"/>
      <c r="S346" s="4"/>
      <c r="T346" s="94"/>
      <c r="U346" s="4"/>
    </row>
    <row r="347" spans="2:21" x14ac:dyDescent="0.25">
      <c r="B347" s="95"/>
      <c r="N347"/>
      <c r="O347" s="4"/>
      <c r="P347" s="4"/>
      <c r="Q347" s="4"/>
      <c r="R347" s="4"/>
      <c r="S347" s="4"/>
      <c r="T347" s="94"/>
      <c r="U347" s="4"/>
    </row>
    <row r="348" spans="2:21" x14ac:dyDescent="0.25">
      <c r="B348" s="95"/>
      <c r="N348"/>
      <c r="O348" s="4"/>
      <c r="P348" s="4"/>
      <c r="Q348" s="4"/>
      <c r="R348" s="4"/>
      <c r="S348" s="4"/>
      <c r="T348" s="94"/>
      <c r="U348" s="4"/>
    </row>
    <row r="349" spans="2:21" x14ac:dyDescent="0.25">
      <c r="B349" s="95"/>
      <c r="N349"/>
      <c r="O349" s="4"/>
      <c r="P349" s="4"/>
      <c r="Q349" s="4"/>
      <c r="R349" s="4"/>
      <c r="S349" s="4"/>
      <c r="T349" s="94"/>
      <c r="U349" s="4"/>
    </row>
    <row r="350" spans="2:21" x14ac:dyDescent="0.25">
      <c r="B350" s="95"/>
      <c r="N350"/>
      <c r="O350" s="4"/>
      <c r="P350" s="4"/>
      <c r="Q350" s="4"/>
      <c r="R350" s="4"/>
      <c r="S350" s="4"/>
      <c r="T350" s="94"/>
      <c r="U350" s="4"/>
    </row>
    <row r="351" spans="2:21" x14ac:dyDescent="0.25">
      <c r="B351" s="95"/>
      <c r="N351"/>
      <c r="O351" s="4"/>
      <c r="P351" s="4"/>
      <c r="Q351" s="4"/>
      <c r="R351" s="4"/>
      <c r="S351" s="4"/>
      <c r="T351" s="94"/>
      <c r="U351" s="4"/>
    </row>
    <row r="352" spans="2:21" x14ac:dyDescent="0.25">
      <c r="B352" s="95"/>
      <c r="N352"/>
      <c r="O352" s="4"/>
      <c r="P352" s="4"/>
      <c r="Q352" s="4"/>
      <c r="R352" s="4"/>
      <c r="S352" s="4"/>
      <c r="T352" s="94"/>
      <c r="U352" s="4"/>
    </row>
    <row r="353" spans="2:21" x14ac:dyDescent="0.25">
      <c r="B353" s="95"/>
      <c r="N353"/>
      <c r="O353" s="4"/>
      <c r="P353" s="4"/>
      <c r="Q353" s="4"/>
      <c r="R353" s="4"/>
      <c r="S353" s="4"/>
      <c r="T353" s="94"/>
      <c r="U353" s="4"/>
    </row>
    <row r="354" spans="2:21" x14ac:dyDescent="0.25">
      <c r="B354" s="95"/>
      <c r="N354"/>
      <c r="O354" s="4"/>
      <c r="P354" s="4"/>
      <c r="Q354" s="4"/>
      <c r="R354" s="4"/>
      <c r="S354" s="4"/>
      <c r="T354" s="94"/>
      <c r="U354" s="4"/>
    </row>
    <row r="355" spans="2:21" x14ac:dyDescent="0.25">
      <c r="B355" s="95"/>
      <c r="N355"/>
      <c r="O355" s="4"/>
      <c r="P355" s="4"/>
      <c r="Q355" s="4"/>
      <c r="R355" s="4"/>
      <c r="S355" s="4"/>
      <c r="T355" s="94"/>
      <c r="U355" s="4"/>
    </row>
    <row r="356" spans="2:21" x14ac:dyDescent="0.25">
      <c r="B356" s="95"/>
      <c r="N356"/>
      <c r="O356" s="4"/>
      <c r="P356" s="4"/>
      <c r="Q356" s="4"/>
      <c r="R356" s="4"/>
      <c r="S356" s="4"/>
      <c r="T356" s="94"/>
      <c r="U356" s="4"/>
    </row>
    <row r="357" spans="2:21" x14ac:dyDescent="0.25">
      <c r="B357" s="95"/>
      <c r="N357"/>
      <c r="O357" s="4"/>
      <c r="P357" s="4"/>
      <c r="Q357" s="4"/>
      <c r="R357" s="4"/>
      <c r="S357" s="4"/>
      <c r="T357" s="94"/>
      <c r="U357" s="4"/>
    </row>
    <row r="358" spans="2:21" x14ac:dyDescent="0.25">
      <c r="B358" s="95"/>
      <c r="N358"/>
      <c r="O358" s="4"/>
      <c r="P358" s="4"/>
      <c r="Q358" s="4"/>
      <c r="R358" s="4"/>
      <c r="S358" s="4"/>
      <c r="T358" s="94"/>
      <c r="U358" s="4"/>
    </row>
    <row r="359" spans="2:21" x14ac:dyDescent="0.25">
      <c r="B359" s="95"/>
      <c r="N359"/>
      <c r="O359" s="4"/>
      <c r="P359" s="4"/>
      <c r="Q359" s="4"/>
      <c r="R359" s="4"/>
      <c r="S359" s="4"/>
      <c r="T359" s="94"/>
      <c r="U359" s="4"/>
    </row>
    <row r="360" spans="2:21" x14ac:dyDescent="0.25">
      <c r="B360" s="95"/>
      <c r="N360"/>
      <c r="O360" s="4"/>
      <c r="P360" s="4"/>
      <c r="Q360" s="4"/>
      <c r="R360" s="4"/>
      <c r="S360" s="4"/>
      <c r="T360" s="94"/>
      <c r="U360" s="4"/>
    </row>
    <row r="361" spans="2:21" x14ac:dyDescent="0.25">
      <c r="B361" s="95"/>
      <c r="N361"/>
      <c r="O361" s="4"/>
      <c r="P361" s="4"/>
      <c r="Q361" s="4"/>
      <c r="R361" s="4"/>
      <c r="S361" s="4"/>
      <c r="T361" s="94"/>
      <c r="U361" s="4"/>
    </row>
    <row r="362" spans="2:21" x14ac:dyDescent="0.25">
      <c r="B362" s="95"/>
      <c r="N362"/>
      <c r="O362" s="4"/>
      <c r="P362" s="4"/>
      <c r="Q362" s="4"/>
      <c r="R362" s="4"/>
      <c r="S362" s="4"/>
      <c r="T362" s="94"/>
      <c r="U362" s="4"/>
    </row>
    <row r="363" spans="2:21" x14ac:dyDescent="0.25">
      <c r="B363" s="95"/>
      <c r="N363"/>
      <c r="O363" s="4"/>
      <c r="P363" s="4"/>
      <c r="Q363" s="4"/>
      <c r="R363" s="4"/>
      <c r="S363" s="4"/>
      <c r="T363" s="94"/>
      <c r="U363" s="4"/>
    </row>
    <row r="364" spans="2:21" x14ac:dyDescent="0.25">
      <c r="B364" s="95"/>
      <c r="N364"/>
      <c r="O364" s="4"/>
      <c r="P364" s="4"/>
      <c r="Q364" s="4"/>
      <c r="R364" s="4"/>
      <c r="S364" s="4"/>
      <c r="T364" s="94"/>
      <c r="U364" s="4"/>
    </row>
    <row r="365" spans="2:21" x14ac:dyDescent="0.25">
      <c r="B365" s="95"/>
      <c r="N365"/>
      <c r="O365" s="4"/>
      <c r="P365" s="4"/>
      <c r="Q365" s="4"/>
      <c r="R365" s="4"/>
      <c r="S365" s="4"/>
      <c r="T365" s="94"/>
      <c r="U365" s="4"/>
    </row>
    <row r="366" spans="2:21" x14ac:dyDescent="0.25">
      <c r="B366" s="95"/>
      <c r="N366"/>
      <c r="O366" s="4"/>
      <c r="P366" s="4"/>
      <c r="Q366" s="4"/>
      <c r="R366" s="4"/>
      <c r="S366" s="4"/>
      <c r="T366" s="94"/>
      <c r="U366" s="4"/>
    </row>
    <row r="367" spans="2:21" x14ac:dyDescent="0.25">
      <c r="B367" s="95"/>
      <c r="N367"/>
      <c r="O367" s="4"/>
      <c r="P367" s="4"/>
      <c r="Q367" s="4"/>
      <c r="R367" s="4"/>
      <c r="S367" s="4"/>
      <c r="T367" s="94"/>
      <c r="U367" s="4"/>
    </row>
    <row r="368" spans="2:21" x14ac:dyDescent="0.25">
      <c r="B368" s="95"/>
      <c r="N368"/>
      <c r="O368" s="4"/>
      <c r="P368" s="4"/>
      <c r="Q368" s="4"/>
      <c r="R368" s="4"/>
      <c r="S368" s="4"/>
      <c r="T368" s="94"/>
      <c r="U368" s="4"/>
    </row>
    <row r="369" spans="2:21" x14ac:dyDescent="0.25">
      <c r="B369" s="95"/>
      <c r="N369"/>
      <c r="O369" s="4"/>
      <c r="P369" s="4"/>
      <c r="Q369" s="4"/>
      <c r="R369" s="4"/>
      <c r="S369" s="4"/>
      <c r="T369" s="94"/>
      <c r="U369" s="4"/>
    </row>
    <row r="370" spans="2:21" x14ac:dyDescent="0.25">
      <c r="B370" s="95"/>
      <c r="N370"/>
      <c r="O370" s="4"/>
      <c r="P370" s="4"/>
      <c r="Q370" s="4"/>
      <c r="R370" s="4"/>
      <c r="S370" s="4"/>
      <c r="T370" s="94"/>
      <c r="U370" s="4"/>
    </row>
    <row r="371" spans="2:21" x14ac:dyDescent="0.25">
      <c r="B371" s="95"/>
      <c r="N371"/>
      <c r="O371" s="4"/>
      <c r="P371" s="4"/>
      <c r="Q371" s="4"/>
      <c r="R371" s="4"/>
      <c r="S371" s="4"/>
      <c r="T371" s="94"/>
      <c r="U371" s="4"/>
    </row>
    <row r="372" spans="2:21" x14ac:dyDescent="0.25">
      <c r="B372" s="95"/>
      <c r="N372"/>
      <c r="O372" s="4"/>
      <c r="P372" s="4"/>
      <c r="Q372" s="4"/>
      <c r="R372" s="4"/>
      <c r="S372" s="4"/>
      <c r="T372" s="94"/>
      <c r="U372" s="4"/>
    </row>
    <row r="373" spans="2:21" x14ac:dyDescent="0.25">
      <c r="B373" s="95"/>
      <c r="N373"/>
      <c r="O373" s="4"/>
      <c r="P373" s="4"/>
      <c r="Q373" s="4"/>
      <c r="R373" s="4"/>
      <c r="S373" s="4"/>
      <c r="T373" s="94"/>
      <c r="U373" s="4"/>
    </row>
    <row r="374" spans="2:21" x14ac:dyDescent="0.25">
      <c r="B374" s="95"/>
      <c r="N374"/>
      <c r="O374" s="4"/>
      <c r="P374" s="4"/>
      <c r="Q374" s="4"/>
      <c r="R374" s="4"/>
      <c r="S374" s="4"/>
      <c r="T374" s="94"/>
      <c r="U374" s="4"/>
    </row>
    <row r="375" spans="2:21" x14ac:dyDescent="0.25">
      <c r="B375" s="95"/>
      <c r="N375"/>
      <c r="O375" s="4"/>
      <c r="P375" s="4"/>
      <c r="Q375" s="4"/>
      <c r="R375" s="4"/>
      <c r="S375" s="4"/>
      <c r="T375" s="94"/>
      <c r="U375" s="4"/>
    </row>
    <row r="376" spans="2:21" x14ac:dyDescent="0.25">
      <c r="B376" s="95"/>
      <c r="N376"/>
      <c r="O376" s="4"/>
      <c r="P376" s="4"/>
      <c r="Q376" s="4"/>
      <c r="R376" s="4"/>
      <c r="S376" s="4"/>
      <c r="T376" s="94"/>
      <c r="U376" s="4"/>
    </row>
    <row r="377" spans="2:21" x14ac:dyDescent="0.25">
      <c r="B377" s="95"/>
      <c r="N377"/>
      <c r="O377" s="4"/>
      <c r="P377" s="4"/>
      <c r="Q377" s="4"/>
      <c r="R377" s="4"/>
      <c r="S377" s="4"/>
      <c r="T377" s="94"/>
      <c r="U377" s="4"/>
    </row>
    <row r="378" spans="2:21" x14ac:dyDescent="0.25">
      <c r="B378" s="95"/>
      <c r="N378"/>
      <c r="O378" s="4"/>
      <c r="P378" s="4"/>
      <c r="Q378" s="4"/>
      <c r="R378" s="4"/>
      <c r="S378" s="4"/>
      <c r="T378" s="94"/>
      <c r="U378" s="4"/>
    </row>
    <row r="379" spans="2:21" x14ac:dyDescent="0.25">
      <c r="B379" s="95"/>
      <c r="N379"/>
      <c r="O379" s="4"/>
      <c r="P379" s="4"/>
      <c r="Q379" s="4"/>
      <c r="R379" s="4"/>
      <c r="S379" s="4"/>
      <c r="T379" s="94"/>
      <c r="U379" s="4"/>
    </row>
    <row r="380" spans="2:21" x14ac:dyDescent="0.25">
      <c r="B380" s="95"/>
      <c r="N380"/>
      <c r="O380" s="4"/>
      <c r="P380" s="4"/>
      <c r="Q380" s="4"/>
      <c r="R380" s="4"/>
      <c r="S380" s="4"/>
      <c r="T380" s="94"/>
      <c r="U380" s="4"/>
    </row>
    <row r="381" spans="2:21" x14ac:dyDescent="0.25">
      <c r="B381" s="95"/>
      <c r="N381"/>
      <c r="O381" s="4"/>
      <c r="P381" s="4"/>
      <c r="Q381" s="4"/>
      <c r="R381" s="4"/>
      <c r="S381" s="4"/>
      <c r="T381" s="94"/>
      <c r="U381" s="4"/>
    </row>
    <row r="382" spans="2:21" x14ac:dyDescent="0.25">
      <c r="B382" s="95"/>
      <c r="N382"/>
      <c r="O382" s="4"/>
      <c r="P382" s="4"/>
      <c r="Q382" s="4"/>
      <c r="R382" s="4"/>
      <c r="S382" s="4"/>
      <c r="T382" s="94"/>
      <c r="U382" s="4"/>
    </row>
    <row r="383" spans="2:21" x14ac:dyDescent="0.25">
      <c r="B383" s="95"/>
      <c r="N383"/>
      <c r="O383" s="4"/>
      <c r="P383" s="4"/>
      <c r="Q383" s="4"/>
      <c r="R383" s="4"/>
      <c r="S383" s="4"/>
      <c r="T383" s="94"/>
      <c r="U383" s="4"/>
    </row>
    <row r="384" spans="2:21" x14ac:dyDescent="0.25">
      <c r="B384" s="95"/>
      <c r="N384"/>
      <c r="O384" s="4"/>
      <c r="P384" s="4"/>
      <c r="Q384" s="4"/>
      <c r="R384" s="4"/>
      <c r="S384" s="4"/>
      <c r="T384" s="94"/>
      <c r="U384" s="4"/>
    </row>
    <row r="385" spans="2:21" x14ac:dyDescent="0.25">
      <c r="B385" s="95"/>
      <c r="N385"/>
      <c r="O385" s="4"/>
      <c r="P385" s="4"/>
      <c r="Q385" s="4"/>
      <c r="R385" s="4"/>
      <c r="S385" s="4"/>
      <c r="T385" s="94"/>
      <c r="U385" s="4"/>
    </row>
    <row r="386" spans="2:21" x14ac:dyDescent="0.25">
      <c r="B386" s="95"/>
      <c r="N386"/>
      <c r="O386" s="4"/>
      <c r="P386" s="4"/>
      <c r="Q386" s="4"/>
      <c r="R386" s="4"/>
      <c r="S386" s="4"/>
      <c r="T386" s="94"/>
      <c r="U386" s="4"/>
    </row>
    <row r="387" spans="2:21" x14ac:dyDescent="0.25">
      <c r="B387" s="95"/>
      <c r="N387"/>
      <c r="O387" s="4"/>
      <c r="P387" s="4"/>
      <c r="Q387" s="4"/>
      <c r="R387" s="4"/>
      <c r="S387" s="4"/>
      <c r="T387" s="94"/>
      <c r="U387" s="4"/>
    </row>
    <row r="388" spans="2:21" x14ac:dyDescent="0.25">
      <c r="B388" s="95"/>
      <c r="N388"/>
      <c r="O388" s="4"/>
      <c r="P388" s="4"/>
      <c r="Q388" s="4"/>
      <c r="R388" s="4"/>
      <c r="S388" s="4"/>
      <c r="T388" s="94"/>
      <c r="U388" s="4"/>
    </row>
    <row r="389" spans="2:21" x14ac:dyDescent="0.25">
      <c r="B389" s="95"/>
      <c r="N389"/>
      <c r="O389" s="4"/>
      <c r="P389" s="4"/>
      <c r="Q389" s="4"/>
      <c r="R389" s="4"/>
      <c r="S389" s="4"/>
      <c r="T389" s="94"/>
      <c r="U389" s="4"/>
    </row>
    <row r="390" spans="2:21" x14ac:dyDescent="0.25">
      <c r="B390" s="95"/>
      <c r="N390"/>
      <c r="O390" s="4"/>
      <c r="P390" s="4"/>
      <c r="Q390" s="4"/>
      <c r="R390" s="4"/>
      <c r="S390" s="4"/>
      <c r="T390" s="94"/>
      <c r="U390" s="4"/>
    </row>
    <row r="391" spans="2:21" x14ac:dyDescent="0.25">
      <c r="B391" s="95"/>
      <c r="N391"/>
      <c r="O391" s="4"/>
      <c r="P391" s="4"/>
      <c r="Q391" s="4"/>
      <c r="R391" s="4"/>
      <c r="S391" s="4"/>
      <c r="T391" s="94"/>
      <c r="U391" s="4"/>
    </row>
    <row r="392" spans="2:21" x14ac:dyDescent="0.25">
      <c r="B392" s="95"/>
      <c r="N392"/>
      <c r="O392" s="4"/>
      <c r="P392" s="4"/>
      <c r="Q392" s="4"/>
      <c r="R392" s="4"/>
      <c r="S392" s="4"/>
      <c r="T392" s="94"/>
      <c r="U392" s="4"/>
    </row>
    <row r="393" spans="2:21" x14ac:dyDescent="0.25">
      <c r="B393" s="95"/>
      <c r="N393"/>
      <c r="O393" s="4"/>
      <c r="P393" s="4"/>
      <c r="Q393" s="4"/>
      <c r="R393" s="4"/>
      <c r="S393" s="4"/>
      <c r="T393" s="94"/>
      <c r="U393" s="4"/>
    </row>
    <row r="394" spans="2:21" x14ac:dyDescent="0.25">
      <c r="B394" s="95"/>
      <c r="N394"/>
      <c r="O394" s="4"/>
      <c r="P394" s="4"/>
      <c r="Q394" s="4"/>
      <c r="R394" s="4"/>
      <c r="S394" s="4"/>
      <c r="T394" s="94"/>
      <c r="U394" s="4"/>
    </row>
    <row r="395" spans="2:21" x14ac:dyDescent="0.25">
      <c r="B395" s="95"/>
      <c r="N395"/>
      <c r="O395" s="4"/>
      <c r="P395" s="4"/>
      <c r="Q395" s="4"/>
      <c r="R395" s="4"/>
      <c r="S395" s="4"/>
      <c r="T395" s="94"/>
      <c r="U395" s="4"/>
    </row>
    <row r="396" spans="2:21" x14ac:dyDescent="0.25">
      <c r="B396" s="95"/>
      <c r="N396"/>
      <c r="O396" s="4"/>
      <c r="P396" s="4"/>
      <c r="Q396" s="4"/>
      <c r="R396" s="4"/>
      <c r="S396" s="4"/>
      <c r="T396" s="94"/>
      <c r="U396" s="4"/>
    </row>
    <row r="397" spans="2:21" x14ac:dyDescent="0.25">
      <c r="B397" s="95"/>
      <c r="N397"/>
      <c r="O397" s="4"/>
      <c r="P397" s="4"/>
      <c r="Q397" s="4"/>
      <c r="R397" s="4"/>
      <c r="S397" s="4"/>
      <c r="T397" s="94"/>
      <c r="U397" s="4"/>
    </row>
    <row r="398" spans="2:21" x14ac:dyDescent="0.25">
      <c r="B398" s="95"/>
      <c r="N398"/>
      <c r="O398" s="4"/>
      <c r="P398" s="4"/>
      <c r="Q398" s="4"/>
      <c r="R398" s="4"/>
      <c r="S398" s="4"/>
      <c r="T398" s="94"/>
      <c r="U398" s="4"/>
    </row>
    <row r="399" spans="2:21" x14ac:dyDescent="0.25">
      <c r="B399" s="95"/>
      <c r="N399"/>
      <c r="O399" s="4"/>
      <c r="P399" s="4"/>
      <c r="Q399" s="4"/>
      <c r="R399" s="4"/>
      <c r="S399" s="4"/>
      <c r="T399" s="94"/>
      <c r="U399" s="4"/>
    </row>
    <row r="400" spans="2:21" x14ac:dyDescent="0.25">
      <c r="B400" s="95"/>
      <c r="N400"/>
      <c r="O400" s="4"/>
      <c r="P400" s="4"/>
      <c r="Q400" s="4"/>
      <c r="R400" s="4"/>
      <c r="S400" s="4"/>
      <c r="T400" s="94"/>
      <c r="U400" s="4"/>
    </row>
    <row r="401" spans="2:21" x14ac:dyDescent="0.25">
      <c r="B401" s="95"/>
      <c r="N401"/>
      <c r="O401" s="4"/>
      <c r="P401" s="4"/>
      <c r="Q401" s="4"/>
      <c r="R401" s="4"/>
      <c r="S401" s="4"/>
      <c r="T401" s="94"/>
      <c r="U401" s="4"/>
    </row>
    <row r="402" spans="2:21" x14ac:dyDescent="0.25">
      <c r="B402" s="95"/>
      <c r="N402"/>
      <c r="O402" s="4"/>
      <c r="P402" s="4"/>
      <c r="Q402" s="4"/>
      <c r="R402" s="4"/>
      <c r="S402" s="4"/>
      <c r="T402" s="94"/>
      <c r="U402" s="4"/>
    </row>
    <row r="403" spans="2:21" x14ac:dyDescent="0.25">
      <c r="B403" s="95"/>
      <c r="N403"/>
      <c r="O403" s="4"/>
      <c r="P403" s="4"/>
      <c r="Q403" s="4"/>
      <c r="R403" s="4"/>
      <c r="S403" s="4"/>
      <c r="T403" s="94"/>
      <c r="U403" s="4"/>
    </row>
    <row r="404" spans="2:21" x14ac:dyDescent="0.25">
      <c r="B404" s="95"/>
      <c r="N404"/>
      <c r="O404" s="4"/>
      <c r="P404" s="4"/>
      <c r="Q404" s="4"/>
      <c r="R404" s="4"/>
      <c r="S404" s="4"/>
      <c r="T404" s="94"/>
      <c r="U404" s="4"/>
    </row>
    <row r="405" spans="2:21" x14ac:dyDescent="0.25">
      <c r="B405" s="95"/>
      <c r="N405"/>
      <c r="O405" s="4"/>
      <c r="P405" s="4"/>
      <c r="Q405" s="4"/>
      <c r="R405" s="4"/>
      <c r="S405" s="4"/>
      <c r="T405" s="94"/>
      <c r="U405" s="4"/>
    </row>
    <row r="406" spans="2:21" x14ac:dyDescent="0.25">
      <c r="B406" s="95"/>
      <c r="N406"/>
      <c r="O406" s="4"/>
      <c r="P406" s="4"/>
      <c r="Q406" s="4"/>
      <c r="R406" s="4"/>
      <c r="S406" s="4"/>
      <c r="T406" s="94"/>
      <c r="U406" s="4"/>
    </row>
    <row r="407" spans="2:21" x14ac:dyDescent="0.25">
      <c r="B407" s="95"/>
      <c r="N407"/>
      <c r="O407" s="4"/>
      <c r="P407" s="4"/>
      <c r="Q407" s="4"/>
      <c r="R407" s="4"/>
      <c r="S407" s="4"/>
      <c r="T407" s="94"/>
      <c r="U407" s="4"/>
    </row>
    <row r="408" spans="2:21" x14ac:dyDescent="0.25">
      <c r="B408" s="95"/>
      <c r="N408"/>
      <c r="O408" s="4"/>
      <c r="P408" s="4"/>
      <c r="Q408" s="4"/>
      <c r="R408" s="4"/>
      <c r="S408" s="4"/>
      <c r="T408" s="94"/>
      <c r="U408" s="4"/>
    </row>
    <row r="409" spans="2:21" x14ac:dyDescent="0.25">
      <c r="B409" s="95"/>
      <c r="N409"/>
      <c r="O409" s="4"/>
      <c r="P409" s="4"/>
      <c r="Q409" s="4"/>
      <c r="R409" s="4"/>
      <c r="S409" s="4"/>
      <c r="T409" s="94"/>
      <c r="U409" s="4"/>
    </row>
    <row r="410" spans="2:21" x14ac:dyDescent="0.25">
      <c r="B410" s="95"/>
      <c r="N410"/>
      <c r="O410" s="4"/>
      <c r="P410" s="4"/>
      <c r="Q410" s="4"/>
      <c r="R410" s="4"/>
      <c r="S410" s="4"/>
      <c r="T410" s="94"/>
      <c r="U410" s="4"/>
    </row>
    <row r="411" spans="2:21" x14ac:dyDescent="0.25">
      <c r="B411" s="95"/>
      <c r="N411"/>
      <c r="O411" s="4"/>
      <c r="P411" s="4"/>
      <c r="Q411" s="4"/>
      <c r="R411" s="4"/>
      <c r="S411" s="4"/>
      <c r="T411" s="94"/>
      <c r="U411" s="4"/>
    </row>
    <row r="412" spans="2:21" x14ac:dyDescent="0.25">
      <c r="B412" s="95"/>
      <c r="N412"/>
      <c r="O412" s="4"/>
      <c r="P412" s="4"/>
      <c r="Q412" s="4"/>
      <c r="R412" s="4"/>
      <c r="S412" s="4"/>
      <c r="T412" s="94"/>
      <c r="U412" s="4"/>
    </row>
    <row r="413" spans="2:21" x14ac:dyDescent="0.25">
      <c r="B413" s="95"/>
      <c r="N413"/>
      <c r="O413" s="4"/>
      <c r="P413" s="4"/>
      <c r="Q413" s="4"/>
      <c r="R413" s="4"/>
      <c r="S413" s="4"/>
      <c r="T413" s="94"/>
      <c r="U413" s="4"/>
    </row>
    <row r="414" spans="2:21" x14ac:dyDescent="0.25">
      <c r="B414" s="95"/>
      <c r="N414"/>
      <c r="O414" s="4"/>
      <c r="P414" s="4"/>
      <c r="Q414" s="4"/>
      <c r="R414" s="4"/>
      <c r="S414" s="4"/>
      <c r="T414" s="94"/>
      <c r="U414" s="4"/>
    </row>
    <row r="415" spans="2:21" x14ac:dyDescent="0.25">
      <c r="B415" s="95"/>
      <c r="N415"/>
      <c r="O415" s="4"/>
      <c r="P415" s="4"/>
      <c r="Q415" s="4"/>
      <c r="R415" s="4"/>
      <c r="S415" s="4"/>
      <c r="T415" s="94"/>
      <c r="U415" s="4"/>
    </row>
    <row r="416" spans="2:21" x14ac:dyDescent="0.25">
      <c r="B416" s="95"/>
      <c r="N416"/>
      <c r="O416" s="4"/>
      <c r="P416" s="4"/>
      <c r="Q416" s="4"/>
      <c r="R416" s="4"/>
      <c r="S416" s="4"/>
      <c r="T416" s="94"/>
      <c r="U416" s="4"/>
    </row>
    <row r="417" spans="2:21" x14ac:dyDescent="0.25">
      <c r="B417" s="95"/>
      <c r="N417"/>
      <c r="O417" s="4"/>
      <c r="P417" s="4"/>
      <c r="Q417" s="4"/>
      <c r="R417" s="4"/>
      <c r="S417" s="4"/>
      <c r="T417" s="94"/>
      <c r="U417" s="4"/>
    </row>
    <row r="418" spans="2:21" x14ac:dyDescent="0.25">
      <c r="B418" s="95"/>
      <c r="N418"/>
      <c r="O418" s="4"/>
      <c r="P418" s="4"/>
      <c r="Q418" s="4"/>
      <c r="R418" s="4"/>
      <c r="S418" s="4"/>
      <c r="T418" s="94"/>
      <c r="U418" s="4"/>
    </row>
    <row r="419" spans="2:21" x14ac:dyDescent="0.25">
      <c r="B419" s="95"/>
      <c r="N419"/>
      <c r="O419" s="4"/>
      <c r="P419" s="4"/>
      <c r="Q419" s="4"/>
      <c r="R419" s="4"/>
      <c r="S419" s="4"/>
      <c r="T419" s="94"/>
      <c r="U419" s="4"/>
    </row>
    <row r="420" spans="2:21" x14ac:dyDescent="0.25">
      <c r="B420" s="95"/>
      <c r="N420"/>
      <c r="O420" s="4"/>
      <c r="P420" s="4"/>
      <c r="Q420" s="4"/>
      <c r="R420" s="4"/>
      <c r="S420" s="4"/>
      <c r="T420" s="94"/>
      <c r="U420" s="4"/>
    </row>
    <row r="421" spans="2:21" x14ac:dyDescent="0.25">
      <c r="B421" s="95"/>
      <c r="N421"/>
      <c r="O421" s="4"/>
      <c r="P421" s="4"/>
      <c r="Q421" s="4"/>
      <c r="R421" s="4"/>
      <c r="S421" s="4"/>
      <c r="T421" s="94"/>
      <c r="U421" s="4"/>
    </row>
    <row r="422" spans="2:21" x14ac:dyDescent="0.25">
      <c r="B422" s="95"/>
      <c r="N422"/>
      <c r="O422" s="4"/>
      <c r="P422" s="4"/>
      <c r="Q422" s="4"/>
      <c r="R422" s="4"/>
      <c r="S422" s="4"/>
      <c r="T422" s="94"/>
      <c r="U422" s="4"/>
    </row>
    <row r="423" spans="2:21" x14ac:dyDescent="0.25">
      <c r="B423" s="95"/>
      <c r="N423"/>
      <c r="O423" s="4"/>
      <c r="P423" s="4"/>
      <c r="Q423" s="4"/>
      <c r="R423" s="4"/>
      <c r="S423" s="4"/>
      <c r="T423" s="94"/>
      <c r="U423" s="4"/>
    </row>
    <row r="424" spans="2:21" x14ac:dyDescent="0.25">
      <c r="B424" s="95"/>
      <c r="N424"/>
      <c r="O424" s="4"/>
      <c r="P424" s="4"/>
      <c r="Q424" s="4"/>
      <c r="R424" s="4"/>
      <c r="S424" s="4"/>
      <c r="T424" s="94"/>
      <c r="U424" s="4"/>
    </row>
    <row r="425" spans="2:21" x14ac:dyDescent="0.25">
      <c r="B425" s="95"/>
      <c r="N425"/>
      <c r="O425" s="4"/>
      <c r="P425" s="4"/>
      <c r="Q425" s="4"/>
      <c r="R425" s="4"/>
      <c r="S425" s="4"/>
      <c r="T425" s="94"/>
      <c r="U425" s="4"/>
    </row>
    <row r="426" spans="2:21" x14ac:dyDescent="0.25">
      <c r="B426" s="95"/>
      <c r="N426"/>
      <c r="O426" s="4"/>
      <c r="P426" s="4"/>
      <c r="Q426" s="4"/>
      <c r="R426" s="4"/>
      <c r="S426" s="4"/>
      <c r="T426" s="94"/>
      <c r="U426" s="4"/>
    </row>
    <row r="427" spans="2:21" x14ac:dyDescent="0.25">
      <c r="B427" s="95"/>
      <c r="N427"/>
      <c r="O427" s="4"/>
      <c r="P427" s="4"/>
      <c r="Q427" s="4"/>
      <c r="R427" s="4"/>
      <c r="S427" s="4"/>
      <c r="T427" s="94"/>
      <c r="U427" s="4"/>
    </row>
    <row r="428" spans="2:21" x14ac:dyDescent="0.25">
      <c r="B428" s="95"/>
      <c r="N428"/>
      <c r="O428" s="4"/>
      <c r="P428" s="4"/>
      <c r="Q428" s="4"/>
      <c r="R428" s="4"/>
      <c r="S428" s="4"/>
      <c r="T428" s="94"/>
      <c r="U428" s="4"/>
    </row>
    <row r="429" spans="2:21" x14ac:dyDescent="0.25">
      <c r="B429" s="95"/>
      <c r="N429"/>
      <c r="O429" s="4"/>
      <c r="P429" s="4"/>
      <c r="Q429" s="4"/>
      <c r="R429" s="4"/>
      <c r="S429" s="4"/>
      <c r="T429" s="94"/>
      <c r="U429" s="4"/>
    </row>
    <row r="430" spans="2:21" x14ac:dyDescent="0.25">
      <c r="B430" s="95"/>
      <c r="N430"/>
      <c r="O430" s="4"/>
      <c r="P430" s="4"/>
      <c r="Q430" s="4"/>
      <c r="R430" s="4"/>
      <c r="S430" s="4"/>
      <c r="T430" s="94"/>
      <c r="U430" s="4"/>
    </row>
    <row r="431" spans="2:21" x14ac:dyDescent="0.25">
      <c r="B431" s="95"/>
      <c r="N431"/>
      <c r="O431" s="4"/>
      <c r="P431" s="4"/>
      <c r="Q431" s="4"/>
      <c r="R431" s="4"/>
      <c r="S431" s="4"/>
      <c r="T431" s="94"/>
      <c r="U431" s="4"/>
    </row>
    <row r="432" spans="2:21" x14ac:dyDescent="0.25">
      <c r="B432" s="95"/>
      <c r="N432"/>
      <c r="O432" s="4"/>
      <c r="P432" s="4"/>
      <c r="Q432" s="4"/>
      <c r="R432" s="4"/>
      <c r="S432" s="4"/>
      <c r="T432" s="94"/>
      <c r="U432" s="4"/>
    </row>
    <row r="433" spans="2:21" x14ac:dyDescent="0.25">
      <c r="B433" s="95"/>
      <c r="N433"/>
      <c r="O433" s="4"/>
      <c r="P433" s="4"/>
      <c r="Q433" s="4"/>
      <c r="R433" s="4"/>
      <c r="S433" s="4"/>
      <c r="T433" s="94"/>
      <c r="U433" s="4"/>
    </row>
    <row r="434" spans="2:21" x14ac:dyDescent="0.25">
      <c r="B434" s="95"/>
      <c r="N434"/>
      <c r="O434" s="4"/>
      <c r="P434" s="4"/>
      <c r="Q434" s="4"/>
      <c r="R434" s="4"/>
      <c r="S434" s="4"/>
      <c r="T434" s="94"/>
      <c r="U434" s="4"/>
    </row>
    <row r="435" spans="2:21" x14ac:dyDescent="0.25">
      <c r="B435" s="95"/>
      <c r="N435"/>
      <c r="O435" s="4"/>
      <c r="P435" s="4"/>
      <c r="Q435" s="4"/>
      <c r="R435" s="4"/>
      <c r="S435" s="4"/>
      <c r="T435" s="94"/>
      <c r="U435" s="4"/>
    </row>
    <row r="436" spans="2:21" x14ac:dyDescent="0.25">
      <c r="B436" s="95"/>
      <c r="N436"/>
      <c r="O436" s="4"/>
      <c r="P436" s="4"/>
      <c r="Q436" s="4"/>
      <c r="R436" s="4"/>
      <c r="S436" s="4"/>
      <c r="T436" s="94"/>
      <c r="U436" s="4"/>
    </row>
    <row r="437" spans="2:21" x14ac:dyDescent="0.25">
      <c r="B437" s="95"/>
      <c r="N437"/>
      <c r="O437" s="4"/>
      <c r="P437" s="4"/>
      <c r="Q437" s="4"/>
      <c r="R437" s="4"/>
      <c r="S437" s="4"/>
      <c r="T437" s="94"/>
      <c r="U437" s="4"/>
    </row>
    <row r="438" spans="2:21" x14ac:dyDescent="0.25">
      <c r="B438" s="95"/>
      <c r="N438"/>
      <c r="O438" s="4"/>
      <c r="P438" s="4"/>
      <c r="Q438" s="4"/>
      <c r="R438" s="4"/>
      <c r="S438" s="4"/>
      <c r="T438" s="94"/>
      <c r="U438" s="4"/>
    </row>
    <row r="439" spans="2:21" x14ac:dyDescent="0.25">
      <c r="B439" s="95"/>
      <c r="N439"/>
      <c r="O439" s="4"/>
      <c r="P439" s="4"/>
      <c r="Q439" s="4"/>
      <c r="R439" s="4"/>
      <c r="S439" s="4"/>
      <c r="T439" s="94"/>
      <c r="U439" s="4"/>
    </row>
    <row r="440" spans="2:21" x14ac:dyDescent="0.25">
      <c r="B440" s="95"/>
      <c r="N440"/>
      <c r="O440" s="4"/>
      <c r="P440" s="4"/>
      <c r="Q440" s="4"/>
      <c r="R440" s="4"/>
      <c r="S440" s="4"/>
      <c r="T440" s="94"/>
      <c r="U440" s="4"/>
    </row>
    <row r="441" spans="2:21" x14ac:dyDescent="0.25">
      <c r="B441" s="95"/>
      <c r="N441"/>
      <c r="O441" s="4"/>
      <c r="P441" s="4"/>
      <c r="Q441" s="4"/>
      <c r="R441" s="4"/>
      <c r="S441" s="4"/>
      <c r="T441" s="94"/>
      <c r="U441" s="4"/>
    </row>
    <row r="442" spans="2:21" x14ac:dyDescent="0.25">
      <c r="B442" s="95"/>
      <c r="N442"/>
      <c r="O442" s="4"/>
      <c r="P442" s="4"/>
      <c r="Q442" s="4"/>
      <c r="R442" s="4"/>
      <c r="S442" s="4"/>
      <c r="T442" s="94"/>
      <c r="U442" s="4"/>
    </row>
    <row r="443" spans="2:21" x14ac:dyDescent="0.25">
      <c r="B443" s="95"/>
      <c r="N443"/>
      <c r="O443" s="4"/>
      <c r="P443" s="4"/>
      <c r="Q443" s="4"/>
      <c r="R443" s="4"/>
      <c r="S443" s="4"/>
      <c r="T443" s="94"/>
      <c r="U443" s="4"/>
    </row>
    <row r="444" spans="2:21" x14ac:dyDescent="0.25">
      <c r="B444" s="95"/>
      <c r="N444"/>
      <c r="O444" s="4"/>
      <c r="P444" s="4"/>
      <c r="Q444" s="4"/>
      <c r="R444" s="4"/>
      <c r="S444" s="4"/>
      <c r="T444" s="94"/>
      <c r="U444" s="4"/>
    </row>
    <row r="445" spans="2:21" x14ac:dyDescent="0.25">
      <c r="B445" s="95"/>
      <c r="N445"/>
      <c r="O445" s="4"/>
      <c r="P445" s="4"/>
      <c r="Q445" s="4"/>
      <c r="R445" s="4"/>
      <c r="S445" s="4"/>
      <c r="T445" s="94"/>
      <c r="U445" s="4"/>
    </row>
    <row r="446" spans="2:21" x14ac:dyDescent="0.25">
      <c r="B446" s="95"/>
      <c r="N446"/>
      <c r="O446" s="4"/>
      <c r="P446" s="4"/>
      <c r="Q446" s="4"/>
      <c r="R446" s="4"/>
      <c r="S446" s="4"/>
      <c r="T446" s="94"/>
      <c r="U446" s="4"/>
    </row>
    <row r="447" spans="2:21" x14ac:dyDescent="0.25">
      <c r="B447" s="95"/>
      <c r="N447"/>
      <c r="O447" s="4"/>
      <c r="P447" s="4"/>
      <c r="Q447" s="4"/>
      <c r="R447" s="4"/>
      <c r="S447" s="4"/>
      <c r="T447" s="94"/>
      <c r="U447" s="4"/>
    </row>
    <row r="448" spans="2:21" x14ac:dyDescent="0.25">
      <c r="B448" s="95"/>
      <c r="N448"/>
      <c r="O448" s="4"/>
      <c r="P448" s="4"/>
      <c r="Q448" s="4"/>
      <c r="R448" s="4"/>
      <c r="S448" s="4"/>
      <c r="T448" s="94"/>
      <c r="U448" s="4"/>
    </row>
    <row r="449" spans="2:21" x14ac:dyDescent="0.25">
      <c r="B449" s="95"/>
      <c r="N449"/>
      <c r="O449" s="4"/>
      <c r="P449" s="4"/>
      <c r="Q449" s="4"/>
      <c r="R449" s="4"/>
      <c r="S449" s="4"/>
      <c r="T449" s="94"/>
      <c r="U449" s="4"/>
    </row>
    <row r="450" spans="2:21" x14ac:dyDescent="0.25">
      <c r="B450" s="95"/>
      <c r="N450"/>
      <c r="O450" s="4"/>
      <c r="P450" s="4"/>
      <c r="Q450" s="4"/>
      <c r="R450" s="4"/>
      <c r="S450" s="4"/>
      <c r="T450" s="94"/>
      <c r="U450" s="4"/>
    </row>
    <row r="451" spans="2:21" x14ac:dyDescent="0.25">
      <c r="B451" s="95"/>
      <c r="N451"/>
      <c r="O451" s="4"/>
      <c r="P451" s="4"/>
      <c r="Q451" s="4"/>
      <c r="R451" s="4"/>
      <c r="S451" s="4"/>
      <c r="T451" s="94"/>
      <c r="U451" s="4"/>
    </row>
    <row r="452" spans="2:21" x14ac:dyDescent="0.25">
      <c r="B452" s="95"/>
      <c r="N452"/>
      <c r="O452" s="4"/>
      <c r="P452" s="4"/>
      <c r="Q452" s="4"/>
      <c r="R452" s="4"/>
      <c r="S452" s="4"/>
      <c r="T452" s="94"/>
      <c r="U452" s="4"/>
    </row>
    <row r="453" spans="2:21" x14ac:dyDescent="0.25">
      <c r="B453" s="95"/>
      <c r="N453"/>
      <c r="O453" s="4"/>
      <c r="P453" s="4"/>
      <c r="Q453" s="4"/>
      <c r="R453" s="4"/>
      <c r="S453" s="4"/>
      <c r="T453" s="94"/>
      <c r="U453" s="4"/>
    </row>
    <row r="454" spans="2:21" x14ac:dyDescent="0.25">
      <c r="B454" s="95"/>
      <c r="N454"/>
      <c r="O454" s="4"/>
      <c r="P454" s="4"/>
      <c r="Q454" s="4"/>
      <c r="R454" s="4"/>
      <c r="S454" s="4"/>
      <c r="T454" s="94"/>
      <c r="U454" s="4"/>
    </row>
    <row r="455" spans="2:21" x14ac:dyDescent="0.25">
      <c r="B455" s="95"/>
      <c r="N455"/>
      <c r="O455" s="4"/>
      <c r="P455" s="4"/>
      <c r="Q455" s="4"/>
      <c r="R455" s="4"/>
      <c r="S455" s="4"/>
      <c r="T455" s="94"/>
      <c r="U455" s="4"/>
    </row>
    <row r="456" spans="2:21" x14ac:dyDescent="0.25">
      <c r="B456" s="95"/>
      <c r="N456"/>
      <c r="O456" s="4"/>
      <c r="P456" s="4"/>
      <c r="Q456" s="4"/>
      <c r="R456" s="4"/>
      <c r="S456" s="4"/>
      <c r="T456" s="94"/>
      <c r="U456" s="4"/>
    </row>
    <row r="457" spans="2:21" x14ac:dyDescent="0.25">
      <c r="B457" s="95"/>
      <c r="N457"/>
      <c r="O457" s="4"/>
      <c r="P457" s="4"/>
      <c r="Q457" s="4"/>
      <c r="R457" s="4"/>
      <c r="S457" s="4"/>
      <c r="T457" s="94"/>
      <c r="U457" s="4"/>
    </row>
    <row r="458" spans="2:21" x14ac:dyDescent="0.25">
      <c r="B458" s="95"/>
      <c r="N458"/>
      <c r="O458" s="4"/>
      <c r="P458" s="4"/>
      <c r="Q458" s="4"/>
      <c r="R458" s="4"/>
      <c r="S458" s="4"/>
      <c r="T458" s="94"/>
      <c r="U458" s="4"/>
    </row>
    <row r="459" spans="2:21" x14ac:dyDescent="0.25">
      <c r="B459" s="95"/>
      <c r="N459"/>
      <c r="O459" s="4"/>
      <c r="P459" s="4"/>
      <c r="Q459" s="4"/>
      <c r="R459" s="4"/>
      <c r="S459" s="4"/>
      <c r="T459" s="94"/>
      <c r="U459" s="4"/>
    </row>
    <row r="460" spans="2:21" x14ac:dyDescent="0.25">
      <c r="B460" s="95"/>
      <c r="N460"/>
      <c r="O460" s="4"/>
      <c r="P460" s="4"/>
      <c r="Q460" s="4"/>
      <c r="R460" s="4"/>
      <c r="S460" s="4"/>
      <c r="T460" s="94"/>
      <c r="U460" s="4"/>
    </row>
    <row r="461" spans="2:21" x14ac:dyDescent="0.25">
      <c r="B461" s="95"/>
      <c r="N461"/>
      <c r="O461" s="4"/>
      <c r="P461" s="4"/>
      <c r="Q461" s="4"/>
      <c r="R461" s="4"/>
      <c r="S461" s="4"/>
      <c r="T461" s="94"/>
      <c r="U461" s="4"/>
    </row>
    <row r="462" spans="2:21" x14ac:dyDescent="0.25">
      <c r="B462" s="95"/>
      <c r="N462"/>
      <c r="O462" s="4"/>
      <c r="P462" s="4"/>
      <c r="Q462" s="4"/>
      <c r="R462" s="4"/>
      <c r="S462" s="4"/>
      <c r="T462" s="94"/>
      <c r="U462" s="4"/>
    </row>
    <row r="463" spans="2:21" x14ac:dyDescent="0.25">
      <c r="B463" s="95"/>
      <c r="N463"/>
      <c r="O463" s="4"/>
      <c r="P463" s="4"/>
      <c r="Q463" s="4"/>
      <c r="R463" s="4"/>
      <c r="S463" s="4"/>
      <c r="T463" s="94"/>
      <c r="U463" s="4"/>
    </row>
    <row r="464" spans="2:21" x14ac:dyDescent="0.25">
      <c r="B464" s="95"/>
      <c r="N464"/>
      <c r="O464" s="4"/>
      <c r="P464" s="4"/>
      <c r="Q464" s="4"/>
      <c r="R464" s="4"/>
      <c r="S464" s="4"/>
      <c r="T464" s="94"/>
      <c r="U464" s="4"/>
    </row>
    <row r="465" spans="2:21" x14ac:dyDescent="0.25">
      <c r="B465" s="95"/>
      <c r="N465"/>
      <c r="O465" s="4"/>
      <c r="P465" s="4"/>
      <c r="Q465" s="4"/>
      <c r="R465" s="4"/>
      <c r="S465" s="4"/>
      <c r="T465" s="94"/>
      <c r="U465" s="4"/>
    </row>
    <row r="466" spans="2:21" x14ac:dyDescent="0.25">
      <c r="B466" s="95"/>
      <c r="N466"/>
      <c r="O466" s="4"/>
      <c r="P466" s="4"/>
      <c r="Q466" s="4"/>
      <c r="R466" s="4"/>
      <c r="S466" s="4"/>
      <c r="T466" s="94"/>
      <c r="U466" s="4"/>
    </row>
    <row r="467" spans="2:21" x14ac:dyDescent="0.25">
      <c r="B467" s="95"/>
      <c r="N467"/>
      <c r="O467" s="4"/>
      <c r="P467" s="4"/>
      <c r="Q467" s="4"/>
      <c r="R467" s="4"/>
      <c r="S467" s="4"/>
      <c r="T467" s="94"/>
      <c r="U467" s="4"/>
    </row>
    <row r="468" spans="2:21" x14ac:dyDescent="0.25">
      <c r="B468" s="95"/>
      <c r="N468"/>
      <c r="O468" s="4"/>
      <c r="P468" s="4"/>
      <c r="Q468" s="4"/>
      <c r="R468" s="4"/>
      <c r="S468" s="4"/>
      <c r="T468" s="94"/>
      <c r="U468" s="4"/>
    </row>
    <row r="469" spans="2:21" x14ac:dyDescent="0.25">
      <c r="B469" s="95"/>
      <c r="N469"/>
      <c r="O469" s="4"/>
      <c r="P469" s="4"/>
      <c r="Q469" s="4"/>
      <c r="R469" s="4"/>
      <c r="S469" s="4"/>
      <c r="T469" s="94"/>
      <c r="U469" s="4"/>
    </row>
    <row r="470" spans="2:21" x14ac:dyDescent="0.25">
      <c r="B470" s="95"/>
      <c r="N470"/>
      <c r="O470" s="4"/>
      <c r="P470" s="4"/>
      <c r="Q470" s="4"/>
      <c r="R470" s="4"/>
      <c r="S470" s="4"/>
      <c r="T470" s="94"/>
      <c r="U470" s="4"/>
    </row>
    <row r="471" spans="2:21" x14ac:dyDescent="0.25">
      <c r="B471" s="95"/>
      <c r="N471"/>
      <c r="O471" s="4"/>
      <c r="P471" s="4"/>
      <c r="Q471" s="4"/>
      <c r="R471" s="4"/>
      <c r="S471" s="4"/>
      <c r="T471" s="94"/>
      <c r="U471" s="4"/>
    </row>
    <row r="472" spans="2:21" x14ac:dyDescent="0.25">
      <c r="B472" s="95"/>
      <c r="N472"/>
      <c r="O472" s="4"/>
      <c r="P472" s="4"/>
      <c r="Q472" s="4"/>
      <c r="R472" s="4"/>
      <c r="S472" s="4"/>
      <c r="T472" s="94"/>
      <c r="U472" s="4"/>
    </row>
    <row r="473" spans="2:21" x14ac:dyDescent="0.25">
      <c r="B473" s="95"/>
      <c r="N473"/>
      <c r="O473" s="4"/>
      <c r="P473" s="4"/>
      <c r="Q473" s="4"/>
      <c r="R473" s="4"/>
      <c r="S473" s="4"/>
      <c r="T473" s="94"/>
      <c r="U473" s="4"/>
    </row>
    <row r="474" spans="2:21" x14ac:dyDescent="0.25">
      <c r="B474" s="95"/>
      <c r="N474"/>
      <c r="O474" s="4"/>
      <c r="P474" s="4"/>
      <c r="Q474" s="4"/>
      <c r="R474" s="4"/>
      <c r="S474" s="4"/>
      <c r="T474" s="94"/>
      <c r="U474" s="4"/>
    </row>
    <row r="475" spans="2:21" x14ac:dyDescent="0.25">
      <c r="B475" s="95"/>
      <c r="N475"/>
      <c r="O475" s="4"/>
      <c r="P475" s="4"/>
      <c r="Q475" s="4"/>
      <c r="R475" s="4"/>
      <c r="S475" s="4"/>
      <c r="T475" s="94"/>
      <c r="U475" s="4"/>
    </row>
    <row r="476" spans="2:21" x14ac:dyDescent="0.25">
      <c r="B476" s="95"/>
      <c r="N476"/>
      <c r="O476" s="4"/>
      <c r="P476" s="4"/>
      <c r="Q476" s="4"/>
      <c r="R476" s="4"/>
      <c r="S476" s="4"/>
      <c r="T476" s="94"/>
      <c r="U476" s="4"/>
    </row>
    <row r="477" spans="2:21" x14ac:dyDescent="0.25">
      <c r="B477" s="95"/>
      <c r="N477"/>
      <c r="O477" s="4"/>
      <c r="P477" s="4"/>
      <c r="Q477" s="4"/>
      <c r="R477" s="4"/>
      <c r="S477" s="4"/>
      <c r="T477" s="94"/>
      <c r="U477" s="4"/>
    </row>
    <row r="478" spans="2:21" x14ac:dyDescent="0.25">
      <c r="B478" s="95"/>
      <c r="N478"/>
      <c r="O478" s="4"/>
      <c r="P478" s="4"/>
      <c r="Q478" s="4"/>
      <c r="R478" s="4"/>
      <c r="S478" s="4"/>
      <c r="T478" s="94"/>
      <c r="U478" s="4"/>
    </row>
    <row r="479" spans="2:21" x14ac:dyDescent="0.25">
      <c r="B479" s="95"/>
      <c r="N479"/>
      <c r="O479" s="4"/>
      <c r="P479" s="4"/>
      <c r="Q479" s="4"/>
      <c r="R479" s="4"/>
      <c r="S479" s="4"/>
      <c r="T479" s="94"/>
      <c r="U479" s="4"/>
    </row>
    <row r="480" spans="2:21" x14ac:dyDescent="0.25">
      <c r="B480" s="95"/>
      <c r="N480"/>
      <c r="O480" s="4"/>
      <c r="P480" s="4"/>
      <c r="Q480" s="4"/>
      <c r="R480" s="4"/>
      <c r="S480" s="4"/>
      <c r="T480" s="94"/>
      <c r="U480" s="4"/>
    </row>
    <row r="481" spans="2:21" x14ac:dyDescent="0.25">
      <c r="B481" s="95"/>
      <c r="N481"/>
      <c r="O481" s="4"/>
      <c r="P481" s="4"/>
      <c r="Q481" s="4"/>
      <c r="R481" s="4"/>
      <c r="S481" s="4"/>
      <c r="T481" s="94"/>
      <c r="U481" s="4"/>
    </row>
    <row r="482" spans="2:21" x14ac:dyDescent="0.25">
      <c r="B482" s="95"/>
      <c r="N482"/>
      <c r="O482" s="4"/>
      <c r="P482" s="4"/>
      <c r="Q482" s="4"/>
      <c r="R482" s="4"/>
      <c r="S482" s="4"/>
      <c r="T482" s="94"/>
      <c r="U482" s="4"/>
    </row>
    <row r="483" spans="2:21" x14ac:dyDescent="0.25">
      <c r="B483" s="95"/>
      <c r="N483"/>
      <c r="O483" s="4"/>
      <c r="P483" s="4"/>
      <c r="Q483" s="4"/>
      <c r="R483" s="4"/>
      <c r="S483" s="4"/>
      <c r="T483" s="94"/>
      <c r="U483" s="4"/>
    </row>
    <row r="484" spans="2:21" x14ac:dyDescent="0.25">
      <c r="B484" s="95"/>
      <c r="N484"/>
      <c r="O484" s="4"/>
      <c r="P484" s="4"/>
      <c r="Q484" s="4"/>
      <c r="R484" s="4"/>
      <c r="S484" s="4"/>
      <c r="T484" s="94"/>
      <c r="U484" s="4"/>
    </row>
    <row r="485" spans="2:21" x14ac:dyDescent="0.25">
      <c r="B485" s="95"/>
      <c r="N485"/>
      <c r="O485" s="4"/>
      <c r="P485" s="4"/>
      <c r="Q485" s="4"/>
      <c r="R485" s="4"/>
      <c r="S485" s="4"/>
      <c r="T485" s="94"/>
      <c r="U485" s="4"/>
    </row>
    <row r="486" spans="2:21" x14ac:dyDescent="0.25">
      <c r="B486" s="95"/>
      <c r="N486"/>
      <c r="O486" s="4"/>
      <c r="P486" s="4"/>
      <c r="Q486" s="4"/>
      <c r="R486" s="4"/>
      <c r="S486" s="4"/>
      <c r="T486" s="94"/>
      <c r="U486" s="4"/>
    </row>
    <row r="487" spans="2:21" x14ac:dyDescent="0.25">
      <c r="B487" s="95"/>
      <c r="N487"/>
      <c r="O487" s="4"/>
      <c r="P487" s="4"/>
      <c r="Q487" s="4"/>
      <c r="R487" s="4"/>
      <c r="S487" s="4"/>
      <c r="T487" s="94"/>
      <c r="U487" s="4"/>
    </row>
    <row r="488" spans="2:21" x14ac:dyDescent="0.25">
      <c r="B488" s="95"/>
      <c r="N488"/>
      <c r="O488" s="4"/>
      <c r="P488" s="4"/>
      <c r="Q488" s="4"/>
      <c r="R488" s="4"/>
      <c r="S488" s="4"/>
      <c r="T488" s="94"/>
      <c r="U488" s="4"/>
    </row>
    <row r="489" spans="2:21" x14ac:dyDescent="0.25">
      <c r="B489" s="95"/>
      <c r="N489"/>
      <c r="O489" s="4"/>
      <c r="P489" s="4"/>
      <c r="Q489" s="4"/>
      <c r="R489" s="4"/>
      <c r="S489" s="4"/>
      <c r="T489" s="94"/>
      <c r="U489" s="4"/>
    </row>
    <row r="490" spans="2:21" x14ac:dyDescent="0.25">
      <c r="B490" s="95"/>
      <c r="N490"/>
      <c r="O490" s="4"/>
      <c r="P490" s="4"/>
      <c r="Q490" s="4"/>
      <c r="R490" s="4"/>
      <c r="S490" s="4"/>
      <c r="T490" s="94"/>
      <c r="U490" s="4"/>
    </row>
    <row r="491" spans="2:21" x14ac:dyDescent="0.25">
      <c r="B491" s="95"/>
      <c r="N491"/>
      <c r="O491" s="4"/>
      <c r="P491" s="4"/>
      <c r="Q491" s="4"/>
      <c r="R491" s="4"/>
      <c r="S491" s="4"/>
      <c r="T491" s="94"/>
      <c r="U491" s="4"/>
    </row>
    <row r="492" spans="2:21" x14ac:dyDescent="0.25">
      <c r="B492" s="95"/>
      <c r="N492"/>
      <c r="O492" s="4"/>
      <c r="P492" s="4"/>
      <c r="Q492" s="4"/>
      <c r="R492" s="4"/>
      <c r="S492" s="4"/>
      <c r="T492" s="94"/>
      <c r="U492" s="4"/>
    </row>
    <row r="493" spans="2:21" x14ac:dyDescent="0.25">
      <c r="B493" s="95"/>
      <c r="N493"/>
      <c r="O493" s="4"/>
      <c r="P493" s="4"/>
      <c r="Q493" s="4"/>
      <c r="R493" s="4"/>
      <c r="S493" s="4"/>
      <c r="T493" s="94"/>
      <c r="U493" s="4"/>
    </row>
    <row r="494" spans="2:21" x14ac:dyDescent="0.25">
      <c r="B494" s="95"/>
      <c r="N494"/>
      <c r="O494" s="4"/>
      <c r="P494" s="4"/>
      <c r="Q494" s="4"/>
      <c r="R494" s="4"/>
      <c r="S494" s="4"/>
      <c r="T494" s="94"/>
      <c r="U494" s="4"/>
    </row>
    <row r="495" spans="2:21" x14ac:dyDescent="0.25">
      <c r="B495" s="95"/>
      <c r="N495"/>
      <c r="O495" s="4"/>
      <c r="P495" s="4"/>
      <c r="Q495" s="4"/>
      <c r="R495" s="4"/>
      <c r="S495" s="4"/>
      <c r="T495" s="94"/>
      <c r="U495" s="4"/>
    </row>
    <row r="496" spans="2:21" x14ac:dyDescent="0.25">
      <c r="B496" s="95"/>
      <c r="N496"/>
      <c r="O496" s="4"/>
      <c r="P496" s="4"/>
      <c r="Q496" s="4"/>
      <c r="R496" s="4"/>
      <c r="S496" s="4"/>
      <c r="T496" s="94"/>
      <c r="U496" s="4"/>
    </row>
    <row r="497" spans="2:21" x14ac:dyDescent="0.25">
      <c r="B497" s="95"/>
      <c r="N497"/>
      <c r="O497" s="4"/>
      <c r="P497" s="4"/>
      <c r="Q497" s="4"/>
      <c r="R497" s="4"/>
      <c r="S497" s="4"/>
      <c r="T497" s="94"/>
      <c r="U497" s="4"/>
    </row>
    <row r="498" spans="2:21" x14ac:dyDescent="0.25">
      <c r="B498" s="95"/>
      <c r="N498"/>
      <c r="O498" s="4"/>
      <c r="P498" s="4"/>
      <c r="Q498" s="4"/>
      <c r="R498" s="4"/>
      <c r="S498" s="4"/>
      <c r="T498" s="94"/>
      <c r="U498" s="4"/>
    </row>
    <row r="499" spans="2:21" x14ac:dyDescent="0.25">
      <c r="B499" s="95"/>
      <c r="N499"/>
      <c r="O499" s="4"/>
      <c r="P499" s="4"/>
      <c r="Q499" s="4"/>
      <c r="R499" s="4"/>
      <c r="S499" s="4"/>
      <c r="T499" s="94"/>
      <c r="U499" s="4"/>
    </row>
    <row r="500" spans="2:21" x14ac:dyDescent="0.25">
      <c r="B500" s="95"/>
      <c r="N500"/>
      <c r="O500" s="4"/>
      <c r="P500" s="4"/>
      <c r="Q500" s="4"/>
      <c r="R500" s="4"/>
      <c r="S500" s="4"/>
      <c r="T500" s="94"/>
      <c r="U500" s="4"/>
    </row>
    <row r="501" spans="2:21" x14ac:dyDescent="0.25">
      <c r="B501" s="95"/>
      <c r="N501"/>
      <c r="O501" s="4"/>
      <c r="P501" s="4"/>
      <c r="Q501" s="4"/>
      <c r="R501" s="4"/>
      <c r="S501" s="4"/>
      <c r="T501" s="94"/>
      <c r="U501" s="4"/>
    </row>
    <row r="502" spans="2:21" x14ac:dyDescent="0.25">
      <c r="B502" s="95"/>
      <c r="N502"/>
      <c r="O502" s="4"/>
      <c r="P502" s="4"/>
      <c r="Q502" s="4"/>
      <c r="R502" s="4"/>
      <c r="S502" s="4"/>
      <c r="T502" s="94"/>
      <c r="U502" s="4"/>
    </row>
    <row r="503" spans="2:21" x14ac:dyDescent="0.25">
      <c r="B503" s="95"/>
      <c r="N503"/>
      <c r="O503" s="4"/>
      <c r="P503" s="4"/>
      <c r="Q503" s="4"/>
      <c r="R503" s="4"/>
      <c r="S503" s="4"/>
      <c r="T503" s="94"/>
      <c r="U503" s="4"/>
    </row>
    <row r="504" spans="2:21" x14ac:dyDescent="0.25">
      <c r="B504" s="95"/>
      <c r="N504"/>
      <c r="O504" s="4"/>
      <c r="P504" s="4"/>
      <c r="Q504" s="4"/>
      <c r="R504" s="4"/>
      <c r="S504" s="4"/>
      <c r="T504" s="94"/>
      <c r="U504" s="4"/>
    </row>
    <row r="505" spans="2:21" x14ac:dyDescent="0.25">
      <c r="B505" s="95"/>
      <c r="N505"/>
      <c r="O505" s="4"/>
      <c r="P505" s="4"/>
      <c r="Q505" s="4"/>
      <c r="R505" s="4"/>
      <c r="S505" s="4"/>
      <c r="T505" s="94"/>
      <c r="U505" s="4"/>
    </row>
    <row r="506" spans="2:21" x14ac:dyDescent="0.25">
      <c r="B506" s="95"/>
      <c r="N506"/>
      <c r="O506" s="4"/>
      <c r="P506" s="4"/>
      <c r="Q506" s="4"/>
      <c r="R506" s="4"/>
      <c r="S506" s="4"/>
      <c r="T506" s="94"/>
      <c r="U506" s="4"/>
    </row>
    <row r="507" spans="2:21" x14ac:dyDescent="0.25">
      <c r="B507" s="95"/>
      <c r="N507"/>
      <c r="O507" s="4"/>
      <c r="P507" s="4"/>
      <c r="Q507" s="4"/>
      <c r="R507" s="4"/>
      <c r="S507" s="4"/>
      <c r="T507" s="94"/>
      <c r="U507" s="4"/>
    </row>
    <row r="508" spans="2:21" x14ac:dyDescent="0.25">
      <c r="B508" s="95"/>
      <c r="N508"/>
      <c r="O508" s="4"/>
      <c r="P508" s="4"/>
      <c r="Q508" s="4"/>
      <c r="R508" s="4"/>
      <c r="S508" s="4"/>
      <c r="T508" s="94"/>
      <c r="U508" s="4"/>
    </row>
    <row r="509" spans="2:21" x14ac:dyDescent="0.25">
      <c r="B509" s="95"/>
      <c r="N509"/>
      <c r="O509" s="4"/>
      <c r="P509" s="4"/>
      <c r="Q509" s="4"/>
      <c r="R509" s="4"/>
      <c r="S509" s="4"/>
      <c r="T509" s="94"/>
      <c r="U509" s="4"/>
    </row>
    <row r="510" spans="2:21" x14ac:dyDescent="0.25">
      <c r="B510" s="95"/>
      <c r="N510"/>
      <c r="O510" s="4"/>
      <c r="P510" s="4"/>
      <c r="Q510" s="4"/>
      <c r="R510" s="4"/>
      <c r="S510" s="4"/>
      <c r="T510" s="94"/>
      <c r="U510" s="4"/>
    </row>
    <row r="511" spans="2:21" x14ac:dyDescent="0.25">
      <c r="B511" s="95"/>
      <c r="N511"/>
      <c r="O511" s="4"/>
      <c r="P511" s="4"/>
      <c r="Q511" s="4"/>
      <c r="R511" s="4"/>
      <c r="S511" s="4"/>
      <c r="T511" s="94"/>
      <c r="U511" s="4"/>
    </row>
    <row r="512" spans="2:21" x14ac:dyDescent="0.25">
      <c r="B512" s="95"/>
      <c r="N512"/>
      <c r="O512" s="4"/>
      <c r="P512" s="4"/>
      <c r="Q512" s="4"/>
      <c r="R512" s="4"/>
      <c r="S512" s="4"/>
      <c r="T512" s="94"/>
      <c r="U512" s="4"/>
    </row>
    <row r="513" spans="2:21" x14ac:dyDescent="0.25">
      <c r="B513" s="95"/>
      <c r="N513"/>
      <c r="O513" s="4"/>
      <c r="P513" s="4"/>
      <c r="Q513" s="4"/>
      <c r="R513" s="4"/>
      <c r="S513" s="4"/>
      <c r="T513" s="94"/>
      <c r="U513" s="4"/>
    </row>
    <row r="514" spans="2:21" x14ac:dyDescent="0.25">
      <c r="B514" s="95"/>
      <c r="N514"/>
      <c r="O514" s="4"/>
      <c r="P514" s="4"/>
      <c r="Q514" s="4"/>
      <c r="R514" s="4"/>
      <c r="S514" s="4"/>
      <c r="T514" s="94"/>
      <c r="U514" s="4"/>
    </row>
    <row r="515" spans="2:21" x14ac:dyDescent="0.25">
      <c r="B515" s="95"/>
      <c r="N515"/>
      <c r="O515" s="4"/>
      <c r="P515" s="4"/>
      <c r="Q515" s="4"/>
      <c r="R515" s="4"/>
      <c r="S515" s="4"/>
      <c r="T515" s="94"/>
      <c r="U515" s="4"/>
    </row>
    <row r="516" spans="2:21" x14ac:dyDescent="0.25">
      <c r="B516" s="95"/>
      <c r="N516"/>
      <c r="O516" s="4"/>
      <c r="P516" s="4"/>
      <c r="Q516" s="4"/>
      <c r="R516" s="4"/>
      <c r="S516" s="4"/>
      <c r="T516" s="94"/>
      <c r="U516" s="4"/>
    </row>
    <row r="517" spans="2:21" x14ac:dyDescent="0.25">
      <c r="B517" s="95"/>
      <c r="N517"/>
      <c r="O517" s="4"/>
      <c r="P517" s="4"/>
      <c r="Q517" s="4"/>
      <c r="R517" s="4"/>
      <c r="S517" s="4"/>
      <c r="T517" s="94"/>
      <c r="U517" s="4"/>
    </row>
    <row r="518" spans="2:21" x14ac:dyDescent="0.25">
      <c r="B518" s="95"/>
      <c r="N518"/>
      <c r="O518" s="4"/>
      <c r="P518" s="4"/>
      <c r="Q518" s="4"/>
      <c r="R518" s="4"/>
      <c r="S518" s="4"/>
      <c r="T518" s="94"/>
      <c r="U518" s="4"/>
    </row>
    <row r="519" spans="2:21" x14ac:dyDescent="0.25">
      <c r="B519" s="95"/>
      <c r="N519"/>
      <c r="O519" s="4"/>
      <c r="P519" s="4"/>
      <c r="Q519" s="4"/>
      <c r="R519" s="4"/>
      <c r="S519" s="4"/>
      <c r="T519" s="94"/>
      <c r="U519" s="4"/>
    </row>
    <row r="520" spans="2:21" x14ac:dyDescent="0.25">
      <c r="B520" s="95"/>
      <c r="N520"/>
      <c r="O520" s="4"/>
      <c r="P520" s="4"/>
      <c r="Q520" s="4"/>
      <c r="R520" s="4"/>
      <c r="S520" s="4"/>
      <c r="T520" s="94"/>
      <c r="U520" s="4"/>
    </row>
    <row r="521" spans="2:21" x14ac:dyDescent="0.25">
      <c r="B521" s="95"/>
      <c r="N521"/>
      <c r="O521" s="4"/>
      <c r="P521" s="4"/>
      <c r="Q521" s="4"/>
      <c r="R521" s="4"/>
      <c r="S521" s="4"/>
      <c r="T521" s="94"/>
      <c r="U521" s="4"/>
    </row>
    <row r="522" spans="2:21" x14ac:dyDescent="0.25">
      <c r="B522" s="95"/>
      <c r="N522"/>
      <c r="O522" s="4"/>
      <c r="P522" s="4"/>
      <c r="Q522" s="4"/>
      <c r="R522" s="4"/>
      <c r="S522" s="4"/>
      <c r="T522" s="94"/>
      <c r="U522" s="4"/>
    </row>
    <row r="523" spans="2:21" x14ac:dyDescent="0.25">
      <c r="B523" s="95"/>
      <c r="N523"/>
      <c r="O523" s="4"/>
      <c r="P523" s="4"/>
      <c r="Q523" s="4"/>
      <c r="R523" s="4"/>
      <c r="S523" s="4"/>
      <c r="T523" s="94"/>
      <c r="U523" s="4"/>
    </row>
    <row r="524" spans="2:21" x14ac:dyDescent="0.25">
      <c r="B524" s="95"/>
      <c r="N524"/>
      <c r="O524" s="4"/>
      <c r="P524" s="4"/>
      <c r="Q524" s="4"/>
      <c r="R524" s="4"/>
      <c r="S524" s="4"/>
      <c r="T524" s="94"/>
      <c r="U524" s="4"/>
    </row>
    <row r="525" spans="2:21" x14ac:dyDescent="0.25">
      <c r="B525" s="95"/>
      <c r="N525"/>
      <c r="O525" s="4"/>
      <c r="P525" s="4"/>
      <c r="Q525" s="4"/>
      <c r="R525" s="4"/>
      <c r="S525" s="4"/>
      <c r="T525" s="94"/>
      <c r="U525" s="4"/>
    </row>
    <row r="526" spans="2:21" x14ac:dyDescent="0.25">
      <c r="B526" s="95"/>
      <c r="N526"/>
      <c r="O526" s="4"/>
      <c r="P526" s="4"/>
      <c r="Q526" s="4"/>
      <c r="R526" s="4"/>
      <c r="S526" s="4"/>
      <c r="T526" s="94"/>
      <c r="U526" s="4"/>
    </row>
    <row r="527" spans="2:21" x14ac:dyDescent="0.25">
      <c r="B527" s="95"/>
      <c r="N527"/>
      <c r="O527" s="4"/>
      <c r="P527" s="4"/>
      <c r="Q527" s="4"/>
      <c r="R527" s="4"/>
      <c r="S527" s="4"/>
      <c r="T527" s="94"/>
      <c r="U527" s="4"/>
    </row>
    <row r="528" spans="2:21" x14ac:dyDescent="0.25">
      <c r="B528" s="95"/>
      <c r="N528"/>
      <c r="O528" s="4"/>
      <c r="P528" s="4"/>
      <c r="Q528" s="4"/>
      <c r="R528" s="4"/>
      <c r="S528" s="4"/>
      <c r="T528" s="94"/>
      <c r="U528" s="4"/>
    </row>
    <row r="529" spans="2:21" x14ac:dyDescent="0.25">
      <c r="B529" s="95"/>
      <c r="N529"/>
      <c r="O529" s="4"/>
      <c r="P529" s="4"/>
      <c r="Q529" s="4"/>
      <c r="R529" s="4"/>
      <c r="S529" s="4"/>
      <c r="T529" s="94"/>
      <c r="U529" s="4"/>
    </row>
    <row r="530" spans="2:21" x14ac:dyDescent="0.25">
      <c r="B530" s="95"/>
      <c r="N530"/>
      <c r="O530" s="4"/>
      <c r="P530" s="4"/>
      <c r="Q530" s="4"/>
      <c r="R530" s="4"/>
      <c r="S530" s="4"/>
      <c r="T530" s="4"/>
      <c r="U530" s="4"/>
    </row>
    <row r="531" spans="2:21" x14ac:dyDescent="0.25">
      <c r="B531" s="95"/>
      <c r="N531"/>
      <c r="O531" s="4"/>
      <c r="P531" s="4"/>
      <c r="Q531" s="4"/>
      <c r="R531" s="4"/>
      <c r="S531" s="4"/>
      <c r="T531" s="4"/>
      <c r="U531" s="4"/>
    </row>
    <row r="532" spans="2:21" x14ac:dyDescent="0.25">
      <c r="B532" s="95"/>
      <c r="N532"/>
      <c r="O532" s="4"/>
      <c r="P532" s="4"/>
      <c r="Q532" s="4"/>
      <c r="R532" s="4"/>
      <c r="S532" s="4"/>
      <c r="T532" s="4"/>
      <c r="U532" s="4"/>
    </row>
    <row r="533" spans="2:21" x14ac:dyDescent="0.25">
      <c r="B533" s="95"/>
      <c r="N533"/>
      <c r="O533" s="4"/>
      <c r="P533" s="4"/>
      <c r="Q533" s="4"/>
      <c r="R533" s="4"/>
      <c r="S533" s="4"/>
      <c r="T533" s="4"/>
      <c r="U533" s="4"/>
    </row>
    <row r="534" spans="2:21" x14ac:dyDescent="0.25">
      <c r="B534" s="95"/>
      <c r="N534"/>
      <c r="O534" s="4"/>
      <c r="P534" s="4"/>
      <c r="Q534" s="4"/>
      <c r="R534" s="4"/>
      <c r="S534" s="4"/>
      <c r="T534" s="4"/>
      <c r="U534" s="4"/>
    </row>
    <row r="535" spans="2:21" x14ac:dyDescent="0.25">
      <c r="B535" s="95"/>
      <c r="N535"/>
      <c r="O535" s="4"/>
      <c r="P535" s="4"/>
      <c r="Q535" s="4"/>
      <c r="R535" s="4"/>
      <c r="S535" s="4"/>
      <c r="T535" s="4"/>
      <c r="U535" s="4"/>
    </row>
    <row r="536" spans="2:21" x14ac:dyDescent="0.25">
      <c r="B536" s="95"/>
      <c r="N536"/>
      <c r="O536" s="4"/>
      <c r="P536" s="4"/>
      <c r="Q536" s="4"/>
      <c r="R536" s="4"/>
      <c r="S536" s="4"/>
      <c r="T536" s="4"/>
      <c r="U536" s="4"/>
    </row>
    <row r="537" spans="2:21" x14ac:dyDescent="0.25">
      <c r="B537" s="95"/>
      <c r="N537"/>
      <c r="O537" s="4"/>
      <c r="P537" s="4"/>
      <c r="Q537" s="4"/>
      <c r="R537" s="4"/>
      <c r="S537" s="4"/>
      <c r="T537" s="4"/>
      <c r="U537" s="4"/>
    </row>
    <row r="538" spans="2:21" x14ac:dyDescent="0.25">
      <c r="B538" s="95"/>
      <c r="N538"/>
      <c r="O538" s="4"/>
      <c r="P538" s="4"/>
      <c r="Q538" s="4"/>
      <c r="R538" s="4"/>
      <c r="S538" s="4"/>
      <c r="T538" s="4"/>
      <c r="U538" s="4"/>
    </row>
    <row r="539" spans="2:21" x14ac:dyDescent="0.25">
      <c r="B539" s="95"/>
      <c r="N539"/>
      <c r="O539" s="4"/>
      <c r="P539" s="4"/>
      <c r="Q539" s="4"/>
      <c r="R539" s="4"/>
      <c r="S539" s="4"/>
      <c r="T539" s="4"/>
      <c r="U539" s="4"/>
    </row>
    <row r="540" spans="2:21" x14ac:dyDescent="0.25">
      <c r="B540" s="95"/>
      <c r="N540"/>
      <c r="O540" s="4"/>
      <c r="P540" s="4"/>
      <c r="Q540" s="4"/>
      <c r="R540" s="4"/>
      <c r="S540" s="4"/>
      <c r="T540" s="4"/>
      <c r="U540" s="4"/>
    </row>
    <row r="541" spans="2:21" x14ac:dyDescent="0.25">
      <c r="B541" s="95"/>
      <c r="N541"/>
      <c r="O541" s="4"/>
      <c r="P541" s="4"/>
      <c r="Q541" s="4"/>
      <c r="R541" s="4"/>
      <c r="S541" s="4"/>
      <c r="T541" s="4"/>
      <c r="U541" s="4"/>
    </row>
    <row r="542" spans="2:21" x14ac:dyDescent="0.25">
      <c r="B542" s="95"/>
      <c r="N542"/>
      <c r="O542" s="4"/>
      <c r="P542" s="4"/>
      <c r="Q542" s="4"/>
      <c r="R542" s="4"/>
      <c r="S542" s="4"/>
      <c r="T542" s="4"/>
      <c r="U542" s="4"/>
    </row>
    <row r="543" spans="2:21" x14ac:dyDescent="0.25">
      <c r="B543" s="95"/>
      <c r="N543"/>
      <c r="O543" s="4"/>
      <c r="P543" s="4"/>
      <c r="Q543" s="4"/>
      <c r="R543" s="4"/>
      <c r="S543" s="4"/>
      <c r="T543" s="4"/>
      <c r="U543" s="4"/>
    </row>
    <row r="544" spans="2:21" x14ac:dyDescent="0.25">
      <c r="B544" s="95"/>
      <c r="N544"/>
      <c r="O544" s="4"/>
      <c r="P544" s="4"/>
      <c r="Q544" s="4"/>
      <c r="R544" s="4"/>
      <c r="S544" s="4"/>
      <c r="T544" s="4"/>
      <c r="U544" s="4"/>
    </row>
    <row r="545" spans="2:21" x14ac:dyDescent="0.25">
      <c r="B545" s="95"/>
      <c r="N545"/>
      <c r="O545" s="4"/>
      <c r="P545" s="4"/>
      <c r="Q545" s="4"/>
      <c r="R545" s="4"/>
      <c r="S545" s="4"/>
      <c r="T545" s="4"/>
      <c r="U545" s="4"/>
    </row>
    <row r="546" spans="2:21" x14ac:dyDescent="0.25">
      <c r="B546" s="95"/>
      <c r="N546"/>
      <c r="O546" s="4"/>
      <c r="P546" s="4"/>
      <c r="Q546" s="4"/>
      <c r="R546" s="4"/>
      <c r="S546" s="4"/>
      <c r="T546" s="4"/>
      <c r="U546" s="4"/>
    </row>
    <row r="547" spans="2:21" x14ac:dyDescent="0.25">
      <c r="B547" s="95"/>
      <c r="N547"/>
      <c r="O547" s="4"/>
      <c r="P547" s="4"/>
      <c r="Q547" s="4"/>
      <c r="R547" s="4"/>
      <c r="S547" s="4"/>
      <c r="T547" s="4"/>
      <c r="U547" s="4"/>
    </row>
    <row r="548" spans="2:21" x14ac:dyDescent="0.25">
      <c r="B548" s="95"/>
      <c r="N548"/>
      <c r="O548" s="4"/>
      <c r="P548" s="4"/>
      <c r="Q548" s="4"/>
      <c r="R548" s="4"/>
      <c r="S548" s="4"/>
      <c r="T548" s="4"/>
      <c r="U548" s="4"/>
    </row>
    <row r="549" spans="2:21" x14ac:dyDescent="0.25">
      <c r="B549" s="95"/>
      <c r="N549"/>
      <c r="O549" s="4"/>
      <c r="P549" s="4"/>
      <c r="Q549" s="4"/>
      <c r="R549" s="4"/>
      <c r="S549" s="4"/>
      <c r="T549" s="4"/>
      <c r="U549" s="4"/>
    </row>
    <row r="550" spans="2:21" x14ac:dyDescent="0.25">
      <c r="B550" s="95"/>
      <c r="N550"/>
      <c r="O550" s="4"/>
      <c r="P550" s="4"/>
      <c r="Q550" s="4"/>
      <c r="R550" s="4"/>
      <c r="S550" s="4"/>
      <c r="T550" s="4"/>
      <c r="U550" s="4"/>
    </row>
    <row r="551" spans="2:21" x14ac:dyDescent="0.25">
      <c r="B551" s="95"/>
      <c r="N551"/>
      <c r="O551" s="4"/>
      <c r="P551" s="4"/>
      <c r="Q551" s="4"/>
      <c r="R551" s="4"/>
      <c r="S551" s="4"/>
      <c r="T551" s="4"/>
      <c r="U551" s="4"/>
    </row>
    <row r="552" spans="2:21" x14ac:dyDescent="0.25">
      <c r="B552" s="95"/>
      <c r="N552"/>
      <c r="O552" s="4"/>
      <c r="P552" s="4"/>
      <c r="Q552" s="4"/>
      <c r="R552" s="4"/>
      <c r="S552" s="4"/>
      <c r="T552" s="4"/>
      <c r="U552" s="4"/>
    </row>
    <row r="553" spans="2:21" x14ac:dyDescent="0.25">
      <c r="B553" s="95"/>
      <c r="N553"/>
      <c r="O553" s="4"/>
      <c r="P553" s="4"/>
      <c r="Q553" s="4"/>
      <c r="R553" s="4"/>
      <c r="S553" s="4"/>
      <c r="T553" s="4"/>
      <c r="U553" s="4"/>
    </row>
    <row r="554" spans="2:21" x14ac:dyDescent="0.25">
      <c r="B554" s="95"/>
      <c r="N554"/>
      <c r="O554" s="4"/>
      <c r="P554" s="4"/>
      <c r="Q554" s="4"/>
      <c r="R554" s="4"/>
      <c r="S554" s="4"/>
      <c r="T554" s="4"/>
      <c r="U554" s="4"/>
    </row>
    <row r="555" spans="2:21" x14ac:dyDescent="0.25">
      <c r="B555" s="95"/>
      <c r="N555"/>
      <c r="O555" s="4"/>
      <c r="P555" s="4"/>
      <c r="Q555" s="4"/>
      <c r="R555" s="4"/>
      <c r="S555" s="4"/>
      <c r="T555" s="4"/>
      <c r="U555" s="4"/>
    </row>
    <row r="556" spans="2:21" x14ac:dyDescent="0.25">
      <c r="B556" s="95"/>
      <c r="N556"/>
      <c r="O556" s="4"/>
      <c r="P556" s="4"/>
      <c r="Q556" s="4"/>
      <c r="R556" s="4"/>
      <c r="S556" s="4"/>
      <c r="T556" s="4"/>
      <c r="U556" s="4"/>
    </row>
    <row r="557" spans="2:21" x14ac:dyDescent="0.25">
      <c r="B557" s="95"/>
      <c r="N557"/>
      <c r="O557" s="4"/>
      <c r="P557" s="4"/>
      <c r="Q557" s="4"/>
      <c r="R557" s="4"/>
      <c r="S557" s="4"/>
      <c r="T557" s="4"/>
      <c r="U557" s="4"/>
    </row>
    <row r="558" spans="2:21" x14ac:dyDescent="0.25">
      <c r="B558" s="95"/>
      <c r="N558"/>
      <c r="O558" s="4"/>
      <c r="P558" s="4"/>
      <c r="Q558" s="4"/>
      <c r="R558" s="4"/>
      <c r="S558" s="4"/>
      <c r="T558" s="4"/>
      <c r="U558" s="4"/>
    </row>
    <row r="559" spans="2:21" x14ac:dyDescent="0.25">
      <c r="B559" s="95"/>
      <c r="N559"/>
      <c r="O559" s="4"/>
      <c r="P559" s="4"/>
      <c r="Q559" s="4"/>
      <c r="R559" s="4"/>
      <c r="S559" s="4"/>
      <c r="T559" s="4"/>
      <c r="U559" s="4"/>
    </row>
    <row r="560" spans="2:21" x14ac:dyDescent="0.25">
      <c r="B560" s="95"/>
      <c r="N560"/>
      <c r="O560" s="4"/>
      <c r="P560" s="4"/>
      <c r="Q560" s="4"/>
      <c r="R560" s="4"/>
      <c r="S560" s="4"/>
      <c r="T560" s="4"/>
      <c r="U560" s="4"/>
    </row>
    <row r="561" spans="2:21" x14ac:dyDescent="0.25">
      <c r="B561" s="95"/>
      <c r="N561"/>
      <c r="O561" s="4"/>
      <c r="P561" s="4"/>
      <c r="Q561" s="4"/>
      <c r="R561" s="4"/>
      <c r="S561" s="4"/>
      <c r="T561" s="4"/>
      <c r="U561" s="4"/>
    </row>
    <row r="562" spans="2:21" x14ac:dyDescent="0.25">
      <c r="B562" s="95"/>
      <c r="N562"/>
      <c r="O562" s="4"/>
      <c r="P562" s="4"/>
      <c r="Q562" s="4"/>
      <c r="R562" s="4"/>
      <c r="S562" s="4"/>
      <c r="T562" s="4"/>
      <c r="U562" s="4"/>
    </row>
    <row r="563" spans="2:21" x14ac:dyDescent="0.25">
      <c r="B563" s="95"/>
      <c r="N563"/>
      <c r="O563" s="4"/>
      <c r="P563" s="4"/>
      <c r="Q563" s="4"/>
      <c r="R563" s="4"/>
      <c r="S563" s="4"/>
      <c r="T563" s="4"/>
      <c r="U563" s="4"/>
    </row>
    <row r="564" spans="2:21" x14ac:dyDescent="0.25">
      <c r="B564" s="95"/>
      <c r="N564"/>
      <c r="O564" s="4"/>
      <c r="P564" s="4"/>
      <c r="Q564" s="4"/>
      <c r="R564" s="4"/>
      <c r="S564" s="4"/>
      <c r="T564" s="4"/>
      <c r="U564" s="4"/>
    </row>
    <row r="565" spans="2:21" x14ac:dyDescent="0.25">
      <c r="B565" s="95"/>
      <c r="N565"/>
      <c r="O565" s="4"/>
      <c r="P565" s="4"/>
      <c r="Q565" s="4"/>
      <c r="R565" s="4"/>
      <c r="S565" s="4"/>
      <c r="T565" s="4"/>
      <c r="U565" s="4"/>
    </row>
    <row r="566" spans="2:21" x14ac:dyDescent="0.25">
      <c r="B566" s="95"/>
      <c r="N566"/>
      <c r="O566" s="4"/>
      <c r="P566" s="4"/>
      <c r="Q566" s="4"/>
      <c r="R566" s="4"/>
      <c r="S566" s="4"/>
      <c r="T566" s="4"/>
      <c r="U566" s="4"/>
    </row>
    <row r="567" spans="2:21" x14ac:dyDescent="0.25">
      <c r="B567" s="95"/>
      <c r="N567"/>
      <c r="O567" s="4"/>
      <c r="P567" s="4"/>
      <c r="Q567" s="4"/>
      <c r="R567" s="4"/>
      <c r="S567" s="4"/>
      <c r="T567" s="4"/>
      <c r="U567" s="4"/>
    </row>
    <row r="568" spans="2:21" x14ac:dyDescent="0.25">
      <c r="B568" s="95"/>
      <c r="N568"/>
      <c r="O568" s="4"/>
      <c r="P568" s="4"/>
      <c r="Q568" s="4"/>
      <c r="R568" s="4"/>
      <c r="S568" s="4"/>
      <c r="T568" s="4"/>
      <c r="U568" s="4"/>
    </row>
    <row r="569" spans="2:21" x14ac:dyDescent="0.25">
      <c r="B569" s="95"/>
      <c r="N569"/>
      <c r="O569" s="4"/>
      <c r="P569" s="4"/>
      <c r="Q569" s="4"/>
      <c r="R569" s="4"/>
      <c r="S569" s="4"/>
      <c r="T569" s="4"/>
      <c r="U569" s="4"/>
    </row>
    <row r="570" spans="2:21" x14ac:dyDescent="0.25">
      <c r="B570" s="95"/>
      <c r="N570"/>
      <c r="O570" s="4"/>
      <c r="P570" s="4"/>
      <c r="Q570" s="4"/>
      <c r="R570" s="4"/>
      <c r="S570" s="4"/>
      <c r="T570" s="4"/>
      <c r="U570" s="4"/>
    </row>
    <row r="571" spans="2:21" x14ac:dyDescent="0.25">
      <c r="B571" s="95"/>
      <c r="N571"/>
      <c r="O571" s="4"/>
      <c r="P571" s="4"/>
      <c r="Q571" s="4"/>
      <c r="R571" s="4"/>
      <c r="S571" s="4"/>
      <c r="T571" s="4"/>
      <c r="U571" s="4"/>
    </row>
    <row r="572" spans="2:21" x14ac:dyDescent="0.25">
      <c r="B572" s="95"/>
      <c r="N572"/>
      <c r="O572" s="4"/>
      <c r="P572" s="4"/>
      <c r="Q572" s="4"/>
      <c r="R572" s="4"/>
      <c r="S572" s="4"/>
      <c r="T572" s="4"/>
      <c r="U572" s="4"/>
    </row>
    <row r="573" spans="2:21" x14ac:dyDescent="0.25">
      <c r="B573" s="95"/>
      <c r="N573"/>
      <c r="O573" s="4"/>
      <c r="P573" s="4"/>
      <c r="Q573" s="4"/>
      <c r="R573" s="4"/>
      <c r="S573" s="4"/>
      <c r="T573" s="4"/>
      <c r="U573" s="4"/>
    </row>
    <row r="574" spans="2:21" x14ac:dyDescent="0.25">
      <c r="B574" s="95"/>
      <c r="N574"/>
      <c r="O574" s="4"/>
      <c r="P574" s="4"/>
      <c r="Q574" s="4"/>
      <c r="R574" s="4"/>
      <c r="S574" s="4"/>
      <c r="T574" s="4"/>
      <c r="U574" s="4"/>
    </row>
    <row r="575" spans="2:21" x14ac:dyDescent="0.25">
      <c r="B575" s="95"/>
      <c r="N575"/>
      <c r="O575" s="4"/>
      <c r="P575" s="4"/>
      <c r="Q575" s="4"/>
      <c r="R575" s="4"/>
      <c r="S575" s="4"/>
      <c r="T575" s="4"/>
      <c r="U575" s="4"/>
    </row>
    <row r="576" spans="2:21" x14ac:dyDescent="0.25">
      <c r="B576" s="95"/>
      <c r="N576"/>
      <c r="O576" s="4"/>
      <c r="P576" s="4"/>
      <c r="Q576" s="4"/>
      <c r="R576" s="4"/>
      <c r="S576" s="4"/>
      <c r="T576" s="4"/>
      <c r="U576" s="4"/>
    </row>
    <row r="577" spans="2:21" x14ac:dyDescent="0.25">
      <c r="B577" s="95"/>
      <c r="N577"/>
      <c r="O577" s="4"/>
      <c r="P577" s="4"/>
      <c r="Q577" s="4"/>
      <c r="R577" s="4"/>
      <c r="S577" s="4"/>
      <c r="T577" s="4"/>
      <c r="U577" s="4"/>
    </row>
    <row r="578" spans="2:21" x14ac:dyDescent="0.25">
      <c r="B578" s="95"/>
      <c r="N578"/>
      <c r="O578" s="4"/>
      <c r="P578" s="4"/>
      <c r="Q578" s="4"/>
      <c r="R578" s="4"/>
      <c r="S578" s="4"/>
      <c r="T578" s="4"/>
      <c r="U578" s="4"/>
    </row>
    <row r="579" spans="2:21" x14ac:dyDescent="0.25">
      <c r="B579" s="95"/>
      <c r="N579"/>
      <c r="O579" s="4"/>
      <c r="P579" s="4"/>
      <c r="Q579" s="4"/>
      <c r="R579" s="4"/>
      <c r="S579" s="4"/>
      <c r="T579" s="4"/>
      <c r="U579" s="4"/>
    </row>
    <row r="580" spans="2:21" x14ac:dyDescent="0.25">
      <c r="B580" s="95"/>
      <c r="N580"/>
      <c r="O580" s="4"/>
      <c r="P580" s="4"/>
      <c r="Q580" s="4"/>
      <c r="R580" s="4"/>
      <c r="S580" s="4"/>
      <c r="T580" s="4"/>
      <c r="U580" s="4"/>
    </row>
    <row r="581" spans="2:21" x14ac:dyDescent="0.25">
      <c r="B581" s="95"/>
      <c r="N581"/>
      <c r="O581" s="4"/>
      <c r="P581" s="4"/>
      <c r="Q581" s="4"/>
      <c r="R581" s="4"/>
      <c r="S581" s="4"/>
      <c r="T581" s="4"/>
      <c r="U581" s="4"/>
    </row>
    <row r="582" spans="2:21" x14ac:dyDescent="0.25">
      <c r="B582" s="95"/>
      <c r="N582"/>
      <c r="O582" s="4"/>
      <c r="P582" s="4"/>
      <c r="Q582" s="4"/>
      <c r="R582" s="4"/>
      <c r="S582" s="4"/>
      <c r="T582" s="4"/>
      <c r="U582" s="4"/>
    </row>
    <row r="583" spans="2:21" x14ac:dyDescent="0.25">
      <c r="B583" s="95"/>
      <c r="N583"/>
      <c r="O583" s="4"/>
      <c r="P583" s="4"/>
      <c r="Q583" s="4"/>
      <c r="R583" s="4"/>
      <c r="S583" s="4"/>
      <c r="T583" s="4"/>
      <c r="U583" s="4"/>
    </row>
    <row r="584" spans="2:21" x14ac:dyDescent="0.25">
      <c r="B584" s="95"/>
      <c r="N584"/>
      <c r="O584" s="4"/>
      <c r="P584" s="4"/>
      <c r="Q584" s="4"/>
      <c r="R584" s="4"/>
      <c r="S584" s="4"/>
      <c r="T584" s="4"/>
      <c r="U584" s="4"/>
    </row>
    <row r="585" spans="2:21" x14ac:dyDescent="0.25">
      <c r="B585" s="95"/>
      <c r="N585"/>
      <c r="O585" s="4"/>
      <c r="P585" s="4"/>
      <c r="Q585" s="4"/>
      <c r="R585" s="4"/>
      <c r="S585" s="4"/>
      <c r="T585" s="4"/>
      <c r="U585" s="4"/>
    </row>
    <row r="586" spans="2:21" x14ac:dyDescent="0.25">
      <c r="B586" s="95"/>
      <c r="N586"/>
      <c r="O586" s="4"/>
      <c r="P586" s="4"/>
      <c r="Q586" s="4"/>
      <c r="R586" s="4"/>
      <c r="S586" s="4"/>
      <c r="T586" s="4"/>
      <c r="U586" s="4"/>
    </row>
    <row r="587" spans="2:21" x14ac:dyDescent="0.25">
      <c r="B587" s="95"/>
      <c r="N587"/>
      <c r="O587" s="4"/>
      <c r="P587" s="4"/>
      <c r="Q587" s="4"/>
      <c r="R587" s="4"/>
      <c r="S587" s="4"/>
      <c r="T587" s="4"/>
      <c r="U587" s="4"/>
    </row>
    <row r="588" spans="2:21" x14ac:dyDescent="0.25">
      <c r="B588" s="95"/>
      <c r="N588"/>
      <c r="O588" s="4"/>
      <c r="P588" s="4"/>
      <c r="Q588" s="4"/>
      <c r="R588" s="4"/>
      <c r="S588" s="4"/>
      <c r="T588" s="4"/>
      <c r="U588" s="4"/>
    </row>
    <row r="589" spans="2:21" x14ac:dyDescent="0.25">
      <c r="B589" s="95"/>
      <c r="N589"/>
      <c r="O589" s="4"/>
      <c r="P589" s="4"/>
      <c r="Q589" s="4"/>
      <c r="R589" s="4"/>
      <c r="S589" s="4"/>
      <c r="T589" s="4"/>
      <c r="U589" s="4"/>
    </row>
    <row r="590" spans="2:21" x14ac:dyDescent="0.25">
      <c r="B590" s="95"/>
      <c r="N590"/>
      <c r="O590" s="4"/>
      <c r="P590" s="4"/>
      <c r="Q590" s="4"/>
      <c r="R590" s="4"/>
      <c r="S590" s="4"/>
      <c r="T590" s="4"/>
      <c r="U590" s="4"/>
    </row>
    <row r="591" spans="2:21" x14ac:dyDescent="0.25">
      <c r="B591" s="95"/>
      <c r="N591"/>
      <c r="O591" s="4"/>
      <c r="P591" s="4"/>
      <c r="Q591" s="4"/>
      <c r="R591" s="4"/>
      <c r="S591" s="4"/>
      <c r="T591" s="4"/>
      <c r="U591" s="4"/>
    </row>
    <row r="592" spans="2:21" x14ac:dyDescent="0.25">
      <c r="B592" s="95"/>
      <c r="N592"/>
      <c r="O592" s="4"/>
      <c r="P592" s="4"/>
      <c r="Q592" s="4"/>
      <c r="R592" s="4"/>
      <c r="S592" s="4"/>
      <c r="T592" s="4"/>
      <c r="U592" s="4"/>
    </row>
    <row r="593" spans="2:21" x14ac:dyDescent="0.25">
      <c r="B593" s="95"/>
      <c r="N593"/>
      <c r="O593" s="4"/>
      <c r="P593" s="4"/>
      <c r="Q593" s="4"/>
      <c r="R593" s="4"/>
      <c r="S593" s="4"/>
      <c r="T593" s="4"/>
      <c r="U593" s="4"/>
    </row>
    <row r="594" spans="2:21" x14ac:dyDescent="0.25">
      <c r="B594" s="95"/>
      <c r="N594"/>
      <c r="O594" s="4"/>
      <c r="P594" s="4"/>
      <c r="Q594" s="4"/>
      <c r="R594" s="4"/>
      <c r="S594" s="4"/>
      <c r="T594" s="4"/>
      <c r="U594" s="4"/>
    </row>
    <row r="595" spans="2:21" x14ac:dyDescent="0.25">
      <c r="B595" s="95"/>
      <c r="N595"/>
      <c r="O595" s="4"/>
      <c r="P595" s="4"/>
      <c r="Q595" s="4"/>
      <c r="R595" s="4"/>
      <c r="S595" s="4"/>
      <c r="T595" s="4"/>
      <c r="U595" s="4"/>
    </row>
    <row r="596" spans="2:21" x14ac:dyDescent="0.25">
      <c r="B596" s="95"/>
      <c r="N596"/>
      <c r="O596" s="4"/>
      <c r="P596" s="4"/>
      <c r="Q596" s="4"/>
      <c r="R596" s="4"/>
      <c r="S596" s="4"/>
      <c r="T596" s="4"/>
      <c r="U596" s="4"/>
    </row>
    <row r="597" spans="2:21" x14ac:dyDescent="0.25">
      <c r="B597" s="95"/>
      <c r="N597"/>
      <c r="O597" s="4"/>
      <c r="P597" s="4"/>
      <c r="Q597" s="4"/>
      <c r="R597" s="4"/>
      <c r="S597" s="4"/>
      <c r="T597" s="4"/>
      <c r="U597" s="4"/>
    </row>
    <row r="598" spans="2:21" x14ac:dyDescent="0.25">
      <c r="B598" s="95"/>
      <c r="N598"/>
      <c r="O598" s="4"/>
      <c r="P598" s="4"/>
      <c r="Q598" s="4"/>
      <c r="R598" s="4"/>
      <c r="S598" s="4"/>
      <c r="T598" s="4"/>
      <c r="U598" s="4"/>
    </row>
    <row r="599" spans="2:21" x14ac:dyDescent="0.25">
      <c r="B599" s="95"/>
      <c r="N599"/>
      <c r="O599" s="4"/>
      <c r="P599" s="4"/>
      <c r="Q599" s="4"/>
      <c r="R599" s="4"/>
      <c r="S599" s="4"/>
      <c r="T599" s="4"/>
      <c r="U599" s="4"/>
    </row>
    <row r="600" spans="2:21" x14ac:dyDescent="0.25">
      <c r="B600" s="95"/>
      <c r="N600"/>
      <c r="O600" s="4"/>
      <c r="P600" s="4"/>
      <c r="Q600" s="4"/>
      <c r="R600" s="4"/>
      <c r="S600" s="4"/>
      <c r="T600" s="4"/>
      <c r="U600" s="4"/>
    </row>
    <row r="601" spans="2:21" x14ac:dyDescent="0.25">
      <c r="B601" s="95"/>
      <c r="N601"/>
      <c r="O601" s="4"/>
      <c r="P601" s="4"/>
      <c r="Q601" s="4"/>
      <c r="R601" s="4"/>
      <c r="S601" s="4"/>
      <c r="T601" s="4"/>
      <c r="U601" s="4"/>
    </row>
    <row r="602" spans="2:21" x14ac:dyDescent="0.25">
      <c r="B602" s="95"/>
      <c r="N602"/>
      <c r="O602" s="4"/>
      <c r="P602" s="4"/>
      <c r="Q602" s="4"/>
      <c r="R602" s="4"/>
      <c r="S602" s="4"/>
      <c r="T602" s="4"/>
      <c r="U602" s="4"/>
    </row>
    <row r="603" spans="2:21" x14ac:dyDescent="0.25">
      <c r="B603" s="95"/>
      <c r="N603"/>
      <c r="O603" s="4"/>
      <c r="P603" s="4"/>
      <c r="Q603" s="4"/>
      <c r="R603" s="4"/>
      <c r="S603" s="4"/>
      <c r="T603" s="4"/>
      <c r="U603" s="4"/>
    </row>
    <row r="604" spans="2:21" x14ac:dyDescent="0.25">
      <c r="B604" s="95"/>
      <c r="N604"/>
      <c r="O604" s="4"/>
      <c r="P604" s="4"/>
      <c r="Q604" s="4"/>
      <c r="R604" s="4"/>
      <c r="S604" s="4"/>
      <c r="T604" s="4"/>
      <c r="U604" s="4"/>
    </row>
    <row r="605" spans="2:21" x14ac:dyDescent="0.25">
      <c r="B605" s="95"/>
      <c r="N605"/>
      <c r="O605" s="4"/>
      <c r="P605" s="4"/>
      <c r="Q605" s="4"/>
      <c r="R605" s="4"/>
      <c r="S605" s="4"/>
      <c r="T605" s="4"/>
      <c r="U605" s="4"/>
    </row>
    <row r="606" spans="2:21" x14ac:dyDescent="0.25">
      <c r="B606" s="95"/>
      <c r="N606"/>
      <c r="O606" s="4"/>
      <c r="P606" s="4"/>
      <c r="Q606" s="4"/>
      <c r="R606" s="4"/>
      <c r="S606" s="4"/>
      <c r="T606" s="4"/>
      <c r="U606" s="4"/>
    </row>
    <row r="607" spans="2:21" x14ac:dyDescent="0.25">
      <c r="B607" s="95"/>
      <c r="N607"/>
      <c r="O607" s="4"/>
      <c r="P607" s="4"/>
      <c r="Q607" s="4"/>
      <c r="R607" s="4"/>
      <c r="S607" s="4"/>
      <c r="T607" s="4"/>
      <c r="U607" s="4"/>
    </row>
    <row r="608" spans="2:21" x14ac:dyDescent="0.25">
      <c r="B608" s="95"/>
      <c r="N608"/>
      <c r="O608" s="4"/>
      <c r="P608" s="4"/>
      <c r="Q608" s="4"/>
      <c r="R608" s="4"/>
      <c r="S608" s="4"/>
      <c r="T608" s="4"/>
      <c r="U608" s="4"/>
    </row>
    <row r="609" spans="2:21" x14ac:dyDescent="0.25">
      <c r="B609" s="95"/>
      <c r="N609"/>
      <c r="O609" s="4"/>
      <c r="P609" s="4"/>
      <c r="Q609" s="4"/>
      <c r="R609" s="4"/>
      <c r="S609" s="4"/>
      <c r="T609" s="4"/>
      <c r="U609" s="4"/>
    </row>
    <row r="610" spans="2:21" x14ac:dyDescent="0.25">
      <c r="B610" s="95"/>
      <c r="N610"/>
      <c r="O610" s="4"/>
      <c r="P610" s="4"/>
      <c r="Q610" s="4"/>
      <c r="R610" s="4"/>
      <c r="S610" s="4"/>
      <c r="T610" s="4"/>
      <c r="U610" s="4"/>
    </row>
    <row r="611" spans="2:21" x14ac:dyDescent="0.25">
      <c r="B611" s="95"/>
      <c r="N611"/>
      <c r="O611" s="4"/>
      <c r="P611" s="4"/>
      <c r="Q611" s="4"/>
      <c r="R611" s="4"/>
      <c r="S611" s="4"/>
      <c r="T611" s="4"/>
      <c r="U611" s="4"/>
    </row>
    <row r="612" spans="2:21" x14ac:dyDescent="0.25">
      <c r="B612" s="95"/>
      <c r="N612"/>
      <c r="O612" s="4"/>
      <c r="P612" s="4"/>
      <c r="Q612" s="4"/>
      <c r="R612" s="4"/>
      <c r="S612" s="4"/>
      <c r="T612" s="4"/>
      <c r="U612" s="4"/>
    </row>
    <row r="613" spans="2:21" x14ac:dyDescent="0.25">
      <c r="B613" s="95"/>
      <c r="N613"/>
      <c r="O613" s="4"/>
      <c r="P613" s="4"/>
      <c r="Q613" s="4"/>
      <c r="R613" s="4"/>
      <c r="S613" s="4"/>
      <c r="T613" s="4"/>
      <c r="U613" s="4"/>
    </row>
    <row r="614" spans="2:21" x14ac:dyDescent="0.25">
      <c r="B614" s="95"/>
      <c r="N614"/>
      <c r="O614" s="4"/>
      <c r="P614" s="4"/>
      <c r="Q614" s="4"/>
      <c r="R614" s="4"/>
      <c r="S614" s="4"/>
      <c r="T614" s="4"/>
      <c r="U614" s="4"/>
    </row>
    <row r="615" spans="2:21" x14ac:dyDescent="0.25">
      <c r="B615" s="95"/>
      <c r="N615"/>
      <c r="O615" s="4"/>
      <c r="P615" s="4"/>
      <c r="Q615" s="4"/>
      <c r="R615" s="4"/>
      <c r="S615" s="4"/>
      <c r="T615" s="4"/>
      <c r="U615" s="4"/>
    </row>
    <row r="616" spans="2:21" x14ac:dyDescent="0.25">
      <c r="B616" s="95"/>
      <c r="N616"/>
      <c r="O616" s="4"/>
      <c r="P616" s="4"/>
      <c r="Q616" s="4"/>
      <c r="R616" s="4"/>
      <c r="S616" s="4"/>
      <c r="T616" s="4"/>
      <c r="U616" s="4"/>
    </row>
    <row r="617" spans="2:21" x14ac:dyDescent="0.25">
      <c r="B617" s="95"/>
      <c r="N617"/>
      <c r="O617" s="4"/>
      <c r="P617" s="4"/>
      <c r="Q617" s="4"/>
      <c r="R617" s="4"/>
      <c r="S617" s="4"/>
      <c r="T617" s="4"/>
      <c r="U617" s="4"/>
    </row>
    <row r="618" spans="2:21" x14ac:dyDescent="0.25">
      <c r="B618" s="95"/>
      <c r="N618"/>
      <c r="O618" s="4"/>
      <c r="P618" s="4"/>
      <c r="Q618" s="4"/>
      <c r="R618" s="4"/>
      <c r="S618" s="4"/>
      <c r="T618" s="4"/>
      <c r="U618" s="4"/>
    </row>
    <row r="619" spans="2:21" x14ac:dyDescent="0.25">
      <c r="B619" s="95"/>
      <c r="N619"/>
      <c r="O619" s="4"/>
      <c r="P619" s="4"/>
      <c r="Q619" s="4"/>
      <c r="R619" s="4"/>
      <c r="S619" s="4"/>
      <c r="T619" s="4"/>
      <c r="U619" s="4"/>
    </row>
    <row r="620" spans="2:21" x14ac:dyDescent="0.25">
      <c r="B620" s="95"/>
      <c r="N620"/>
      <c r="O620" s="4"/>
      <c r="P620" s="4"/>
      <c r="Q620" s="4"/>
      <c r="R620" s="4"/>
      <c r="S620" s="4"/>
      <c r="T620" s="4"/>
      <c r="U620" s="4"/>
    </row>
    <row r="621" spans="2:21" x14ac:dyDescent="0.25">
      <c r="B621" s="95"/>
      <c r="N621"/>
      <c r="O621" s="4"/>
      <c r="P621" s="4"/>
      <c r="Q621" s="4"/>
      <c r="R621" s="4"/>
      <c r="S621" s="4"/>
      <c r="T621" s="4"/>
      <c r="U621" s="4"/>
    </row>
    <row r="622" spans="2:21" x14ac:dyDescent="0.25">
      <c r="B622" s="95"/>
      <c r="N622"/>
      <c r="O622" s="4"/>
      <c r="P622" s="4"/>
      <c r="Q622" s="4"/>
      <c r="R622" s="4"/>
      <c r="S622" s="4"/>
      <c r="T622" s="4"/>
      <c r="U622" s="4"/>
    </row>
    <row r="623" spans="2:21" x14ac:dyDescent="0.25">
      <c r="B623" s="95"/>
      <c r="N623"/>
      <c r="O623" s="4"/>
      <c r="P623" s="4"/>
      <c r="Q623" s="4"/>
      <c r="R623" s="4"/>
      <c r="S623" s="4"/>
      <c r="T623" s="4"/>
      <c r="U623" s="4"/>
    </row>
    <row r="624" spans="2:21" x14ac:dyDescent="0.25">
      <c r="B624" s="95"/>
      <c r="N624"/>
      <c r="O624" s="4"/>
      <c r="P624" s="4"/>
      <c r="Q624" s="4"/>
      <c r="R624" s="4"/>
      <c r="S624" s="4"/>
      <c r="T624" s="4"/>
      <c r="U624" s="4"/>
    </row>
    <row r="625" spans="2:21" x14ac:dyDescent="0.25">
      <c r="B625" s="95"/>
      <c r="N625"/>
      <c r="O625" s="4"/>
      <c r="P625" s="4"/>
      <c r="Q625" s="4"/>
      <c r="R625" s="4"/>
      <c r="S625" s="4"/>
      <c r="T625" s="4"/>
      <c r="U625" s="4"/>
    </row>
    <row r="626" spans="2:21" x14ac:dyDescent="0.25">
      <c r="B626" s="95"/>
      <c r="N626"/>
      <c r="O626" s="4"/>
      <c r="P626" s="4"/>
      <c r="Q626" s="4"/>
      <c r="R626" s="4"/>
      <c r="S626" s="4"/>
      <c r="T626" s="4"/>
      <c r="U626" s="4"/>
    </row>
    <row r="627" spans="2:21" x14ac:dyDescent="0.25">
      <c r="B627" s="95"/>
      <c r="N627"/>
      <c r="O627" s="4"/>
      <c r="P627" s="4"/>
      <c r="Q627" s="4"/>
      <c r="R627" s="4"/>
      <c r="S627" s="4"/>
      <c r="T627" s="4"/>
      <c r="U627" s="4"/>
    </row>
    <row r="628" spans="2:21" x14ac:dyDescent="0.25">
      <c r="B628" s="95"/>
      <c r="N628"/>
      <c r="O628" s="4"/>
      <c r="P628" s="4"/>
      <c r="Q628" s="4"/>
      <c r="R628" s="4"/>
      <c r="S628" s="4"/>
      <c r="T628" s="4"/>
      <c r="U628" s="4"/>
    </row>
    <row r="629" spans="2:21" x14ac:dyDescent="0.25">
      <c r="B629" s="95"/>
      <c r="N629"/>
      <c r="O629" s="4"/>
      <c r="P629" s="4"/>
      <c r="Q629" s="4"/>
      <c r="R629" s="4"/>
      <c r="S629" s="4"/>
      <c r="T629" s="4"/>
      <c r="U629" s="4"/>
    </row>
    <row r="630" spans="2:21" x14ac:dyDescent="0.25">
      <c r="B630" s="95"/>
      <c r="N630"/>
      <c r="O630" s="4"/>
      <c r="P630" s="4"/>
      <c r="Q630" s="4"/>
      <c r="R630" s="4"/>
      <c r="S630" s="4"/>
      <c r="T630" s="4"/>
      <c r="U630" s="4"/>
    </row>
    <row r="631" spans="2:21" x14ac:dyDescent="0.25">
      <c r="B631" s="95"/>
      <c r="N631"/>
      <c r="O631" s="4"/>
      <c r="P631" s="4"/>
      <c r="Q631" s="4"/>
      <c r="R631" s="4"/>
      <c r="S631" s="4"/>
      <c r="T631" s="4"/>
      <c r="U631" s="4"/>
    </row>
    <row r="632" spans="2:21" x14ac:dyDescent="0.25">
      <c r="B632" s="95"/>
      <c r="N632"/>
      <c r="O632" s="4"/>
      <c r="P632" s="4"/>
      <c r="Q632" s="4"/>
      <c r="R632" s="4"/>
      <c r="S632" s="4"/>
      <c r="T632" s="4"/>
      <c r="U632" s="4"/>
    </row>
    <row r="633" spans="2:21" x14ac:dyDescent="0.25">
      <c r="B633" s="95"/>
      <c r="N633"/>
      <c r="O633" s="4"/>
      <c r="P633" s="4"/>
      <c r="Q633" s="4"/>
      <c r="R633" s="4"/>
      <c r="S633" s="4"/>
      <c r="T633" s="4"/>
      <c r="U633" s="4"/>
    </row>
    <row r="634" spans="2:21" x14ac:dyDescent="0.25">
      <c r="B634" s="95"/>
      <c r="N634"/>
      <c r="O634" s="4"/>
      <c r="P634" s="4"/>
      <c r="Q634" s="4"/>
      <c r="R634" s="4"/>
      <c r="S634" s="4"/>
      <c r="T634" s="4"/>
      <c r="U634" s="4"/>
    </row>
    <row r="635" spans="2:21" x14ac:dyDescent="0.25">
      <c r="B635" s="95"/>
      <c r="N635"/>
      <c r="O635" s="4"/>
      <c r="P635" s="4"/>
      <c r="Q635" s="4"/>
      <c r="R635" s="4"/>
      <c r="S635" s="4"/>
      <c r="T635" s="4"/>
      <c r="U635" s="4"/>
    </row>
    <row r="636" spans="2:21" x14ac:dyDescent="0.25">
      <c r="B636" s="95"/>
      <c r="N636"/>
      <c r="O636" s="4"/>
      <c r="P636" s="4"/>
      <c r="Q636" s="4"/>
      <c r="R636" s="4"/>
      <c r="S636" s="4"/>
      <c r="T636" s="4"/>
      <c r="U636" s="4"/>
    </row>
    <row r="637" spans="2:21" x14ac:dyDescent="0.25">
      <c r="B637" s="95"/>
      <c r="N637"/>
      <c r="O637" s="4"/>
      <c r="P637" s="4"/>
      <c r="Q637" s="4"/>
      <c r="R637" s="4"/>
      <c r="S637" s="4"/>
      <c r="T637" s="4"/>
      <c r="U637" s="4"/>
    </row>
    <row r="638" spans="2:21" x14ac:dyDescent="0.25">
      <c r="B638" s="95"/>
      <c r="N638"/>
      <c r="O638" s="4"/>
      <c r="P638" s="4"/>
      <c r="Q638" s="4"/>
      <c r="R638" s="4"/>
      <c r="S638" s="4"/>
      <c r="T638" s="4"/>
      <c r="U638" s="4"/>
    </row>
    <row r="639" spans="2:21" x14ac:dyDescent="0.25">
      <c r="B639" s="95"/>
      <c r="N639"/>
      <c r="O639" s="4"/>
      <c r="P639" s="4"/>
      <c r="Q639" s="4"/>
      <c r="R639" s="4"/>
      <c r="S639" s="4"/>
      <c r="T639" s="4"/>
      <c r="U639" s="4"/>
    </row>
    <row r="640" spans="2:21" x14ac:dyDescent="0.25">
      <c r="B640" s="95"/>
      <c r="N640"/>
      <c r="O640" s="4"/>
      <c r="P640" s="4"/>
      <c r="Q640" s="4"/>
      <c r="R640" s="4"/>
      <c r="S640" s="4"/>
      <c r="T640" s="4"/>
      <c r="U640" s="4"/>
    </row>
    <row r="641" spans="2:21" x14ac:dyDescent="0.25">
      <c r="B641" s="95"/>
      <c r="N641"/>
      <c r="O641" s="4"/>
      <c r="P641" s="4"/>
      <c r="Q641" s="4"/>
      <c r="R641" s="4"/>
      <c r="S641" s="4"/>
      <c r="T641" s="4"/>
      <c r="U641" s="4"/>
    </row>
    <row r="642" spans="2:21" x14ac:dyDescent="0.25">
      <c r="B642" s="95"/>
      <c r="N642"/>
      <c r="O642" s="4"/>
      <c r="P642" s="4"/>
      <c r="Q642" s="4"/>
      <c r="R642" s="4"/>
      <c r="S642" s="4"/>
      <c r="T642" s="4"/>
      <c r="U642" s="4"/>
    </row>
    <row r="643" spans="2:21" x14ac:dyDescent="0.25">
      <c r="B643" s="95"/>
      <c r="N643"/>
      <c r="O643" s="4"/>
      <c r="P643" s="4"/>
      <c r="Q643" s="4"/>
      <c r="R643" s="4"/>
      <c r="S643" s="4"/>
      <c r="T643" s="4"/>
      <c r="U643" s="4"/>
    </row>
    <row r="644" spans="2:21" x14ac:dyDescent="0.25">
      <c r="B644" s="95"/>
      <c r="N644"/>
      <c r="O644" s="4"/>
      <c r="P644" s="4"/>
      <c r="Q644" s="4"/>
      <c r="R644" s="4"/>
      <c r="S644" s="4"/>
      <c r="T644" s="4"/>
      <c r="U644" s="4"/>
    </row>
    <row r="645" spans="2:21" x14ac:dyDescent="0.25">
      <c r="B645" s="95"/>
      <c r="N645"/>
      <c r="O645" s="4"/>
      <c r="P645" s="4"/>
      <c r="Q645" s="4"/>
      <c r="R645" s="4"/>
      <c r="S645" s="4"/>
      <c r="T645" s="4"/>
      <c r="U645" s="4"/>
    </row>
    <row r="646" spans="2:21" x14ac:dyDescent="0.25">
      <c r="B646" s="95"/>
      <c r="N646"/>
      <c r="O646" s="4"/>
      <c r="P646" s="4"/>
      <c r="Q646" s="4"/>
      <c r="R646" s="4"/>
      <c r="S646" s="4"/>
      <c r="T646" s="4"/>
      <c r="U646" s="4"/>
    </row>
    <row r="647" spans="2:21" x14ac:dyDescent="0.25">
      <c r="B647" s="95"/>
      <c r="N647"/>
      <c r="O647" s="4"/>
      <c r="P647" s="4"/>
      <c r="Q647" s="4"/>
      <c r="R647" s="4"/>
      <c r="S647" s="4"/>
      <c r="T647" s="4"/>
      <c r="U647" s="4"/>
    </row>
    <row r="648" spans="2:21" x14ac:dyDescent="0.25">
      <c r="B648" s="95"/>
      <c r="N648"/>
      <c r="O648" s="4"/>
      <c r="P648" s="4"/>
      <c r="Q648" s="4"/>
      <c r="R648" s="4"/>
      <c r="S648" s="4"/>
      <c r="T648" s="4"/>
      <c r="U648" s="4"/>
    </row>
    <row r="649" spans="2:21" x14ac:dyDescent="0.25">
      <c r="B649" s="95"/>
      <c r="N649"/>
      <c r="O649" s="4"/>
      <c r="P649" s="4"/>
      <c r="Q649" s="4"/>
      <c r="R649" s="4"/>
      <c r="S649" s="4"/>
      <c r="T649" s="4"/>
      <c r="U649" s="4"/>
    </row>
    <row r="650" spans="2:21" x14ac:dyDescent="0.25">
      <c r="B650" s="95"/>
      <c r="N650"/>
      <c r="O650" s="4"/>
      <c r="P650" s="4"/>
      <c r="Q650" s="4"/>
      <c r="R650" s="4"/>
      <c r="S650" s="4"/>
      <c r="T650" s="4"/>
      <c r="U650" s="4"/>
    </row>
    <row r="651" spans="2:21" x14ac:dyDescent="0.25">
      <c r="B651" s="95"/>
      <c r="N651"/>
      <c r="O651" s="4"/>
      <c r="P651" s="4"/>
      <c r="Q651" s="4"/>
      <c r="R651" s="4"/>
      <c r="S651" s="4"/>
      <c r="T651" s="4"/>
      <c r="U651" s="4"/>
    </row>
    <row r="652" spans="2:21" x14ac:dyDescent="0.25">
      <c r="B652" s="95"/>
      <c r="N652"/>
      <c r="O652" s="4"/>
      <c r="P652" s="4"/>
      <c r="Q652" s="4"/>
      <c r="R652" s="4"/>
      <c r="S652" s="4"/>
      <c r="T652" s="4"/>
      <c r="U652" s="4"/>
    </row>
    <row r="653" spans="2:21" x14ac:dyDescent="0.25">
      <c r="B653" s="95"/>
      <c r="N653"/>
      <c r="O653" s="4"/>
      <c r="P653" s="4"/>
      <c r="Q653" s="4"/>
      <c r="R653" s="4"/>
      <c r="S653" s="4"/>
      <c r="T653" s="4"/>
      <c r="U653" s="4"/>
    </row>
    <row r="654" spans="2:21" x14ac:dyDescent="0.25">
      <c r="B654" s="95"/>
      <c r="N654"/>
      <c r="O654" s="4"/>
      <c r="P654" s="4"/>
      <c r="Q654" s="4"/>
      <c r="R654" s="4"/>
      <c r="S654" s="4"/>
      <c r="T654" s="4"/>
      <c r="U654" s="4"/>
    </row>
    <row r="655" spans="2:21" x14ac:dyDescent="0.25">
      <c r="B655" s="95"/>
      <c r="N655"/>
      <c r="O655" s="4"/>
      <c r="P655" s="4"/>
      <c r="Q655" s="4"/>
      <c r="R655" s="4"/>
      <c r="S655" s="4"/>
      <c r="T655" s="4"/>
      <c r="U655" s="4"/>
    </row>
    <row r="656" spans="2:21" x14ac:dyDescent="0.25">
      <c r="B656" s="95"/>
      <c r="N656"/>
      <c r="O656" s="4"/>
      <c r="P656" s="4"/>
      <c r="Q656" s="4"/>
      <c r="R656" s="4"/>
      <c r="S656" s="4"/>
      <c r="T656" s="4"/>
      <c r="U656" s="4"/>
    </row>
    <row r="657" spans="2:21" x14ac:dyDescent="0.25">
      <c r="B657" s="95"/>
      <c r="N657"/>
      <c r="O657" s="4"/>
      <c r="P657" s="4"/>
      <c r="Q657" s="4"/>
      <c r="R657" s="4"/>
      <c r="S657" s="4"/>
      <c r="T657" s="4"/>
      <c r="U657" s="4"/>
    </row>
    <row r="658" spans="2:21" x14ac:dyDescent="0.25">
      <c r="B658" s="95"/>
      <c r="N658"/>
      <c r="O658" s="4"/>
      <c r="P658" s="4"/>
      <c r="Q658" s="4"/>
      <c r="R658" s="4"/>
      <c r="S658" s="4"/>
      <c r="T658" s="4"/>
      <c r="U658" s="4"/>
    </row>
    <row r="659" spans="2:21" x14ac:dyDescent="0.25">
      <c r="B659" s="95"/>
      <c r="N659"/>
      <c r="O659" s="4"/>
      <c r="P659" s="4"/>
      <c r="Q659" s="4"/>
      <c r="R659" s="4"/>
      <c r="S659" s="4"/>
      <c r="T659" s="4"/>
      <c r="U659" s="4"/>
    </row>
    <row r="660" spans="2:21" x14ac:dyDescent="0.25">
      <c r="B660" s="95"/>
      <c r="N660"/>
      <c r="O660" s="4"/>
      <c r="P660" s="4"/>
      <c r="Q660" s="4"/>
      <c r="R660" s="4"/>
      <c r="S660" s="4"/>
      <c r="T660" s="4"/>
      <c r="U660" s="4"/>
    </row>
    <row r="661" spans="2:21" x14ac:dyDescent="0.25">
      <c r="B661" s="95"/>
      <c r="N661"/>
      <c r="O661" s="4"/>
      <c r="P661" s="4"/>
      <c r="Q661" s="4"/>
      <c r="R661" s="4"/>
      <c r="S661" s="4"/>
      <c r="T661" s="4"/>
      <c r="U661" s="4"/>
    </row>
    <row r="662" spans="2:21" x14ac:dyDescent="0.25">
      <c r="B662" s="95"/>
      <c r="N662"/>
      <c r="O662" s="4"/>
      <c r="P662" s="4"/>
      <c r="Q662" s="4"/>
      <c r="R662" s="4"/>
      <c r="S662" s="4"/>
      <c r="T662" s="4"/>
      <c r="U662" s="4"/>
    </row>
    <row r="663" spans="2:21" x14ac:dyDescent="0.25">
      <c r="B663" s="95"/>
      <c r="N663"/>
      <c r="O663" s="4"/>
      <c r="P663" s="4"/>
      <c r="Q663" s="4"/>
      <c r="R663" s="4"/>
      <c r="S663" s="4"/>
      <c r="T663" s="4"/>
      <c r="U663" s="4"/>
    </row>
    <row r="664" spans="2:21" x14ac:dyDescent="0.25">
      <c r="B664" s="95"/>
      <c r="N664"/>
      <c r="O664" s="4"/>
      <c r="P664" s="4"/>
      <c r="Q664" s="4"/>
      <c r="R664" s="4"/>
      <c r="S664" s="4"/>
      <c r="T664" s="4"/>
      <c r="U664" s="4"/>
    </row>
    <row r="665" spans="2:21" x14ac:dyDescent="0.25">
      <c r="B665" s="95"/>
      <c r="N665"/>
      <c r="O665" s="4"/>
      <c r="P665" s="4"/>
      <c r="Q665" s="4"/>
      <c r="R665" s="4"/>
      <c r="S665" s="4"/>
      <c r="T665" s="4"/>
      <c r="U665" s="4"/>
    </row>
    <row r="666" spans="2:21" x14ac:dyDescent="0.25">
      <c r="B666" s="95"/>
      <c r="N666"/>
      <c r="O666" s="4"/>
      <c r="P666" s="4"/>
      <c r="Q666" s="4"/>
      <c r="R666" s="4"/>
      <c r="S666" s="4"/>
      <c r="T666" s="4"/>
      <c r="U666" s="4"/>
    </row>
    <row r="667" spans="2:21" x14ac:dyDescent="0.25">
      <c r="B667" s="95"/>
      <c r="N667"/>
      <c r="O667" s="4"/>
      <c r="P667" s="4"/>
      <c r="Q667" s="4"/>
      <c r="R667" s="4"/>
      <c r="S667" s="4"/>
      <c r="T667" s="4"/>
      <c r="U667" s="4"/>
    </row>
    <row r="668" spans="2:21" x14ac:dyDescent="0.25">
      <c r="B668" s="95"/>
      <c r="N668"/>
      <c r="O668" s="4"/>
      <c r="P668" s="4"/>
      <c r="Q668" s="4"/>
      <c r="R668" s="4"/>
      <c r="S668" s="4"/>
      <c r="T668" s="4"/>
      <c r="U668" s="4"/>
    </row>
    <row r="669" spans="2:21" x14ac:dyDescent="0.25">
      <c r="B669" s="95"/>
      <c r="N669"/>
      <c r="O669" s="4"/>
      <c r="P669" s="4"/>
      <c r="Q669" s="4"/>
      <c r="R669" s="4"/>
      <c r="S669" s="4"/>
      <c r="T669" s="4"/>
      <c r="U669" s="4"/>
    </row>
    <row r="670" spans="2:21" x14ac:dyDescent="0.25">
      <c r="B670" s="95"/>
      <c r="N670"/>
      <c r="O670" s="4"/>
      <c r="P670" s="4"/>
      <c r="Q670" s="4"/>
      <c r="R670" s="4"/>
      <c r="S670" s="4"/>
      <c r="T670" s="4"/>
      <c r="U670" s="4"/>
    </row>
    <row r="671" spans="2:21" x14ac:dyDescent="0.25">
      <c r="B671" s="95"/>
      <c r="N671"/>
      <c r="O671" s="4"/>
      <c r="P671" s="4"/>
      <c r="Q671" s="4"/>
      <c r="R671" s="4"/>
      <c r="S671" s="4"/>
      <c r="T671" s="4"/>
      <c r="U671" s="4"/>
    </row>
    <row r="672" spans="2:21" x14ac:dyDescent="0.25">
      <c r="B672" s="95"/>
      <c r="N672"/>
      <c r="O672" s="4"/>
      <c r="P672" s="4"/>
      <c r="Q672" s="4"/>
      <c r="R672" s="4"/>
      <c r="S672" s="4"/>
      <c r="T672" s="4"/>
      <c r="U672" s="4"/>
    </row>
    <row r="673" spans="2:21" x14ac:dyDescent="0.25">
      <c r="B673" s="95"/>
      <c r="N673"/>
      <c r="O673" s="4"/>
      <c r="P673" s="4"/>
      <c r="Q673" s="4"/>
      <c r="R673" s="4"/>
      <c r="S673" s="4"/>
      <c r="T673" s="4"/>
      <c r="U673" s="4"/>
    </row>
    <row r="674" spans="2:21" x14ac:dyDescent="0.25">
      <c r="B674" s="95"/>
      <c r="N674"/>
      <c r="O674" s="4"/>
      <c r="P674" s="4"/>
      <c r="Q674" s="4"/>
      <c r="R674" s="4"/>
      <c r="S674" s="4"/>
      <c r="T674" s="4"/>
      <c r="U674" s="4"/>
    </row>
    <row r="675" spans="2:21" x14ac:dyDescent="0.25">
      <c r="B675" s="95"/>
      <c r="N675"/>
      <c r="O675" s="4"/>
      <c r="P675" s="4"/>
      <c r="Q675" s="4"/>
      <c r="R675" s="4"/>
      <c r="S675" s="4"/>
      <c r="T675" s="4"/>
      <c r="U675" s="4"/>
    </row>
    <row r="676" spans="2:21" x14ac:dyDescent="0.25">
      <c r="B676" s="95"/>
      <c r="N676"/>
      <c r="O676" s="4"/>
      <c r="P676" s="4"/>
      <c r="Q676" s="4"/>
      <c r="R676" s="4"/>
      <c r="S676" s="4"/>
      <c r="T676" s="4"/>
      <c r="U676" s="4"/>
    </row>
    <row r="677" spans="2:21" x14ac:dyDescent="0.25">
      <c r="B677" s="95"/>
      <c r="N677"/>
      <c r="O677" s="4"/>
      <c r="P677" s="4"/>
      <c r="Q677" s="4"/>
      <c r="R677" s="4"/>
      <c r="S677" s="4"/>
      <c r="T677" s="4"/>
      <c r="U677" s="4"/>
    </row>
    <row r="678" spans="2:21" x14ac:dyDescent="0.25">
      <c r="B678" s="95"/>
      <c r="N678"/>
      <c r="O678" s="4"/>
      <c r="P678" s="4"/>
      <c r="Q678" s="4"/>
      <c r="R678" s="4"/>
      <c r="S678" s="4"/>
      <c r="T678" s="4"/>
      <c r="U678" s="4"/>
    </row>
    <row r="679" spans="2:21" x14ac:dyDescent="0.25">
      <c r="B679" s="95"/>
      <c r="N679"/>
      <c r="O679" s="4"/>
      <c r="P679" s="4"/>
      <c r="Q679" s="4"/>
      <c r="R679" s="4"/>
      <c r="S679" s="4"/>
      <c r="T679" s="4"/>
      <c r="U679" s="4"/>
    </row>
    <row r="680" spans="2:21" x14ac:dyDescent="0.25">
      <c r="B680" s="95"/>
      <c r="N680"/>
      <c r="O680" s="4"/>
      <c r="P680" s="4"/>
      <c r="Q680" s="4"/>
      <c r="R680" s="4"/>
      <c r="S680" s="4"/>
      <c r="T680" s="4"/>
      <c r="U680" s="4"/>
    </row>
    <row r="681" spans="2:21" x14ac:dyDescent="0.25">
      <c r="B681" s="95"/>
      <c r="N681"/>
      <c r="O681" s="4"/>
      <c r="P681" s="4"/>
      <c r="Q681" s="4"/>
      <c r="R681" s="4"/>
      <c r="S681" s="4"/>
      <c r="T681" s="4"/>
      <c r="U681" s="4"/>
    </row>
    <row r="682" spans="2:21" x14ac:dyDescent="0.25">
      <c r="B682" s="95"/>
      <c r="N682"/>
      <c r="O682" s="4"/>
      <c r="P682" s="4"/>
      <c r="Q682" s="4"/>
      <c r="R682" s="4"/>
      <c r="S682" s="4"/>
      <c r="T682" s="4"/>
      <c r="U682" s="4"/>
    </row>
    <row r="683" spans="2:21" x14ac:dyDescent="0.25">
      <c r="B683" s="95"/>
      <c r="N683"/>
      <c r="O683" s="4"/>
      <c r="P683" s="4"/>
      <c r="Q683" s="4"/>
      <c r="R683" s="4"/>
      <c r="S683" s="4"/>
      <c r="T683" s="4"/>
      <c r="U683" s="4"/>
    </row>
    <row r="684" spans="2:21" x14ac:dyDescent="0.25">
      <c r="B684" s="95"/>
      <c r="N684"/>
      <c r="O684" s="4"/>
      <c r="P684" s="4"/>
      <c r="Q684" s="4"/>
      <c r="R684" s="4"/>
      <c r="S684" s="4"/>
      <c r="T684" s="4"/>
      <c r="U684" s="4"/>
    </row>
    <row r="685" spans="2:21" x14ac:dyDescent="0.25">
      <c r="B685" s="95"/>
      <c r="N685"/>
      <c r="O685" s="4"/>
      <c r="P685" s="4"/>
      <c r="Q685" s="4"/>
      <c r="R685" s="4"/>
      <c r="S685" s="4"/>
      <c r="T685" s="4"/>
      <c r="U685" s="4"/>
    </row>
    <row r="686" spans="2:21" x14ac:dyDescent="0.25">
      <c r="B686" s="95"/>
      <c r="N686"/>
      <c r="O686" s="4"/>
      <c r="P686" s="4"/>
      <c r="Q686" s="4"/>
      <c r="R686" s="4"/>
      <c r="S686" s="4"/>
      <c r="T686" s="4"/>
      <c r="U686" s="4"/>
    </row>
    <row r="687" spans="2:21" x14ac:dyDescent="0.25">
      <c r="B687" s="95"/>
      <c r="N687"/>
      <c r="O687" s="4"/>
      <c r="P687" s="4"/>
      <c r="Q687" s="4"/>
      <c r="R687" s="4"/>
      <c r="S687" s="4"/>
      <c r="T687" s="4"/>
      <c r="U687" s="4"/>
    </row>
    <row r="688" spans="2:21" x14ac:dyDescent="0.25">
      <c r="B688" s="95"/>
      <c r="N688"/>
      <c r="O688" s="4"/>
      <c r="P688" s="4"/>
      <c r="Q688" s="4"/>
      <c r="R688" s="4"/>
      <c r="S688" s="4"/>
      <c r="T688" s="4"/>
      <c r="U688" s="4"/>
    </row>
    <row r="689" spans="2:21" x14ac:dyDescent="0.25">
      <c r="B689" s="95"/>
      <c r="N689"/>
      <c r="O689" s="4"/>
      <c r="P689" s="4"/>
      <c r="Q689" s="4"/>
      <c r="R689" s="4"/>
      <c r="S689" s="4"/>
      <c r="T689" s="4"/>
      <c r="U689" s="4"/>
    </row>
    <row r="690" spans="2:21" x14ac:dyDescent="0.25">
      <c r="B690" s="95"/>
      <c r="N690"/>
      <c r="O690" s="4"/>
      <c r="P690" s="4"/>
      <c r="Q690" s="4"/>
      <c r="R690" s="4"/>
      <c r="S690" s="4"/>
      <c r="T690" s="4"/>
      <c r="U690" s="4"/>
    </row>
    <row r="691" spans="2:21" x14ac:dyDescent="0.25">
      <c r="B691" s="95"/>
      <c r="N691"/>
      <c r="O691" s="4"/>
      <c r="P691" s="4"/>
      <c r="Q691" s="4"/>
      <c r="R691" s="4"/>
      <c r="S691" s="4"/>
      <c r="T691" s="4"/>
      <c r="U691" s="4"/>
    </row>
    <row r="692" spans="2:21" x14ac:dyDescent="0.25">
      <c r="B692" s="95"/>
      <c r="N692"/>
      <c r="O692" s="4"/>
      <c r="P692" s="4"/>
      <c r="Q692" s="4"/>
      <c r="R692" s="4"/>
      <c r="S692" s="4"/>
      <c r="T692" s="4"/>
      <c r="U692" s="4"/>
    </row>
    <row r="693" spans="2:21" x14ac:dyDescent="0.25">
      <c r="B693" s="95"/>
      <c r="N693"/>
      <c r="O693" s="4"/>
      <c r="P693" s="4"/>
      <c r="Q693" s="4"/>
      <c r="R693" s="4"/>
      <c r="S693" s="4"/>
      <c r="T693" s="4"/>
      <c r="U693" s="4"/>
    </row>
    <row r="694" spans="2:21" x14ac:dyDescent="0.25">
      <c r="B694" s="95"/>
      <c r="N694"/>
      <c r="O694" s="4"/>
      <c r="P694" s="4"/>
      <c r="Q694" s="4"/>
      <c r="R694" s="4"/>
      <c r="S694" s="4"/>
      <c r="T694" s="4"/>
      <c r="U694" s="4"/>
    </row>
    <row r="695" spans="2:21" x14ac:dyDescent="0.25">
      <c r="B695" s="95"/>
      <c r="N695"/>
      <c r="O695" s="4"/>
      <c r="P695" s="4"/>
      <c r="Q695" s="4"/>
      <c r="R695" s="4"/>
      <c r="S695" s="4"/>
      <c r="T695" s="4"/>
      <c r="U695" s="4"/>
    </row>
    <row r="696" spans="2:21" x14ac:dyDescent="0.25">
      <c r="B696" s="95"/>
      <c r="N696"/>
      <c r="O696" s="4"/>
      <c r="P696" s="4"/>
      <c r="Q696" s="4"/>
      <c r="R696" s="4"/>
      <c r="S696" s="4"/>
      <c r="T696" s="4"/>
      <c r="U696" s="4"/>
    </row>
    <row r="697" spans="2:21" x14ac:dyDescent="0.25">
      <c r="B697" s="95"/>
      <c r="N697"/>
      <c r="O697" s="4"/>
      <c r="P697" s="4"/>
      <c r="Q697" s="4"/>
      <c r="R697" s="4"/>
      <c r="S697" s="4"/>
      <c r="T697" s="4"/>
      <c r="U697" s="4"/>
    </row>
    <row r="698" spans="2:21" x14ac:dyDescent="0.25">
      <c r="B698" s="95"/>
      <c r="N698"/>
      <c r="O698" s="4"/>
      <c r="P698" s="4"/>
      <c r="Q698" s="4"/>
      <c r="R698" s="4"/>
      <c r="S698" s="4"/>
      <c r="T698" s="4"/>
      <c r="U698" s="4"/>
    </row>
    <row r="699" spans="2:21" x14ac:dyDescent="0.25">
      <c r="B699" s="95"/>
      <c r="N699"/>
      <c r="O699" s="4"/>
      <c r="P699" s="4"/>
      <c r="Q699" s="4"/>
      <c r="R699" s="4"/>
      <c r="S699" s="4"/>
      <c r="T699" s="4"/>
      <c r="U699" s="4"/>
    </row>
    <row r="700" spans="2:21" x14ac:dyDescent="0.25">
      <c r="B700" s="95"/>
      <c r="N700"/>
      <c r="O700" s="4"/>
      <c r="P700" s="4"/>
      <c r="Q700" s="4"/>
      <c r="R700" s="4"/>
      <c r="S700" s="4"/>
      <c r="T700" s="4"/>
      <c r="U700" s="4"/>
    </row>
    <row r="701" spans="2:21" x14ac:dyDescent="0.25">
      <c r="B701" s="95"/>
      <c r="N701"/>
      <c r="O701" s="4"/>
      <c r="P701" s="4"/>
      <c r="Q701" s="4"/>
      <c r="R701" s="4"/>
      <c r="S701" s="4"/>
      <c r="T701" s="4"/>
      <c r="U701" s="4"/>
    </row>
    <row r="702" spans="2:21" x14ac:dyDescent="0.25">
      <c r="B702" s="95"/>
      <c r="N702"/>
      <c r="O702" s="4"/>
      <c r="P702" s="4"/>
      <c r="Q702" s="4"/>
      <c r="R702" s="4"/>
      <c r="S702" s="4"/>
      <c r="T702" s="4"/>
      <c r="U702" s="4"/>
    </row>
    <row r="703" spans="2:21" x14ac:dyDescent="0.25">
      <c r="B703" s="95"/>
      <c r="N703"/>
      <c r="O703" s="4"/>
      <c r="P703" s="4"/>
      <c r="Q703" s="4"/>
      <c r="R703" s="4"/>
      <c r="S703" s="4"/>
      <c r="T703" s="4"/>
      <c r="U703" s="4"/>
    </row>
    <row r="704" spans="2:21" x14ac:dyDescent="0.25">
      <c r="B704" s="95"/>
      <c r="N704"/>
      <c r="O704" s="4"/>
      <c r="P704" s="4"/>
      <c r="Q704" s="4"/>
      <c r="R704" s="4"/>
      <c r="S704" s="4"/>
      <c r="T704" s="4"/>
      <c r="U704" s="4"/>
    </row>
    <row r="705" spans="2:21" x14ac:dyDescent="0.25">
      <c r="B705" s="95"/>
      <c r="N705"/>
      <c r="O705" s="4"/>
      <c r="P705" s="4"/>
      <c r="Q705" s="4"/>
      <c r="R705" s="4"/>
      <c r="S705" s="4"/>
      <c r="T705" s="4"/>
      <c r="U705" s="4"/>
    </row>
    <row r="706" spans="2:21" x14ac:dyDescent="0.25">
      <c r="B706" s="95"/>
      <c r="N706"/>
      <c r="O706" s="4"/>
      <c r="P706" s="4"/>
      <c r="Q706" s="4"/>
      <c r="R706" s="4"/>
      <c r="S706" s="4"/>
      <c r="T706" s="4"/>
      <c r="U706" s="4"/>
    </row>
    <row r="707" spans="2:21" x14ac:dyDescent="0.25">
      <c r="B707" s="95"/>
      <c r="N707"/>
      <c r="O707" s="4"/>
      <c r="P707" s="4"/>
      <c r="Q707" s="4"/>
      <c r="R707" s="4"/>
      <c r="S707" s="4"/>
      <c r="T707" s="4"/>
      <c r="U707" s="4"/>
    </row>
    <row r="708" spans="2:21" x14ac:dyDescent="0.25">
      <c r="B708" s="95"/>
      <c r="N708"/>
      <c r="O708" s="4"/>
      <c r="P708" s="4"/>
      <c r="Q708" s="4"/>
      <c r="R708" s="4"/>
      <c r="S708" s="4"/>
      <c r="T708" s="4"/>
      <c r="U708" s="4"/>
    </row>
    <row r="709" spans="2:21" x14ac:dyDescent="0.25">
      <c r="B709" s="95"/>
      <c r="N709"/>
      <c r="O709" s="4"/>
      <c r="P709" s="4"/>
      <c r="Q709" s="4"/>
      <c r="R709" s="4"/>
      <c r="S709" s="4"/>
      <c r="T709" s="4"/>
      <c r="U709" s="4"/>
    </row>
    <row r="710" spans="2:21" x14ac:dyDescent="0.25">
      <c r="B710" s="95"/>
      <c r="N710"/>
      <c r="O710" s="4"/>
      <c r="P710" s="4"/>
      <c r="Q710" s="4"/>
      <c r="R710" s="4"/>
      <c r="S710" s="4"/>
      <c r="T710" s="4"/>
      <c r="U710" s="4"/>
    </row>
    <row r="711" spans="2:21" x14ac:dyDescent="0.25">
      <c r="B711" s="95"/>
      <c r="N711"/>
      <c r="O711" s="4"/>
      <c r="P711" s="4"/>
      <c r="Q711" s="4"/>
      <c r="R711" s="4"/>
      <c r="S711" s="4"/>
      <c r="T711" s="4"/>
      <c r="U711" s="4"/>
    </row>
    <row r="712" spans="2:21" x14ac:dyDescent="0.25">
      <c r="B712" s="95"/>
      <c r="N712"/>
      <c r="O712" s="4"/>
      <c r="P712" s="4"/>
      <c r="Q712" s="4"/>
      <c r="R712" s="4"/>
      <c r="S712" s="4"/>
      <c r="T712" s="4"/>
      <c r="U712" s="4"/>
    </row>
    <row r="713" spans="2:21" x14ac:dyDescent="0.25">
      <c r="B713" s="95"/>
      <c r="N713"/>
      <c r="O713" s="4"/>
      <c r="P713" s="4"/>
      <c r="Q713" s="4"/>
      <c r="R713" s="4"/>
      <c r="S713" s="4"/>
      <c r="T713" s="4"/>
      <c r="U713" s="4"/>
    </row>
    <row r="714" spans="2:21" x14ac:dyDescent="0.25">
      <c r="B714" s="95"/>
      <c r="N714"/>
      <c r="O714" s="4"/>
      <c r="P714" s="4"/>
      <c r="Q714" s="4"/>
      <c r="R714" s="4"/>
      <c r="S714" s="4"/>
      <c r="T714" s="4"/>
      <c r="U714" s="4"/>
    </row>
    <row r="715" spans="2:21" x14ac:dyDescent="0.25">
      <c r="B715" s="95"/>
      <c r="N715"/>
      <c r="O715" s="4"/>
      <c r="P715" s="4"/>
      <c r="Q715" s="4"/>
      <c r="R715" s="4"/>
      <c r="S715" s="4"/>
      <c r="T715" s="4"/>
      <c r="U715" s="4"/>
    </row>
    <row r="716" spans="2:21" x14ac:dyDescent="0.25">
      <c r="B716" s="95"/>
      <c r="N716"/>
      <c r="O716" s="4"/>
      <c r="P716" s="4"/>
      <c r="Q716" s="4"/>
      <c r="R716" s="4"/>
      <c r="S716" s="4"/>
      <c r="T716" s="4"/>
      <c r="U716" s="4"/>
    </row>
    <row r="717" spans="2:21" x14ac:dyDescent="0.25">
      <c r="B717" s="95"/>
      <c r="N717"/>
      <c r="O717" s="4"/>
      <c r="P717" s="4"/>
      <c r="Q717" s="4"/>
      <c r="R717" s="4"/>
      <c r="S717" s="4"/>
      <c r="T717" s="4"/>
      <c r="U717" s="4"/>
    </row>
    <row r="718" spans="2:21" x14ac:dyDescent="0.25">
      <c r="B718" s="95"/>
      <c r="N718"/>
      <c r="O718" s="4"/>
      <c r="P718" s="4"/>
      <c r="Q718" s="4"/>
      <c r="R718" s="4"/>
      <c r="S718" s="4"/>
      <c r="T718" s="4"/>
      <c r="U718" s="4"/>
    </row>
    <row r="719" spans="2:21" x14ac:dyDescent="0.25">
      <c r="B719" s="95"/>
      <c r="N719"/>
      <c r="O719" s="4"/>
      <c r="P719" s="4"/>
      <c r="Q719" s="4"/>
      <c r="R719" s="4"/>
      <c r="S719" s="4"/>
      <c r="T719" s="4"/>
      <c r="U719" s="4"/>
    </row>
    <row r="720" spans="2:21" x14ac:dyDescent="0.25">
      <c r="B720" s="95"/>
      <c r="N720"/>
      <c r="O720" s="4"/>
      <c r="P720" s="4"/>
      <c r="Q720" s="4"/>
      <c r="R720" s="4"/>
      <c r="S720" s="4"/>
      <c r="T720" s="4"/>
      <c r="U720" s="4"/>
    </row>
    <row r="721" spans="2:21" x14ac:dyDescent="0.25">
      <c r="B721" s="95"/>
      <c r="N721"/>
      <c r="O721" s="4"/>
      <c r="P721" s="4"/>
      <c r="Q721" s="4"/>
      <c r="R721" s="4"/>
      <c r="S721" s="4"/>
      <c r="T721" s="4"/>
      <c r="U721" s="4"/>
    </row>
    <row r="722" spans="2:21" x14ac:dyDescent="0.25">
      <c r="B722" s="95"/>
      <c r="N722"/>
      <c r="O722" s="4"/>
      <c r="P722" s="4"/>
      <c r="Q722" s="4"/>
      <c r="R722" s="4"/>
      <c r="S722" s="4"/>
      <c r="T722" s="4"/>
      <c r="U722" s="4"/>
    </row>
    <row r="723" spans="2:21" x14ac:dyDescent="0.25">
      <c r="B723" s="95"/>
      <c r="N723"/>
      <c r="O723" s="4"/>
      <c r="P723" s="4"/>
      <c r="Q723" s="4"/>
      <c r="R723" s="4"/>
      <c r="S723" s="4"/>
      <c r="T723" s="4"/>
      <c r="U723" s="4"/>
    </row>
    <row r="724" spans="2:21" x14ac:dyDescent="0.25">
      <c r="B724" s="95"/>
      <c r="N724"/>
      <c r="O724" s="4"/>
      <c r="P724" s="4"/>
      <c r="Q724" s="4"/>
      <c r="R724" s="4"/>
      <c r="S724" s="4"/>
      <c r="T724" s="4"/>
      <c r="U724" s="4"/>
    </row>
    <row r="725" spans="2:21" x14ac:dyDescent="0.25">
      <c r="B725" s="95"/>
      <c r="N725"/>
      <c r="O725" s="4"/>
      <c r="P725" s="4"/>
      <c r="Q725" s="4"/>
      <c r="R725" s="4"/>
      <c r="S725" s="4"/>
      <c r="T725" s="4"/>
      <c r="U725" s="4"/>
    </row>
    <row r="726" spans="2:21" x14ac:dyDescent="0.25">
      <c r="B726" s="95"/>
      <c r="N726"/>
      <c r="O726" s="4"/>
      <c r="P726" s="4"/>
      <c r="Q726" s="4"/>
      <c r="R726" s="4"/>
      <c r="S726" s="4"/>
      <c r="T726" s="4"/>
      <c r="U726" s="4"/>
    </row>
    <row r="727" spans="2:21" x14ac:dyDescent="0.25">
      <c r="B727" s="95"/>
      <c r="N727"/>
      <c r="O727" s="4"/>
      <c r="P727" s="4"/>
      <c r="Q727" s="4"/>
      <c r="R727" s="4"/>
      <c r="S727" s="4"/>
      <c r="T727" s="4"/>
      <c r="U727" s="4"/>
    </row>
    <row r="728" spans="2:21" x14ac:dyDescent="0.25">
      <c r="B728" s="95"/>
      <c r="N728"/>
      <c r="O728" s="4"/>
      <c r="P728" s="4"/>
      <c r="Q728" s="4"/>
      <c r="R728" s="4"/>
      <c r="S728" s="4"/>
      <c r="T728" s="4"/>
      <c r="U728" s="4"/>
    </row>
    <row r="729" spans="2:21" x14ac:dyDescent="0.25">
      <c r="B729" s="95"/>
      <c r="N729"/>
      <c r="O729" s="4"/>
      <c r="P729" s="4"/>
      <c r="Q729" s="4"/>
      <c r="R729" s="4"/>
      <c r="S729" s="4"/>
      <c r="T729" s="4"/>
      <c r="U729" s="4"/>
    </row>
    <row r="730" spans="2:21" x14ac:dyDescent="0.25">
      <c r="B730" s="95"/>
      <c r="N730"/>
      <c r="O730" s="4"/>
      <c r="P730" s="4"/>
      <c r="Q730" s="4"/>
      <c r="R730" s="4"/>
      <c r="S730" s="4"/>
      <c r="T730" s="4"/>
      <c r="U730" s="4"/>
    </row>
    <row r="731" spans="2:21" x14ac:dyDescent="0.25">
      <c r="B731" s="95"/>
      <c r="N731"/>
      <c r="O731" s="4"/>
      <c r="P731" s="4"/>
      <c r="Q731" s="4"/>
      <c r="R731" s="4"/>
      <c r="S731" s="4"/>
      <c r="T731" s="4"/>
      <c r="U731" s="4"/>
    </row>
    <row r="732" spans="2:21" x14ac:dyDescent="0.25">
      <c r="B732" s="95"/>
      <c r="N732"/>
      <c r="O732" s="4"/>
      <c r="P732" s="4"/>
      <c r="Q732" s="4"/>
      <c r="R732" s="4"/>
      <c r="S732" s="4"/>
      <c r="T732" s="4"/>
      <c r="U732" s="4"/>
    </row>
    <row r="733" spans="2:21" x14ac:dyDescent="0.25">
      <c r="B733" s="95"/>
      <c r="N733"/>
      <c r="O733" s="4"/>
      <c r="P733" s="4"/>
      <c r="Q733" s="4"/>
      <c r="R733" s="4"/>
      <c r="S733" s="4"/>
      <c r="T733" s="4"/>
      <c r="U733" s="4"/>
    </row>
    <row r="734" spans="2:21" x14ac:dyDescent="0.25">
      <c r="B734" s="95"/>
      <c r="N734"/>
      <c r="O734" s="4"/>
      <c r="P734" s="4"/>
      <c r="Q734" s="4"/>
      <c r="R734" s="4"/>
      <c r="S734" s="4"/>
      <c r="T734" s="4"/>
      <c r="U734" s="4"/>
    </row>
    <row r="735" spans="2:21" x14ac:dyDescent="0.25">
      <c r="B735" s="95"/>
      <c r="N735"/>
      <c r="O735" s="4"/>
      <c r="P735" s="4"/>
      <c r="Q735" s="4"/>
      <c r="R735" s="4"/>
      <c r="S735" s="4"/>
      <c r="T735" s="4"/>
      <c r="U735" s="4"/>
    </row>
    <row r="736" spans="2:21" x14ac:dyDescent="0.25">
      <c r="B736" s="95"/>
      <c r="N736"/>
      <c r="O736" s="4"/>
      <c r="P736" s="4"/>
      <c r="Q736" s="4"/>
      <c r="R736" s="4"/>
      <c r="S736" s="4"/>
      <c r="T736" s="4"/>
      <c r="U736" s="4"/>
    </row>
    <row r="737" spans="2:21" x14ac:dyDescent="0.25">
      <c r="B737" s="95"/>
      <c r="N737"/>
      <c r="O737" s="4"/>
      <c r="P737" s="4"/>
      <c r="Q737" s="4"/>
      <c r="R737" s="4"/>
      <c r="S737" s="4"/>
      <c r="T737" s="4"/>
      <c r="U737" s="4"/>
    </row>
    <row r="738" spans="2:21" x14ac:dyDescent="0.25">
      <c r="B738" s="95"/>
      <c r="N738"/>
      <c r="O738" s="4"/>
      <c r="P738" s="4"/>
      <c r="Q738" s="4"/>
      <c r="R738" s="4"/>
      <c r="S738" s="4"/>
      <c r="T738" s="4"/>
      <c r="U738" s="4"/>
    </row>
    <row r="739" spans="2:21" x14ac:dyDescent="0.25">
      <c r="B739" s="95"/>
      <c r="N739"/>
      <c r="O739" s="4"/>
      <c r="P739" s="4"/>
      <c r="Q739" s="4"/>
      <c r="R739" s="4"/>
      <c r="S739" s="4"/>
      <c r="T739" s="4"/>
      <c r="U739" s="4"/>
    </row>
    <row r="740" spans="2:21" x14ac:dyDescent="0.25">
      <c r="B740" s="95"/>
      <c r="N740"/>
      <c r="O740" s="4"/>
      <c r="P740" s="4"/>
      <c r="Q740" s="4"/>
      <c r="R740" s="4"/>
      <c r="S740" s="4"/>
      <c r="T740" s="4"/>
      <c r="U740" s="4"/>
    </row>
    <row r="741" spans="2:21" x14ac:dyDescent="0.25">
      <c r="B741" s="95"/>
      <c r="N741"/>
      <c r="O741" s="4"/>
      <c r="P741" s="4"/>
      <c r="Q741" s="4"/>
      <c r="R741" s="4"/>
      <c r="S741" s="4"/>
      <c r="T741" s="4"/>
      <c r="U741" s="4"/>
    </row>
    <row r="742" spans="2:21" x14ac:dyDescent="0.25">
      <c r="B742" s="95"/>
      <c r="N742"/>
      <c r="O742" s="4"/>
      <c r="P742" s="4"/>
      <c r="Q742" s="4"/>
      <c r="R742" s="4"/>
      <c r="S742" s="4"/>
      <c r="T742" s="4"/>
      <c r="U742" s="4"/>
    </row>
    <row r="743" spans="2:21" x14ac:dyDescent="0.25">
      <c r="B743" s="95"/>
      <c r="N743"/>
      <c r="O743" s="4"/>
      <c r="P743" s="4"/>
      <c r="Q743" s="4"/>
      <c r="R743" s="4"/>
      <c r="S743" s="4"/>
      <c r="T743" s="4"/>
      <c r="U743" s="4"/>
    </row>
    <row r="744" spans="2:21" x14ac:dyDescent="0.25">
      <c r="B744" s="95"/>
      <c r="N744"/>
      <c r="O744" s="4"/>
      <c r="P744" s="4"/>
      <c r="Q744" s="4"/>
      <c r="R744" s="4"/>
      <c r="S744" s="4"/>
      <c r="T744" s="4"/>
      <c r="U744" s="4"/>
    </row>
    <row r="745" spans="2:21" x14ac:dyDescent="0.25">
      <c r="B745" s="95"/>
      <c r="N745"/>
      <c r="O745" s="4"/>
      <c r="P745" s="4"/>
      <c r="Q745" s="4"/>
      <c r="R745" s="4"/>
      <c r="S745" s="4"/>
      <c r="T745" s="4"/>
      <c r="U745" s="4"/>
    </row>
    <row r="746" spans="2:21" x14ac:dyDescent="0.25">
      <c r="B746" s="95"/>
      <c r="N746"/>
      <c r="O746" s="4"/>
      <c r="P746" s="4"/>
      <c r="Q746" s="4"/>
      <c r="R746" s="4"/>
      <c r="S746" s="4"/>
      <c r="T746" s="4"/>
      <c r="U746" s="4"/>
    </row>
    <row r="747" spans="2:21" x14ac:dyDescent="0.25">
      <c r="B747" s="95"/>
      <c r="N747"/>
      <c r="O747" s="4"/>
      <c r="P747" s="4"/>
      <c r="Q747" s="4"/>
      <c r="R747" s="4"/>
      <c r="S747" s="4"/>
      <c r="T747" s="4"/>
      <c r="U747" s="4"/>
    </row>
    <row r="748" spans="2:21" x14ac:dyDescent="0.25">
      <c r="B748" s="95"/>
      <c r="N748"/>
      <c r="O748" s="4"/>
      <c r="P748" s="4"/>
      <c r="Q748" s="4"/>
      <c r="R748" s="4"/>
      <c r="S748" s="4"/>
      <c r="T748" s="4"/>
      <c r="U748" s="4"/>
    </row>
    <row r="749" spans="2:21" x14ac:dyDescent="0.25">
      <c r="B749" s="95"/>
      <c r="N749"/>
      <c r="O749" s="4"/>
      <c r="P749" s="4"/>
      <c r="Q749" s="4"/>
      <c r="R749" s="4"/>
      <c r="S749" s="4"/>
      <c r="T749" s="4"/>
      <c r="U749" s="4"/>
    </row>
    <row r="750" spans="2:21" x14ac:dyDescent="0.25">
      <c r="B750" s="95"/>
      <c r="N750"/>
      <c r="O750" s="4"/>
      <c r="P750" s="4"/>
      <c r="Q750" s="4"/>
      <c r="R750" s="4"/>
      <c r="S750" s="4"/>
      <c r="T750" s="4"/>
      <c r="U750" s="4"/>
    </row>
    <row r="751" spans="2:21" x14ac:dyDescent="0.25">
      <c r="B751" s="95"/>
      <c r="N751"/>
      <c r="O751" s="4"/>
      <c r="P751" s="4"/>
      <c r="Q751" s="4"/>
      <c r="R751" s="4"/>
      <c r="S751" s="4"/>
      <c r="T751" s="4"/>
      <c r="U751" s="4"/>
    </row>
    <row r="752" spans="2:21" x14ac:dyDescent="0.25">
      <c r="B752" s="95"/>
      <c r="N752"/>
      <c r="O752" s="4"/>
      <c r="P752" s="4"/>
      <c r="Q752" s="4"/>
      <c r="R752" s="4"/>
      <c r="S752" s="4"/>
      <c r="T752" s="4"/>
      <c r="U752" s="4"/>
    </row>
    <row r="753" spans="2:21" x14ac:dyDescent="0.25">
      <c r="B753" s="95"/>
      <c r="N753"/>
      <c r="O753" s="4"/>
      <c r="P753" s="4"/>
      <c r="Q753" s="4"/>
      <c r="R753" s="4"/>
      <c r="S753" s="4"/>
      <c r="T753" s="4"/>
      <c r="U753" s="4"/>
    </row>
    <row r="754" spans="2:21" x14ac:dyDescent="0.25">
      <c r="B754" s="95"/>
      <c r="N754"/>
      <c r="O754" s="4"/>
      <c r="P754" s="4"/>
      <c r="Q754" s="4"/>
      <c r="R754" s="4"/>
      <c r="S754" s="4"/>
      <c r="T754" s="4"/>
      <c r="U754" s="4"/>
    </row>
    <row r="755" spans="2:21" x14ac:dyDescent="0.25">
      <c r="B755" s="95"/>
      <c r="N755"/>
      <c r="O755" s="4"/>
      <c r="P755" s="4"/>
      <c r="Q755" s="4"/>
      <c r="R755" s="4"/>
      <c r="S755" s="4"/>
      <c r="T755" s="4"/>
      <c r="U755" s="4"/>
    </row>
    <row r="756" spans="2:21" x14ac:dyDescent="0.25">
      <c r="B756" s="95"/>
      <c r="N756"/>
      <c r="O756" s="4"/>
      <c r="P756" s="4"/>
      <c r="Q756" s="4"/>
      <c r="R756" s="4"/>
      <c r="S756" s="4"/>
      <c r="T756" s="4"/>
      <c r="U756" s="4"/>
    </row>
    <row r="757" spans="2:21" x14ac:dyDescent="0.25">
      <c r="B757" s="95"/>
      <c r="N757"/>
      <c r="O757" s="4"/>
      <c r="P757" s="4"/>
      <c r="Q757" s="4"/>
      <c r="R757" s="4"/>
      <c r="S757" s="4"/>
      <c r="T757" s="4"/>
      <c r="U757" s="4"/>
    </row>
    <row r="758" spans="2:21" x14ac:dyDescent="0.25">
      <c r="B758" s="95"/>
      <c r="N758"/>
      <c r="O758" s="4"/>
      <c r="P758" s="4"/>
      <c r="Q758" s="4"/>
      <c r="R758" s="4"/>
      <c r="S758" s="4"/>
      <c r="T758" s="4"/>
      <c r="U758" s="4"/>
    </row>
    <row r="759" spans="2:21" x14ac:dyDescent="0.25">
      <c r="B759" s="95"/>
      <c r="N759"/>
      <c r="O759" s="4"/>
      <c r="P759" s="4"/>
      <c r="Q759" s="4"/>
      <c r="R759" s="4"/>
      <c r="S759" s="4"/>
      <c r="T759" s="4"/>
      <c r="U759" s="4"/>
    </row>
    <row r="760" spans="2:21" x14ac:dyDescent="0.25">
      <c r="B760" s="95"/>
      <c r="N760"/>
      <c r="O760" s="4"/>
      <c r="P760" s="4"/>
      <c r="Q760" s="4"/>
      <c r="R760" s="4"/>
      <c r="S760" s="4"/>
      <c r="T760" s="4"/>
      <c r="U760" s="4"/>
    </row>
    <row r="761" spans="2:21" x14ac:dyDescent="0.25">
      <c r="B761" s="95"/>
      <c r="N761"/>
      <c r="O761" s="4"/>
      <c r="P761" s="4"/>
      <c r="Q761" s="4"/>
      <c r="R761" s="4"/>
      <c r="S761" s="4"/>
      <c r="T761" s="4"/>
      <c r="U761" s="4"/>
    </row>
    <row r="762" spans="2:21" x14ac:dyDescent="0.25">
      <c r="B762" s="95"/>
      <c r="N762"/>
      <c r="O762" s="4"/>
      <c r="P762" s="4"/>
      <c r="Q762" s="4"/>
      <c r="R762" s="4"/>
      <c r="S762" s="4"/>
      <c r="T762" s="4"/>
      <c r="U762" s="4"/>
    </row>
    <row r="763" spans="2:21" x14ac:dyDescent="0.25">
      <c r="B763" s="95"/>
      <c r="N763"/>
      <c r="O763" s="4"/>
      <c r="P763" s="4"/>
      <c r="Q763" s="4"/>
      <c r="R763" s="4"/>
      <c r="S763" s="4"/>
      <c r="T763" s="4"/>
      <c r="U763" s="4"/>
    </row>
    <row r="764" spans="2:21" x14ac:dyDescent="0.25">
      <c r="B764" s="95"/>
      <c r="N764"/>
      <c r="O764" s="4"/>
      <c r="P764" s="4"/>
      <c r="Q764" s="4"/>
      <c r="R764" s="4"/>
      <c r="S764" s="4"/>
      <c r="T764" s="4"/>
      <c r="U764" s="4"/>
    </row>
    <row r="765" spans="2:21" x14ac:dyDescent="0.25">
      <c r="B765" s="95"/>
      <c r="N765"/>
      <c r="O765" s="4"/>
      <c r="P765" s="4"/>
      <c r="Q765" s="4"/>
      <c r="R765" s="4"/>
      <c r="S765" s="4"/>
      <c r="T765" s="4"/>
      <c r="U765" s="4"/>
    </row>
    <row r="766" spans="2:21" x14ac:dyDescent="0.25">
      <c r="B766" s="95"/>
      <c r="N766"/>
      <c r="O766" s="4"/>
      <c r="P766" s="4"/>
      <c r="Q766" s="4"/>
      <c r="R766" s="4"/>
      <c r="S766" s="4"/>
      <c r="T766" s="4"/>
      <c r="U766" s="4"/>
    </row>
    <row r="767" spans="2:21" x14ac:dyDescent="0.25">
      <c r="B767" s="95"/>
      <c r="N767"/>
      <c r="O767" s="4"/>
      <c r="P767" s="4"/>
      <c r="Q767" s="4"/>
      <c r="R767" s="4"/>
      <c r="S767" s="4"/>
      <c r="T767" s="4"/>
      <c r="U767" s="4"/>
    </row>
    <row r="768" spans="2:21" x14ac:dyDescent="0.25">
      <c r="B768" s="95"/>
      <c r="N768"/>
      <c r="O768" s="4"/>
      <c r="P768" s="4"/>
      <c r="Q768" s="4"/>
      <c r="R768" s="4"/>
      <c r="S768" s="4"/>
      <c r="T768" s="4"/>
      <c r="U768" s="4"/>
    </row>
    <row r="769" spans="2:21" x14ac:dyDescent="0.25">
      <c r="B769" s="95"/>
      <c r="N769"/>
      <c r="O769" s="4"/>
      <c r="P769" s="4"/>
      <c r="Q769" s="4"/>
      <c r="R769" s="4"/>
      <c r="S769" s="4"/>
      <c r="T769" s="4"/>
      <c r="U769" s="4"/>
    </row>
    <row r="770" spans="2:21" x14ac:dyDescent="0.25">
      <c r="B770" s="95"/>
      <c r="N770"/>
      <c r="O770" s="4"/>
      <c r="P770" s="4"/>
      <c r="Q770" s="4"/>
      <c r="R770" s="4"/>
      <c r="S770" s="4"/>
      <c r="T770" s="4"/>
      <c r="U770" s="4"/>
    </row>
    <row r="771" spans="2:21" x14ac:dyDescent="0.25">
      <c r="B771" s="95"/>
      <c r="N771"/>
      <c r="O771" s="4"/>
      <c r="P771" s="4"/>
      <c r="Q771" s="4"/>
      <c r="R771" s="4"/>
      <c r="S771" s="4"/>
      <c r="T771" s="4"/>
      <c r="U771" s="4"/>
    </row>
    <row r="772" spans="2:21" x14ac:dyDescent="0.25">
      <c r="B772" s="95"/>
      <c r="N772"/>
      <c r="O772" s="4"/>
      <c r="P772" s="4"/>
      <c r="Q772" s="4"/>
      <c r="R772" s="4"/>
      <c r="S772" s="4"/>
      <c r="T772" s="4"/>
      <c r="U772" s="4"/>
    </row>
    <row r="773" spans="2:21" x14ac:dyDescent="0.25">
      <c r="B773" s="95"/>
      <c r="N773"/>
      <c r="O773" s="4"/>
      <c r="P773" s="4"/>
      <c r="Q773" s="4"/>
      <c r="R773" s="4"/>
      <c r="S773" s="4"/>
      <c r="T773" s="4"/>
      <c r="U773" s="4"/>
    </row>
    <row r="774" spans="2:21" x14ac:dyDescent="0.25">
      <c r="B774" s="95"/>
      <c r="N774"/>
      <c r="O774" s="4"/>
      <c r="P774" s="4"/>
      <c r="Q774" s="4"/>
      <c r="R774" s="4"/>
      <c r="S774" s="4"/>
      <c r="T774" s="4"/>
      <c r="U774" s="4"/>
    </row>
    <row r="775" spans="2:21" x14ac:dyDescent="0.25">
      <c r="B775" s="95"/>
      <c r="N775"/>
      <c r="O775" s="4"/>
      <c r="P775" s="4"/>
      <c r="Q775" s="4"/>
      <c r="R775" s="4"/>
      <c r="S775" s="4"/>
      <c r="T775" s="4"/>
      <c r="U775" s="4"/>
    </row>
    <row r="776" spans="2:21" x14ac:dyDescent="0.25">
      <c r="B776" s="95"/>
      <c r="N776"/>
      <c r="O776" s="4"/>
      <c r="P776" s="4"/>
      <c r="Q776" s="4"/>
      <c r="R776" s="4"/>
      <c r="S776" s="4"/>
      <c r="T776" s="4"/>
      <c r="U776" s="4"/>
    </row>
    <row r="777" spans="2:21" x14ac:dyDescent="0.25">
      <c r="B777" s="95"/>
      <c r="N777"/>
      <c r="O777" s="4"/>
      <c r="P777" s="4"/>
      <c r="Q777" s="4"/>
      <c r="R777" s="4"/>
      <c r="S777" s="4"/>
      <c r="T777" s="4"/>
      <c r="U777" s="4"/>
    </row>
    <row r="778" spans="2:21" x14ac:dyDescent="0.25">
      <c r="B778" s="95"/>
      <c r="N778"/>
      <c r="O778" s="4"/>
      <c r="P778" s="4"/>
      <c r="Q778" s="4"/>
      <c r="R778" s="4"/>
      <c r="S778" s="4"/>
      <c r="T778" s="4"/>
      <c r="U778" s="4"/>
    </row>
    <row r="779" spans="2:21" x14ac:dyDescent="0.25">
      <c r="B779" s="95"/>
      <c r="N779"/>
      <c r="O779" s="4"/>
      <c r="P779" s="4"/>
      <c r="Q779" s="4"/>
      <c r="R779" s="4"/>
      <c r="S779" s="4"/>
      <c r="T779" s="4"/>
      <c r="U779" s="4"/>
    </row>
    <row r="780" spans="2:21" x14ac:dyDescent="0.25">
      <c r="B780" s="95"/>
      <c r="N780"/>
      <c r="O780" s="4"/>
      <c r="P780" s="4"/>
      <c r="Q780" s="4"/>
      <c r="R780" s="4"/>
      <c r="S780" s="4"/>
      <c r="T780" s="4"/>
      <c r="U780" s="4"/>
    </row>
    <row r="781" spans="2:21" x14ac:dyDescent="0.25">
      <c r="B781" s="95"/>
      <c r="N781"/>
      <c r="O781" s="4"/>
      <c r="P781" s="4"/>
      <c r="Q781" s="4"/>
      <c r="R781" s="4"/>
      <c r="S781" s="4"/>
      <c r="T781" s="4"/>
      <c r="U781" s="4"/>
    </row>
    <row r="782" spans="2:21" x14ac:dyDescent="0.25">
      <c r="B782" s="95"/>
      <c r="N782"/>
      <c r="O782" s="4"/>
      <c r="P782" s="4"/>
      <c r="Q782" s="4"/>
      <c r="R782" s="4"/>
      <c r="S782" s="4"/>
      <c r="T782" s="4"/>
      <c r="U782" s="4"/>
    </row>
    <row r="783" spans="2:21" x14ac:dyDescent="0.25">
      <c r="B783" s="95"/>
      <c r="N783"/>
      <c r="O783" s="4"/>
      <c r="P783" s="4"/>
      <c r="Q783" s="4"/>
      <c r="R783" s="4"/>
      <c r="S783" s="4"/>
      <c r="T783" s="4"/>
      <c r="U783" s="4"/>
    </row>
    <row r="784" spans="2:21" x14ac:dyDescent="0.25">
      <c r="B784" s="95"/>
      <c r="N784"/>
      <c r="O784" s="4"/>
      <c r="P784" s="4"/>
      <c r="Q784" s="4"/>
      <c r="R784" s="4"/>
      <c r="S784" s="4"/>
      <c r="T784" s="4"/>
      <c r="U784" s="4"/>
    </row>
    <row r="785" spans="2:21" x14ac:dyDescent="0.25">
      <c r="B785" s="95"/>
      <c r="N785"/>
      <c r="O785" s="4"/>
      <c r="P785" s="4"/>
      <c r="Q785" s="4"/>
      <c r="R785" s="4"/>
      <c r="S785" s="4"/>
      <c r="T785" s="4"/>
      <c r="U785" s="4"/>
    </row>
    <row r="786" spans="2:21" x14ac:dyDescent="0.25">
      <c r="B786" s="95"/>
      <c r="N786"/>
      <c r="O786" s="4"/>
      <c r="P786" s="4"/>
      <c r="Q786" s="4"/>
      <c r="R786" s="4"/>
      <c r="S786" s="4"/>
      <c r="T786" s="4"/>
      <c r="U786" s="4"/>
    </row>
    <row r="787" spans="2:21" x14ac:dyDescent="0.25">
      <c r="B787" s="95"/>
      <c r="N787"/>
      <c r="O787" s="4"/>
      <c r="P787" s="4"/>
      <c r="Q787" s="4"/>
      <c r="R787" s="4"/>
      <c r="S787" s="4"/>
      <c r="T787" s="4"/>
      <c r="U787" s="4"/>
    </row>
    <row r="788" spans="2:21" x14ac:dyDescent="0.25">
      <c r="B788" s="95"/>
      <c r="N788"/>
      <c r="O788" s="4"/>
      <c r="P788" s="4"/>
      <c r="Q788" s="4"/>
      <c r="R788" s="4"/>
      <c r="S788" s="4"/>
      <c r="T788" s="4"/>
      <c r="U788" s="4"/>
    </row>
    <row r="789" spans="2:21" x14ac:dyDescent="0.25">
      <c r="B789" s="95"/>
      <c r="N789"/>
      <c r="O789" s="4"/>
      <c r="P789" s="4"/>
      <c r="Q789" s="4"/>
      <c r="R789" s="4"/>
      <c r="S789" s="4"/>
      <c r="T789" s="4"/>
      <c r="U789" s="4"/>
    </row>
    <row r="790" spans="2:21" x14ac:dyDescent="0.25">
      <c r="B790" s="95"/>
      <c r="N790"/>
      <c r="O790" s="4"/>
      <c r="P790" s="4"/>
      <c r="Q790" s="4"/>
      <c r="R790" s="4"/>
      <c r="S790" s="4"/>
      <c r="T790" s="4"/>
      <c r="U790" s="4"/>
    </row>
    <row r="791" spans="2:21" x14ac:dyDescent="0.25">
      <c r="B791" s="95"/>
      <c r="N791"/>
      <c r="O791" s="4"/>
      <c r="P791" s="4"/>
      <c r="Q791" s="4"/>
      <c r="R791" s="4"/>
      <c r="S791" s="4"/>
      <c r="T791" s="4"/>
      <c r="U791" s="4"/>
    </row>
    <row r="792" spans="2:21" x14ac:dyDescent="0.25">
      <c r="B792" s="95"/>
      <c r="N792"/>
      <c r="O792" s="4"/>
      <c r="P792" s="4"/>
      <c r="Q792" s="4"/>
      <c r="R792" s="4"/>
      <c r="S792" s="4"/>
      <c r="T792" s="4"/>
      <c r="U792" s="4"/>
    </row>
    <row r="793" spans="2:21" x14ac:dyDescent="0.25">
      <c r="B793" s="95"/>
      <c r="N793"/>
      <c r="O793" s="4"/>
      <c r="P793" s="4"/>
      <c r="Q793" s="4"/>
      <c r="R793" s="4"/>
      <c r="S793" s="4"/>
      <c r="T793" s="4"/>
      <c r="U793" s="4"/>
    </row>
    <row r="794" spans="2:21" x14ac:dyDescent="0.25">
      <c r="B794" s="95"/>
      <c r="N794"/>
      <c r="O794" s="4"/>
      <c r="P794" s="4"/>
      <c r="Q794" s="4"/>
      <c r="R794" s="4"/>
      <c r="S794" s="4"/>
      <c r="T794" s="4"/>
      <c r="U794" s="4"/>
    </row>
    <row r="795" spans="2:21" x14ac:dyDescent="0.25">
      <c r="B795" s="95"/>
      <c r="N795"/>
      <c r="O795" s="4"/>
      <c r="P795" s="4"/>
      <c r="Q795" s="4"/>
      <c r="R795" s="4"/>
      <c r="S795" s="4"/>
      <c r="T795" s="4"/>
      <c r="U795" s="4"/>
    </row>
    <row r="796" spans="2:21" x14ac:dyDescent="0.25">
      <c r="B796" s="95"/>
      <c r="N796"/>
      <c r="O796" s="4"/>
      <c r="P796" s="4"/>
      <c r="Q796" s="4"/>
      <c r="R796" s="4"/>
      <c r="S796" s="4"/>
      <c r="T796" s="4"/>
      <c r="U796" s="4"/>
    </row>
    <row r="797" spans="2:21" x14ac:dyDescent="0.25">
      <c r="B797" s="95"/>
      <c r="N797"/>
      <c r="O797" s="4"/>
      <c r="P797" s="4"/>
      <c r="Q797" s="4"/>
      <c r="R797" s="4"/>
      <c r="S797" s="4"/>
      <c r="T797" s="4"/>
      <c r="U797" s="4"/>
    </row>
    <row r="798" spans="2:21" x14ac:dyDescent="0.25">
      <c r="B798" s="95"/>
      <c r="N798"/>
      <c r="O798" s="4"/>
      <c r="P798" s="4"/>
      <c r="Q798" s="4"/>
      <c r="R798" s="4"/>
      <c r="S798" s="4"/>
      <c r="T798" s="4"/>
      <c r="U798" s="4"/>
    </row>
    <row r="799" spans="2:21" x14ac:dyDescent="0.25">
      <c r="B799" s="95"/>
      <c r="N799"/>
      <c r="O799" s="4"/>
      <c r="P799" s="4"/>
      <c r="Q799" s="4"/>
      <c r="R799" s="4"/>
      <c r="S799" s="4"/>
      <c r="T799" s="4"/>
      <c r="U799" s="4"/>
    </row>
    <row r="800" spans="2:21" x14ac:dyDescent="0.25">
      <c r="B800" s="95"/>
      <c r="N800"/>
      <c r="O800" s="4"/>
      <c r="P800" s="4"/>
      <c r="Q800" s="4"/>
      <c r="R800" s="4"/>
      <c r="S800" s="4"/>
      <c r="T800" s="4"/>
      <c r="U800" s="4"/>
    </row>
    <row r="801" spans="2:21" x14ac:dyDescent="0.25">
      <c r="B801" s="95"/>
      <c r="N801"/>
      <c r="O801" s="4"/>
      <c r="P801" s="4"/>
      <c r="Q801" s="4"/>
      <c r="R801" s="4"/>
      <c r="S801" s="4"/>
      <c r="T801" s="4"/>
      <c r="U801" s="4"/>
    </row>
    <row r="802" spans="2:21" x14ac:dyDescent="0.25">
      <c r="B802" s="95"/>
      <c r="N802"/>
      <c r="O802" s="4"/>
      <c r="P802" s="4"/>
      <c r="Q802" s="4"/>
      <c r="R802" s="4"/>
      <c r="S802" s="4"/>
      <c r="T802" s="4"/>
      <c r="U802" s="4"/>
    </row>
    <row r="803" spans="2:21" x14ac:dyDescent="0.25">
      <c r="B803" s="95"/>
      <c r="N803"/>
      <c r="O803" s="4"/>
      <c r="P803" s="4"/>
      <c r="Q803" s="4"/>
      <c r="R803" s="4"/>
      <c r="S803" s="4"/>
      <c r="T803" s="4"/>
      <c r="U803" s="4"/>
    </row>
    <row r="804" spans="2:21" x14ac:dyDescent="0.25">
      <c r="B804" s="95"/>
      <c r="N804"/>
      <c r="O804" s="4"/>
      <c r="P804" s="4"/>
      <c r="Q804" s="4"/>
      <c r="R804" s="4"/>
      <c r="S804" s="4"/>
      <c r="T804" s="4"/>
      <c r="U804" s="4"/>
    </row>
    <row r="805" spans="2:21" x14ac:dyDescent="0.25">
      <c r="B805" s="95"/>
      <c r="N805"/>
      <c r="O805" s="4"/>
      <c r="P805" s="4"/>
      <c r="Q805" s="4"/>
      <c r="R805" s="4"/>
      <c r="S805" s="4"/>
      <c r="T805" s="4"/>
      <c r="U805" s="4"/>
    </row>
    <row r="806" spans="2:21" x14ac:dyDescent="0.25">
      <c r="B806" s="95"/>
      <c r="N806"/>
      <c r="O806" s="4"/>
      <c r="P806" s="4"/>
      <c r="Q806" s="4"/>
      <c r="R806" s="4"/>
      <c r="S806" s="4"/>
      <c r="T806" s="4"/>
      <c r="U806" s="4"/>
    </row>
    <row r="807" spans="2:21" x14ac:dyDescent="0.25">
      <c r="B807" s="95"/>
      <c r="N807"/>
      <c r="O807" s="4"/>
      <c r="P807" s="4"/>
      <c r="Q807" s="4"/>
      <c r="R807" s="4"/>
      <c r="S807" s="4"/>
      <c r="T807" s="4"/>
      <c r="U807" s="4"/>
    </row>
    <row r="808" spans="2:21" x14ac:dyDescent="0.25">
      <c r="B808" s="95"/>
      <c r="N808"/>
      <c r="O808" s="4"/>
      <c r="P808" s="4"/>
      <c r="Q808" s="4"/>
      <c r="R808" s="4"/>
      <c r="S808" s="4"/>
      <c r="T808" s="4"/>
      <c r="U808" s="4"/>
    </row>
    <row r="809" spans="2:21" x14ac:dyDescent="0.25">
      <c r="B809" s="95"/>
      <c r="N809"/>
      <c r="O809" s="4"/>
      <c r="P809" s="4"/>
      <c r="Q809" s="4"/>
      <c r="R809" s="4"/>
      <c r="S809" s="4"/>
      <c r="T809" s="4"/>
      <c r="U809" s="4"/>
    </row>
    <row r="810" spans="2:21" x14ac:dyDescent="0.25">
      <c r="B810" s="95"/>
      <c r="N810"/>
      <c r="O810" s="4"/>
      <c r="P810" s="4"/>
      <c r="Q810" s="4"/>
      <c r="R810" s="4"/>
      <c r="S810" s="4"/>
      <c r="T810" s="4"/>
      <c r="U810" s="4"/>
    </row>
    <row r="811" spans="2:21" x14ac:dyDescent="0.25">
      <c r="B811" s="95"/>
      <c r="N811"/>
      <c r="O811" s="4"/>
      <c r="P811" s="4"/>
      <c r="Q811" s="4"/>
      <c r="R811" s="4"/>
      <c r="S811" s="4"/>
      <c r="T811" s="4"/>
      <c r="U811" s="4"/>
    </row>
    <row r="812" spans="2:21" x14ac:dyDescent="0.25">
      <c r="B812" s="95"/>
      <c r="N812"/>
      <c r="O812" s="4"/>
      <c r="P812" s="4"/>
      <c r="Q812" s="4"/>
      <c r="R812" s="4"/>
      <c r="S812" s="4"/>
      <c r="T812" s="4"/>
      <c r="U812" s="4"/>
    </row>
    <row r="813" spans="2:21" x14ac:dyDescent="0.25">
      <c r="B813" s="95"/>
      <c r="N813"/>
      <c r="O813" s="4"/>
      <c r="P813" s="4"/>
      <c r="Q813" s="4"/>
      <c r="R813" s="4"/>
      <c r="S813" s="4"/>
      <c r="T813" s="4"/>
      <c r="U813" s="4"/>
    </row>
    <row r="814" spans="2:21" x14ac:dyDescent="0.25">
      <c r="B814" s="95"/>
      <c r="N814"/>
      <c r="O814" s="4"/>
      <c r="P814" s="4"/>
      <c r="Q814" s="4"/>
      <c r="R814" s="4"/>
      <c r="S814" s="4"/>
      <c r="T814" s="4"/>
      <c r="U814" s="4"/>
    </row>
    <row r="815" spans="2:21" x14ac:dyDescent="0.25">
      <c r="B815" s="95"/>
      <c r="N815"/>
      <c r="O815" s="4"/>
      <c r="P815" s="4"/>
      <c r="Q815" s="4"/>
      <c r="R815" s="4"/>
      <c r="S815" s="4"/>
      <c r="T815" s="4"/>
      <c r="U815" s="4"/>
    </row>
    <row r="816" spans="2:21" x14ac:dyDescent="0.25">
      <c r="B816" s="95"/>
      <c r="N816"/>
      <c r="O816" s="4"/>
      <c r="P816" s="4"/>
      <c r="Q816" s="4"/>
      <c r="R816" s="4"/>
      <c r="S816" s="4"/>
      <c r="T816" s="4"/>
      <c r="U816" s="4"/>
    </row>
    <row r="817" spans="2:21" x14ac:dyDescent="0.25">
      <c r="B817" s="95"/>
      <c r="N817"/>
      <c r="O817" s="4"/>
      <c r="P817" s="4"/>
      <c r="Q817" s="4"/>
      <c r="R817" s="4"/>
      <c r="S817" s="4"/>
      <c r="T817" s="4"/>
      <c r="U817" s="4"/>
    </row>
    <row r="818" spans="2:21" x14ac:dyDescent="0.25">
      <c r="B818" s="95"/>
      <c r="N818"/>
      <c r="O818" s="4"/>
      <c r="P818" s="4"/>
      <c r="Q818" s="4"/>
      <c r="R818" s="4"/>
      <c r="S818" s="4"/>
      <c r="T818" s="4"/>
      <c r="U818" s="4"/>
    </row>
    <row r="819" spans="2:21" x14ac:dyDescent="0.25">
      <c r="B819" s="95"/>
      <c r="N819"/>
      <c r="O819" s="4"/>
      <c r="P819" s="4"/>
      <c r="Q819" s="4"/>
      <c r="R819" s="4"/>
      <c r="S819" s="4"/>
      <c r="T819" s="4"/>
      <c r="U819" s="4"/>
    </row>
    <row r="820" spans="2:21" x14ac:dyDescent="0.25">
      <c r="B820" s="95"/>
      <c r="N820"/>
      <c r="O820" s="4"/>
      <c r="P820" s="4"/>
      <c r="Q820" s="4"/>
      <c r="R820" s="4"/>
      <c r="S820" s="4"/>
      <c r="T820" s="4"/>
      <c r="U820" s="4"/>
    </row>
    <row r="821" spans="2:21" x14ac:dyDescent="0.25">
      <c r="B821" s="95"/>
      <c r="N821"/>
      <c r="O821" s="4"/>
      <c r="P821" s="4"/>
      <c r="Q821" s="4"/>
      <c r="R821" s="4"/>
      <c r="S821" s="4"/>
      <c r="T821" s="4"/>
      <c r="U821" s="4"/>
    </row>
    <row r="822" spans="2:21" x14ac:dyDescent="0.25">
      <c r="B822" s="95"/>
      <c r="N822"/>
      <c r="O822" s="4"/>
      <c r="P822" s="4"/>
      <c r="Q822" s="4"/>
      <c r="R822" s="4"/>
      <c r="S822" s="4"/>
      <c r="T822" s="4"/>
      <c r="U822" s="4"/>
    </row>
    <row r="823" spans="2:21" x14ac:dyDescent="0.25">
      <c r="B823" s="95"/>
      <c r="N823"/>
      <c r="O823" s="4"/>
      <c r="P823" s="4"/>
      <c r="Q823" s="4"/>
      <c r="R823" s="4"/>
      <c r="S823" s="4"/>
      <c r="T823" s="4"/>
      <c r="U823" s="4"/>
    </row>
    <row r="824" spans="2:21" x14ac:dyDescent="0.25">
      <c r="B824" s="95"/>
      <c r="N824"/>
      <c r="O824" s="4"/>
      <c r="P824" s="4"/>
      <c r="Q824" s="4"/>
      <c r="R824" s="4"/>
      <c r="S824" s="4"/>
      <c r="T824" s="4"/>
      <c r="U824" s="4"/>
    </row>
    <row r="825" spans="2:21" x14ac:dyDescent="0.25">
      <c r="B825" s="95"/>
      <c r="N825"/>
      <c r="O825" s="4"/>
      <c r="P825" s="4"/>
      <c r="Q825" s="4"/>
      <c r="R825" s="4"/>
      <c r="S825" s="4"/>
      <c r="T825" s="4"/>
      <c r="U825" s="4"/>
    </row>
    <row r="826" spans="2:21" x14ac:dyDescent="0.25">
      <c r="B826" s="95"/>
      <c r="N826"/>
      <c r="O826" s="4"/>
      <c r="P826" s="4"/>
      <c r="Q826" s="4"/>
      <c r="R826" s="4"/>
      <c r="S826" s="4"/>
      <c r="T826" s="4"/>
      <c r="U826" s="4"/>
    </row>
    <row r="827" spans="2:21" x14ac:dyDescent="0.25">
      <c r="B827" s="95"/>
      <c r="N827"/>
      <c r="O827" s="4"/>
      <c r="P827" s="4"/>
      <c r="Q827" s="4"/>
      <c r="R827" s="4"/>
      <c r="S827" s="4"/>
      <c r="T827" s="4"/>
      <c r="U827" s="4"/>
    </row>
    <row r="828" spans="2:21" x14ac:dyDescent="0.25">
      <c r="B828" s="95"/>
      <c r="N828"/>
      <c r="O828" s="4"/>
      <c r="P828" s="4"/>
      <c r="Q828" s="4"/>
      <c r="R828" s="4"/>
      <c r="S828" s="4"/>
      <c r="T828" s="4"/>
      <c r="U828" s="4"/>
    </row>
    <row r="829" spans="2:21" x14ac:dyDescent="0.25">
      <c r="B829" s="95"/>
      <c r="N829"/>
      <c r="O829" s="4"/>
      <c r="P829" s="4"/>
      <c r="Q829" s="4"/>
      <c r="R829" s="4"/>
      <c r="S829" s="4"/>
      <c r="T829" s="4"/>
      <c r="U829" s="4"/>
    </row>
    <row r="830" spans="2:21" x14ac:dyDescent="0.25">
      <c r="B830" s="95"/>
      <c r="N830"/>
      <c r="O830" s="4"/>
      <c r="P830" s="4"/>
      <c r="Q830" s="4"/>
      <c r="R830" s="4"/>
      <c r="S830" s="4"/>
      <c r="T830" s="4"/>
      <c r="U830" s="4"/>
    </row>
    <row r="831" spans="2:21" x14ac:dyDescent="0.25">
      <c r="B831" s="95"/>
      <c r="N831"/>
      <c r="O831" s="4"/>
      <c r="P831" s="4"/>
      <c r="Q831" s="4"/>
      <c r="R831" s="4"/>
      <c r="S831" s="4"/>
      <c r="T831" s="4"/>
      <c r="U831" s="4"/>
    </row>
    <row r="832" spans="2:21" x14ac:dyDescent="0.25">
      <c r="B832" s="95"/>
      <c r="N832"/>
      <c r="O832" s="4"/>
      <c r="P832" s="4"/>
      <c r="Q832" s="4"/>
      <c r="R832" s="4"/>
      <c r="S832" s="4"/>
      <c r="T832" s="4"/>
      <c r="U832" s="4"/>
    </row>
    <row r="833" spans="2:21" x14ac:dyDescent="0.25">
      <c r="B833" s="95"/>
      <c r="N833"/>
      <c r="O833" s="4"/>
      <c r="P833" s="4"/>
      <c r="Q833" s="4"/>
      <c r="R833" s="4"/>
      <c r="S833" s="4"/>
      <c r="T833" s="4"/>
      <c r="U833" s="4"/>
    </row>
    <row r="834" spans="2:21" x14ac:dyDescent="0.25">
      <c r="B834" s="95"/>
      <c r="N834"/>
      <c r="O834" s="4"/>
      <c r="P834" s="4"/>
      <c r="Q834" s="4"/>
      <c r="R834" s="4"/>
      <c r="S834" s="4"/>
      <c r="T834" s="4"/>
      <c r="U834" s="4"/>
    </row>
    <row r="835" spans="2:21" x14ac:dyDescent="0.25">
      <c r="B835" s="95"/>
      <c r="N835"/>
      <c r="O835" s="4"/>
      <c r="P835" s="4"/>
      <c r="Q835" s="4"/>
      <c r="R835" s="4"/>
      <c r="S835" s="4"/>
      <c r="T835" s="4"/>
      <c r="U835" s="4"/>
    </row>
    <row r="836" spans="2:21" x14ac:dyDescent="0.25">
      <c r="B836" s="95"/>
      <c r="N836"/>
      <c r="O836" s="4"/>
      <c r="P836" s="4"/>
      <c r="Q836" s="4"/>
      <c r="R836" s="4"/>
      <c r="S836" s="4"/>
      <c r="T836" s="4"/>
      <c r="U836" s="4"/>
    </row>
    <row r="837" spans="2:21" x14ac:dyDescent="0.25">
      <c r="B837" s="95"/>
      <c r="N837"/>
      <c r="O837" s="4"/>
      <c r="P837" s="4"/>
      <c r="Q837" s="4"/>
      <c r="R837" s="4"/>
      <c r="S837" s="4"/>
      <c r="T837" s="4"/>
      <c r="U837" s="4"/>
    </row>
    <row r="838" spans="2:21" x14ac:dyDescent="0.25">
      <c r="B838" s="95"/>
      <c r="N838"/>
      <c r="O838" s="4"/>
      <c r="P838" s="4"/>
      <c r="Q838" s="4"/>
      <c r="R838" s="4"/>
      <c r="S838" s="4"/>
      <c r="T838" s="4"/>
      <c r="U838" s="4"/>
    </row>
    <row r="839" spans="2:21" x14ac:dyDescent="0.25">
      <c r="B839" s="95"/>
      <c r="N839"/>
      <c r="O839" s="4"/>
      <c r="P839" s="4"/>
      <c r="Q839" s="4"/>
      <c r="R839" s="4"/>
      <c r="S839" s="4"/>
      <c r="T839" s="4"/>
      <c r="U839" s="4"/>
    </row>
    <row r="840" spans="2:21" x14ac:dyDescent="0.25">
      <c r="B840" s="95"/>
      <c r="N840"/>
      <c r="O840" s="4"/>
      <c r="P840" s="4"/>
      <c r="Q840" s="4"/>
      <c r="R840" s="4"/>
      <c r="S840" s="4"/>
      <c r="T840" s="4"/>
      <c r="U840" s="4"/>
    </row>
    <row r="841" spans="2:21" x14ac:dyDescent="0.25">
      <c r="B841" s="95"/>
      <c r="N841"/>
      <c r="O841" s="4"/>
      <c r="P841" s="4"/>
      <c r="Q841" s="4"/>
      <c r="R841" s="4"/>
      <c r="S841" s="4"/>
      <c r="T841" s="4"/>
      <c r="U841" s="4"/>
    </row>
    <row r="842" spans="2:21" x14ac:dyDescent="0.25">
      <c r="B842" s="95"/>
      <c r="N842"/>
      <c r="O842" s="4"/>
      <c r="P842" s="4"/>
      <c r="Q842" s="4"/>
      <c r="R842" s="4"/>
      <c r="S842" s="4"/>
      <c r="T842" s="4"/>
      <c r="U842" s="4"/>
    </row>
    <row r="843" spans="2:21" x14ac:dyDescent="0.25">
      <c r="B843" s="95"/>
      <c r="N843"/>
      <c r="O843" s="4"/>
      <c r="P843" s="4"/>
      <c r="Q843" s="4"/>
      <c r="R843" s="4"/>
      <c r="S843" s="4"/>
      <c r="T843" s="4"/>
      <c r="U843" s="4"/>
    </row>
    <row r="844" spans="2:21" x14ac:dyDescent="0.25">
      <c r="B844" s="95"/>
      <c r="N844"/>
      <c r="O844" s="4"/>
      <c r="P844" s="4"/>
      <c r="Q844" s="4"/>
      <c r="R844" s="4"/>
      <c r="S844" s="4"/>
      <c r="T844" s="4"/>
      <c r="U844" s="4"/>
    </row>
    <row r="845" spans="2:21" x14ac:dyDescent="0.25">
      <c r="B845" s="95"/>
      <c r="N845"/>
      <c r="O845" s="4"/>
      <c r="P845" s="4"/>
      <c r="Q845" s="4"/>
      <c r="R845" s="4"/>
      <c r="S845" s="4"/>
      <c r="T845" s="4"/>
      <c r="U845" s="4"/>
    </row>
    <row r="846" spans="2:21" x14ac:dyDescent="0.25">
      <c r="B846" s="95"/>
      <c r="N846"/>
      <c r="O846" s="4"/>
      <c r="P846" s="4"/>
      <c r="Q846" s="4"/>
      <c r="R846" s="4"/>
      <c r="S846" s="4"/>
      <c r="T846" s="4"/>
      <c r="U846" s="4"/>
    </row>
    <row r="847" spans="2:21" x14ac:dyDescent="0.25">
      <c r="B847" s="95"/>
      <c r="N847"/>
      <c r="O847" s="4"/>
      <c r="P847" s="4"/>
      <c r="Q847" s="4"/>
      <c r="R847" s="4"/>
      <c r="S847" s="4"/>
      <c r="T847" s="4"/>
      <c r="U847" s="4"/>
    </row>
    <row r="848" spans="2:21" x14ac:dyDescent="0.25">
      <c r="B848" s="95"/>
      <c r="N848"/>
      <c r="O848" s="4"/>
      <c r="P848" s="4"/>
      <c r="Q848" s="4"/>
      <c r="R848" s="4"/>
      <c r="S848" s="4"/>
      <c r="T848" s="4"/>
      <c r="U848" s="4"/>
    </row>
    <row r="849" spans="2:21" x14ac:dyDescent="0.25">
      <c r="B849" s="95"/>
      <c r="N849"/>
      <c r="O849" s="4"/>
      <c r="P849" s="4"/>
      <c r="Q849" s="4"/>
      <c r="R849" s="4"/>
      <c r="S849" s="4"/>
      <c r="T849" s="4"/>
      <c r="U849" s="4"/>
    </row>
    <row r="850" spans="2:21" x14ac:dyDescent="0.25">
      <c r="B850" s="95"/>
      <c r="N850"/>
      <c r="O850" s="4"/>
      <c r="P850" s="4"/>
      <c r="Q850" s="4"/>
      <c r="R850" s="4"/>
      <c r="S850" s="4"/>
      <c r="T850" s="4"/>
      <c r="U850" s="4"/>
    </row>
    <row r="851" spans="2:21" x14ac:dyDescent="0.25">
      <c r="B851" s="95"/>
      <c r="N851"/>
      <c r="O851" s="4"/>
      <c r="P851" s="4"/>
      <c r="Q851" s="4"/>
      <c r="R851" s="4"/>
      <c r="S851" s="4"/>
      <c r="T851" s="4"/>
      <c r="U851" s="4"/>
    </row>
    <row r="852" spans="2:21" x14ac:dyDescent="0.25">
      <c r="B852" s="95"/>
      <c r="N852"/>
      <c r="O852" s="4"/>
      <c r="P852" s="4"/>
      <c r="Q852" s="4"/>
      <c r="R852" s="4"/>
      <c r="S852" s="4"/>
      <c r="T852" s="4"/>
      <c r="U852" s="4"/>
    </row>
    <row r="853" spans="2:21" x14ac:dyDescent="0.25">
      <c r="B853" s="95"/>
      <c r="N853"/>
      <c r="O853" s="4"/>
      <c r="P853" s="4"/>
      <c r="Q853" s="4"/>
      <c r="R853" s="4"/>
      <c r="S853" s="4"/>
      <c r="T853" s="4"/>
      <c r="U853" s="4"/>
    </row>
    <row r="854" spans="2:21" x14ac:dyDescent="0.25">
      <c r="B854" s="95"/>
      <c r="N854"/>
      <c r="O854" s="4"/>
      <c r="P854" s="4"/>
      <c r="Q854" s="4"/>
      <c r="R854" s="4"/>
      <c r="S854" s="4"/>
      <c r="T854" s="4"/>
      <c r="U854" s="4"/>
    </row>
    <row r="855" spans="2:21" x14ac:dyDescent="0.25">
      <c r="B855" s="95"/>
      <c r="N855"/>
      <c r="O855" s="4"/>
      <c r="P855" s="4"/>
      <c r="Q855" s="4"/>
      <c r="R855" s="4"/>
      <c r="S855" s="4"/>
      <c r="T855" s="4"/>
      <c r="U855" s="4"/>
    </row>
    <row r="856" spans="2:21" x14ac:dyDescent="0.25">
      <c r="B856" s="95"/>
      <c r="N856"/>
      <c r="O856" s="4"/>
      <c r="P856" s="4"/>
      <c r="Q856" s="4"/>
      <c r="R856" s="4"/>
      <c r="S856" s="4"/>
      <c r="T856" s="4"/>
      <c r="U856" s="4"/>
    </row>
    <row r="857" spans="2:21" x14ac:dyDescent="0.25">
      <c r="B857" s="95"/>
      <c r="N857"/>
      <c r="O857" s="4"/>
      <c r="P857" s="4"/>
      <c r="Q857" s="4"/>
      <c r="R857" s="4"/>
      <c r="S857" s="4"/>
      <c r="T857" s="4"/>
      <c r="U857" s="4"/>
    </row>
    <row r="858" spans="2:21" x14ac:dyDescent="0.25">
      <c r="B858" s="95"/>
      <c r="N858"/>
      <c r="O858" s="4"/>
      <c r="P858" s="4"/>
      <c r="Q858" s="4"/>
      <c r="R858" s="4"/>
      <c r="S858" s="4"/>
      <c r="T858" s="4"/>
      <c r="U858" s="4"/>
    </row>
    <row r="859" spans="2:21" x14ac:dyDescent="0.25">
      <c r="B859" s="95"/>
      <c r="N859"/>
      <c r="O859" s="4"/>
      <c r="P859" s="4"/>
      <c r="Q859" s="4"/>
      <c r="R859" s="4"/>
      <c r="S859" s="4"/>
      <c r="T859" s="4"/>
      <c r="U859" s="4"/>
    </row>
    <row r="860" spans="2:21" x14ac:dyDescent="0.25">
      <c r="B860" s="95"/>
      <c r="N860"/>
      <c r="O860" s="4"/>
      <c r="P860" s="4"/>
      <c r="Q860" s="4"/>
      <c r="R860" s="4"/>
      <c r="S860" s="4"/>
      <c r="T860" s="4"/>
      <c r="U860" s="4"/>
    </row>
    <row r="861" spans="2:21" x14ac:dyDescent="0.25">
      <c r="B861" s="95"/>
      <c r="N861"/>
      <c r="O861" s="4"/>
      <c r="P861" s="4"/>
      <c r="Q861" s="4"/>
      <c r="R861" s="4"/>
      <c r="S861" s="4"/>
      <c r="T861" s="4"/>
      <c r="U861" s="4"/>
    </row>
    <row r="862" spans="2:21" x14ac:dyDescent="0.25">
      <c r="B862" s="95"/>
      <c r="N862"/>
      <c r="O862" s="4"/>
      <c r="P862" s="4"/>
      <c r="Q862" s="4"/>
      <c r="R862" s="4"/>
      <c r="S862" s="4"/>
      <c r="T862" s="4"/>
      <c r="U862" s="4"/>
    </row>
    <row r="863" spans="2:21" x14ac:dyDescent="0.25">
      <c r="B863" s="95"/>
      <c r="N863"/>
      <c r="O863" s="4"/>
      <c r="P863" s="4"/>
      <c r="Q863" s="4"/>
      <c r="R863" s="4"/>
      <c r="S863" s="4"/>
      <c r="T863" s="4"/>
      <c r="U863" s="4"/>
    </row>
    <row r="864" spans="2:21" x14ac:dyDescent="0.25">
      <c r="B864" s="95"/>
      <c r="N864"/>
      <c r="O864" s="4"/>
      <c r="P864" s="4"/>
      <c r="Q864" s="4"/>
      <c r="R864" s="4"/>
      <c r="S864" s="4"/>
      <c r="T864" s="4"/>
      <c r="U864" s="4"/>
    </row>
    <row r="865" spans="2:21" x14ac:dyDescent="0.25">
      <c r="B865" s="95"/>
      <c r="N865"/>
      <c r="O865" s="4"/>
      <c r="P865" s="4"/>
      <c r="Q865" s="4"/>
      <c r="R865" s="4"/>
      <c r="S865" s="4"/>
      <c r="T865" s="4"/>
      <c r="U865" s="4"/>
    </row>
    <row r="866" spans="2:21" x14ac:dyDescent="0.25">
      <c r="B866" s="95"/>
      <c r="N866"/>
      <c r="O866" s="4"/>
      <c r="P866" s="4"/>
      <c r="Q866" s="4"/>
      <c r="R866" s="4"/>
      <c r="S866" s="4"/>
      <c r="T866" s="4"/>
      <c r="U866" s="4"/>
    </row>
    <row r="867" spans="2:21" x14ac:dyDescent="0.25">
      <c r="B867" s="95"/>
      <c r="N867"/>
      <c r="O867" s="4"/>
      <c r="P867" s="4"/>
      <c r="Q867" s="4"/>
      <c r="R867" s="4"/>
      <c r="S867" s="4"/>
      <c r="T867" s="4"/>
      <c r="U867" s="4"/>
    </row>
    <row r="868" spans="2:21" x14ac:dyDescent="0.25">
      <c r="B868" s="95"/>
      <c r="N868"/>
      <c r="O868" s="4"/>
      <c r="P868" s="4"/>
      <c r="Q868" s="4"/>
      <c r="R868" s="4"/>
      <c r="S868" s="4"/>
      <c r="T868" s="4"/>
      <c r="U868" s="4"/>
    </row>
    <row r="869" spans="2:21" x14ac:dyDescent="0.25">
      <c r="B869" s="95"/>
      <c r="N869"/>
      <c r="O869" s="4"/>
      <c r="P869" s="4"/>
      <c r="Q869" s="4"/>
      <c r="R869" s="4"/>
      <c r="S869" s="4"/>
      <c r="T869" s="4"/>
      <c r="U869" s="4"/>
    </row>
    <row r="870" spans="2:21" x14ac:dyDescent="0.25">
      <c r="B870" s="95"/>
      <c r="N870"/>
      <c r="O870" s="4"/>
      <c r="P870" s="4"/>
      <c r="Q870" s="4"/>
      <c r="R870" s="4"/>
      <c r="S870" s="4"/>
      <c r="T870" s="4"/>
      <c r="U870" s="4"/>
    </row>
    <row r="871" spans="2:21" x14ac:dyDescent="0.25">
      <c r="B871" s="95"/>
      <c r="N871"/>
      <c r="O871" s="4"/>
      <c r="P871" s="4"/>
      <c r="Q871" s="4"/>
      <c r="R871" s="4"/>
      <c r="S871" s="4"/>
      <c r="T871" s="4"/>
      <c r="U871" s="4"/>
    </row>
    <row r="872" spans="2:21" x14ac:dyDescent="0.25">
      <c r="B872" s="95"/>
      <c r="N872"/>
      <c r="O872" s="4"/>
      <c r="P872" s="4"/>
      <c r="Q872" s="4"/>
      <c r="R872" s="4"/>
      <c r="S872" s="4"/>
      <c r="T872" s="4"/>
      <c r="U872" s="4"/>
    </row>
    <row r="873" spans="2:21" x14ac:dyDescent="0.25">
      <c r="B873" s="95"/>
      <c r="N873"/>
      <c r="O873" s="4"/>
      <c r="P873" s="4"/>
      <c r="Q873" s="4"/>
      <c r="R873" s="4"/>
      <c r="S873" s="4"/>
      <c r="T873" s="4"/>
      <c r="U873" s="4"/>
    </row>
    <row r="874" spans="2:21" x14ac:dyDescent="0.25">
      <c r="B874" s="95"/>
      <c r="N874"/>
      <c r="O874" s="4"/>
      <c r="P874" s="4"/>
      <c r="Q874" s="4"/>
      <c r="R874" s="4"/>
      <c r="S874" s="4"/>
      <c r="T874" s="4"/>
      <c r="U874" s="4"/>
    </row>
    <row r="875" spans="2:21" x14ac:dyDescent="0.25">
      <c r="B875" s="95"/>
      <c r="N875"/>
      <c r="O875" s="4"/>
      <c r="P875" s="4"/>
      <c r="Q875" s="4"/>
      <c r="R875" s="4"/>
      <c r="S875" s="4"/>
      <c r="T875" s="4"/>
      <c r="U875" s="4"/>
    </row>
    <row r="876" spans="2:21" x14ac:dyDescent="0.25">
      <c r="B876" s="95"/>
      <c r="N876"/>
      <c r="O876" s="4"/>
      <c r="P876" s="4"/>
      <c r="Q876" s="4"/>
      <c r="R876" s="4"/>
      <c r="S876" s="4"/>
      <c r="T876" s="4"/>
      <c r="U876" s="4"/>
    </row>
    <row r="877" spans="2:21" x14ac:dyDescent="0.25">
      <c r="B877" s="95"/>
      <c r="N877"/>
      <c r="O877" s="4"/>
      <c r="P877" s="4"/>
      <c r="Q877" s="4"/>
      <c r="R877" s="4"/>
      <c r="S877" s="4"/>
      <c r="T877" s="4"/>
      <c r="U877" s="4"/>
    </row>
    <row r="878" spans="2:21" x14ac:dyDescent="0.25">
      <c r="B878" s="95"/>
      <c r="N878"/>
      <c r="O878" s="4"/>
      <c r="P878" s="4"/>
      <c r="Q878" s="4"/>
      <c r="R878" s="4"/>
      <c r="S878" s="4"/>
      <c r="T878" s="4"/>
      <c r="U878" s="4"/>
    </row>
    <row r="879" spans="2:21" x14ac:dyDescent="0.25">
      <c r="B879" s="95"/>
      <c r="N879"/>
      <c r="O879" s="4"/>
      <c r="P879" s="4"/>
      <c r="Q879" s="4"/>
      <c r="R879" s="4"/>
      <c r="S879" s="4"/>
      <c r="T879" s="4"/>
      <c r="U879" s="4"/>
    </row>
    <row r="880" spans="2:21" x14ac:dyDescent="0.25">
      <c r="B880" s="95"/>
      <c r="N880"/>
      <c r="O880" s="4"/>
      <c r="P880" s="4"/>
      <c r="Q880" s="4"/>
      <c r="R880" s="4"/>
      <c r="S880" s="4"/>
      <c r="T880" s="4"/>
      <c r="U880" s="4"/>
    </row>
    <row r="881" spans="2:21" x14ac:dyDescent="0.25">
      <c r="B881" s="95"/>
      <c r="N881"/>
      <c r="O881" s="4"/>
      <c r="P881" s="4"/>
      <c r="Q881" s="4"/>
      <c r="R881" s="4"/>
      <c r="S881" s="4"/>
      <c r="T881" s="4"/>
      <c r="U881" s="4"/>
    </row>
    <row r="882" spans="2:21" x14ac:dyDescent="0.25">
      <c r="B882" s="95"/>
      <c r="N882"/>
      <c r="O882" s="4"/>
      <c r="P882" s="4"/>
      <c r="Q882" s="4"/>
      <c r="R882" s="4"/>
      <c r="S882" s="4"/>
      <c r="T882" s="4"/>
      <c r="U882" s="4"/>
    </row>
    <row r="883" spans="2:21" x14ac:dyDescent="0.25">
      <c r="B883" s="95"/>
      <c r="N883"/>
      <c r="O883" s="4"/>
      <c r="P883" s="4"/>
      <c r="Q883" s="4"/>
      <c r="R883" s="4"/>
      <c r="S883" s="4"/>
      <c r="T883" s="4"/>
      <c r="U883" s="4"/>
    </row>
    <row r="884" spans="2:21" x14ac:dyDescent="0.25">
      <c r="B884" s="95"/>
      <c r="N884"/>
      <c r="O884" s="4"/>
      <c r="P884" s="4"/>
      <c r="Q884" s="4"/>
      <c r="R884" s="4"/>
      <c r="S884" s="4"/>
      <c r="T884" s="4"/>
      <c r="U884" s="4"/>
    </row>
    <row r="885" spans="2:21" x14ac:dyDescent="0.25">
      <c r="B885" s="95"/>
      <c r="N885"/>
      <c r="O885" s="4"/>
      <c r="P885" s="4"/>
      <c r="Q885" s="4"/>
      <c r="R885" s="4"/>
      <c r="S885" s="4"/>
      <c r="T885" s="4"/>
      <c r="U885" s="4"/>
    </row>
    <row r="886" spans="2:21" x14ac:dyDescent="0.25">
      <c r="B886" s="95"/>
      <c r="N886"/>
      <c r="O886" s="4"/>
      <c r="P886" s="4"/>
      <c r="Q886" s="4"/>
      <c r="R886" s="4"/>
      <c r="S886" s="4"/>
      <c r="T886" s="4"/>
      <c r="U886" s="4"/>
    </row>
    <row r="887" spans="2:21" x14ac:dyDescent="0.25">
      <c r="B887" s="95"/>
      <c r="N887"/>
      <c r="O887" s="4"/>
      <c r="P887" s="4"/>
      <c r="Q887" s="4"/>
      <c r="R887" s="4"/>
      <c r="S887" s="4"/>
      <c r="T887" s="4"/>
      <c r="U887" s="4"/>
    </row>
    <row r="888" spans="2:21" x14ac:dyDescent="0.25">
      <c r="B888" s="95"/>
      <c r="N888"/>
      <c r="O888" s="4"/>
      <c r="P888" s="4"/>
      <c r="Q888" s="4"/>
      <c r="R888" s="4"/>
      <c r="S888" s="4"/>
      <c r="T888" s="4"/>
      <c r="U888" s="4"/>
    </row>
    <row r="889" spans="2:21" x14ac:dyDescent="0.25">
      <c r="B889" s="95"/>
      <c r="N889"/>
      <c r="O889" s="4"/>
      <c r="P889" s="4"/>
      <c r="Q889" s="4"/>
      <c r="R889" s="4"/>
      <c r="S889" s="4"/>
      <c r="T889" s="4"/>
      <c r="U889" s="4"/>
    </row>
    <row r="890" spans="2:21" x14ac:dyDescent="0.25">
      <c r="B890" s="95"/>
      <c r="N890"/>
      <c r="O890" s="4"/>
      <c r="P890" s="4"/>
      <c r="Q890" s="4"/>
      <c r="R890" s="4"/>
      <c r="S890" s="4"/>
      <c r="T890" s="4"/>
      <c r="U890" s="4"/>
    </row>
    <row r="891" spans="2:21" x14ac:dyDescent="0.25">
      <c r="B891" s="95"/>
      <c r="N891"/>
      <c r="O891" s="4"/>
      <c r="P891" s="4"/>
      <c r="Q891" s="4"/>
      <c r="R891" s="4"/>
      <c r="S891" s="4"/>
      <c r="T891" s="4"/>
      <c r="U891" s="4"/>
    </row>
    <row r="892" spans="2:21" x14ac:dyDescent="0.25">
      <c r="B892" s="95"/>
      <c r="N892"/>
      <c r="O892" s="4"/>
      <c r="P892" s="4"/>
      <c r="Q892" s="4"/>
      <c r="R892" s="4"/>
      <c r="S892" s="4"/>
      <c r="T892" s="4"/>
      <c r="U892" s="4"/>
    </row>
    <row r="893" spans="2:21" x14ac:dyDescent="0.25">
      <c r="B893" s="95"/>
      <c r="N893"/>
      <c r="O893" s="4"/>
      <c r="P893" s="4"/>
      <c r="Q893" s="4"/>
      <c r="R893" s="4"/>
      <c r="S893" s="4"/>
      <c r="T893" s="4"/>
      <c r="U893" s="4"/>
    </row>
    <row r="894" spans="2:21" x14ac:dyDescent="0.25">
      <c r="B894" s="95"/>
      <c r="N894"/>
      <c r="O894" s="4"/>
      <c r="P894" s="4"/>
      <c r="Q894" s="4"/>
      <c r="R894" s="4"/>
      <c r="S894" s="4"/>
      <c r="T894" s="4"/>
      <c r="U894" s="4"/>
    </row>
    <row r="895" spans="2:21" x14ac:dyDescent="0.25">
      <c r="B895" s="95"/>
      <c r="N895" s="58"/>
      <c r="O895" s="4"/>
      <c r="P895" s="4"/>
      <c r="Q895" s="4"/>
      <c r="R895" s="4"/>
      <c r="S895" s="4"/>
      <c r="T895" s="4"/>
      <c r="U895" s="4"/>
    </row>
    <row r="896" spans="2:21" x14ac:dyDescent="0.25">
      <c r="B896" s="95"/>
      <c r="N896" s="58"/>
      <c r="O896" s="4"/>
      <c r="P896" s="4"/>
      <c r="Q896" s="4"/>
      <c r="R896" s="4"/>
      <c r="S896" s="4"/>
      <c r="T896" s="4"/>
      <c r="U896" s="4"/>
    </row>
    <row r="897" spans="2:21" x14ac:dyDescent="0.25">
      <c r="B897" s="95"/>
      <c r="N897" s="58"/>
      <c r="O897" s="4"/>
      <c r="P897" s="4"/>
      <c r="Q897" s="4"/>
      <c r="R897" s="4"/>
      <c r="S897" s="4"/>
      <c r="T897" s="4"/>
      <c r="U897" s="4"/>
    </row>
    <row r="898" spans="2:21" x14ac:dyDescent="0.25">
      <c r="B898" s="95"/>
      <c r="N898" s="58"/>
      <c r="O898" s="4"/>
      <c r="P898" s="4"/>
      <c r="Q898" s="4"/>
      <c r="R898" s="4"/>
      <c r="S898" s="4"/>
      <c r="T898" s="4"/>
      <c r="U898" s="4"/>
    </row>
    <row r="899" spans="2:21" x14ac:dyDescent="0.25">
      <c r="B899" s="95"/>
      <c r="N899" s="58"/>
      <c r="O899" s="4"/>
      <c r="P899" s="4"/>
      <c r="Q899" s="4"/>
      <c r="R899" s="4"/>
      <c r="S899" s="4"/>
      <c r="T899" s="4"/>
      <c r="U899" s="4"/>
    </row>
    <row r="900" spans="2:21" x14ac:dyDescent="0.25">
      <c r="B900" s="95"/>
      <c r="N900" s="58"/>
      <c r="O900" s="4"/>
      <c r="P900" s="4"/>
      <c r="Q900" s="4"/>
      <c r="R900" s="4"/>
      <c r="S900" s="4"/>
      <c r="T900" s="4"/>
      <c r="U900" s="4"/>
    </row>
    <row r="901" spans="2:21" x14ac:dyDescent="0.25">
      <c r="B901" s="95"/>
      <c r="N901" s="58"/>
      <c r="O901" s="4"/>
      <c r="P901" s="4"/>
      <c r="Q901" s="4"/>
      <c r="R901" s="4"/>
      <c r="S901" s="4"/>
      <c r="T901" s="4"/>
      <c r="U901" s="4"/>
    </row>
    <row r="902" spans="2:21" x14ac:dyDescent="0.25">
      <c r="B902" s="95"/>
      <c r="N902" s="58"/>
      <c r="O902" s="4"/>
      <c r="P902" s="4"/>
      <c r="Q902" s="4"/>
      <c r="R902" s="4"/>
      <c r="S902" s="4"/>
      <c r="T902" s="4"/>
      <c r="U902" s="4"/>
    </row>
    <row r="903" spans="2:21" x14ac:dyDescent="0.25">
      <c r="B903" s="95"/>
      <c r="N903" s="58"/>
      <c r="O903" s="4"/>
      <c r="P903" s="4"/>
      <c r="Q903" s="4"/>
      <c r="R903" s="4"/>
      <c r="S903" s="4"/>
      <c r="T903" s="4"/>
      <c r="U903" s="4"/>
    </row>
    <row r="904" spans="2:21" x14ac:dyDescent="0.25">
      <c r="B904" s="95"/>
      <c r="N904" s="58"/>
      <c r="O904" s="4"/>
      <c r="P904" s="4"/>
      <c r="Q904" s="4"/>
      <c r="R904" s="4"/>
      <c r="S904" s="4"/>
      <c r="T904" s="4"/>
      <c r="U904" s="4"/>
    </row>
    <row r="905" spans="2:21" x14ac:dyDescent="0.25">
      <c r="B905" s="95"/>
      <c r="N905" s="58"/>
      <c r="O905" s="4"/>
      <c r="P905" s="4"/>
      <c r="Q905" s="4"/>
      <c r="R905" s="4"/>
      <c r="S905" s="4"/>
      <c r="T905" s="4"/>
      <c r="U905" s="4"/>
    </row>
    <row r="906" spans="2:21" x14ac:dyDescent="0.25">
      <c r="B906" s="95"/>
      <c r="N906" s="58"/>
      <c r="O906" s="4"/>
      <c r="P906" s="4"/>
      <c r="Q906" s="4"/>
      <c r="R906" s="4"/>
      <c r="S906" s="4"/>
      <c r="T906" s="4"/>
      <c r="U906" s="4"/>
    </row>
    <row r="907" spans="2:21" x14ac:dyDescent="0.25">
      <c r="B907" s="95"/>
      <c r="N907" s="58"/>
      <c r="O907" s="4"/>
      <c r="P907" s="4"/>
      <c r="Q907" s="4"/>
      <c r="R907" s="4"/>
      <c r="S907" s="4"/>
      <c r="T907" s="4"/>
      <c r="U907" s="4"/>
    </row>
    <row r="908" spans="2:21" x14ac:dyDescent="0.25">
      <c r="B908" s="95"/>
      <c r="N908" s="58"/>
      <c r="O908" s="4"/>
      <c r="P908" s="4"/>
      <c r="Q908" s="4"/>
      <c r="R908" s="4"/>
      <c r="S908" s="4"/>
      <c r="T908" s="4"/>
      <c r="U908" s="4"/>
    </row>
    <row r="909" spans="2:21" x14ac:dyDescent="0.25">
      <c r="B909" s="95"/>
      <c r="N909" s="58"/>
      <c r="O909" s="4"/>
      <c r="P909" s="4"/>
      <c r="Q909" s="4"/>
      <c r="R909" s="4"/>
      <c r="S909" s="4"/>
      <c r="T909" s="4"/>
      <c r="U909" s="4"/>
    </row>
    <row r="910" spans="2:21" x14ac:dyDescent="0.25">
      <c r="B910" s="95"/>
      <c r="N910" s="58"/>
      <c r="O910" s="4"/>
      <c r="P910" s="4"/>
      <c r="Q910" s="4"/>
      <c r="R910" s="4"/>
      <c r="S910" s="4"/>
      <c r="T910" s="4"/>
      <c r="U910" s="4"/>
    </row>
    <row r="911" spans="2:21" x14ac:dyDescent="0.25">
      <c r="B911" s="95"/>
      <c r="N911" s="58"/>
      <c r="O911" s="4"/>
      <c r="P911" s="4"/>
      <c r="Q911" s="4"/>
      <c r="R911" s="4"/>
      <c r="S911" s="4"/>
      <c r="T911" s="4"/>
      <c r="U911" s="4"/>
    </row>
    <row r="912" spans="2:21" x14ac:dyDescent="0.25">
      <c r="B912" s="95"/>
      <c r="N912" s="58"/>
      <c r="O912" s="4"/>
      <c r="P912" s="4"/>
      <c r="Q912" s="4"/>
      <c r="R912" s="4"/>
      <c r="S912" s="4"/>
      <c r="T912" s="4"/>
      <c r="U912" s="4"/>
    </row>
    <row r="913" spans="2:21" x14ac:dyDescent="0.25">
      <c r="B913" s="95"/>
      <c r="N913" s="58"/>
      <c r="O913" s="4"/>
      <c r="P913" s="4"/>
      <c r="Q913" s="4"/>
      <c r="R913" s="4"/>
      <c r="S913" s="4"/>
      <c r="T913" s="4"/>
      <c r="U913" s="4"/>
    </row>
    <row r="914" spans="2:21" x14ac:dyDescent="0.25">
      <c r="B914" s="95"/>
      <c r="N914" s="58"/>
      <c r="O914" s="4"/>
      <c r="P914" s="4"/>
      <c r="Q914" s="4"/>
      <c r="R914" s="4"/>
      <c r="S914" s="4"/>
      <c r="T914" s="4"/>
      <c r="U914" s="4"/>
    </row>
    <row r="915" spans="2:21" x14ac:dyDescent="0.25">
      <c r="B915" s="95"/>
      <c r="N915" s="58"/>
      <c r="O915" s="4"/>
      <c r="P915" s="4"/>
      <c r="Q915" s="4"/>
      <c r="R915" s="4"/>
      <c r="S915" s="4"/>
      <c r="T915" s="4"/>
      <c r="U915" s="4"/>
    </row>
    <row r="916" spans="2:21" x14ac:dyDescent="0.25">
      <c r="B916" s="95"/>
      <c r="N916" s="58"/>
      <c r="O916" s="4"/>
      <c r="P916" s="4"/>
      <c r="Q916" s="4"/>
      <c r="R916" s="4"/>
      <c r="S916" s="4"/>
      <c r="T916" s="4"/>
      <c r="U916" s="4"/>
    </row>
    <row r="917" spans="2:21" x14ac:dyDescent="0.25">
      <c r="B917" s="95"/>
      <c r="N917" s="58"/>
      <c r="O917" s="4"/>
      <c r="P917" s="4"/>
      <c r="Q917" s="4"/>
      <c r="R917" s="4"/>
      <c r="S917" s="4"/>
      <c r="T917" s="4"/>
      <c r="U917" s="4"/>
    </row>
    <row r="918" spans="2:21" x14ac:dyDescent="0.25">
      <c r="B918" s="95"/>
      <c r="N918" s="58"/>
      <c r="O918" s="4"/>
      <c r="P918" s="4"/>
      <c r="Q918" s="4"/>
      <c r="R918" s="4"/>
      <c r="S918" s="4"/>
      <c r="T918" s="4"/>
      <c r="U918" s="4"/>
    </row>
    <row r="919" spans="2:21" x14ac:dyDescent="0.25">
      <c r="B919" s="95"/>
      <c r="N919" s="58"/>
      <c r="O919" s="4"/>
      <c r="P919" s="4"/>
      <c r="Q919" s="4"/>
      <c r="R919" s="4"/>
      <c r="S919" s="4"/>
      <c r="T919" s="4"/>
      <c r="U919" s="4"/>
    </row>
    <row r="920" spans="2:21" x14ac:dyDescent="0.25">
      <c r="B920" s="95"/>
      <c r="N920" s="58"/>
      <c r="O920" s="4"/>
      <c r="P920" s="4"/>
      <c r="Q920" s="4"/>
      <c r="R920" s="4"/>
      <c r="S920" s="4"/>
      <c r="T920" s="4"/>
      <c r="U920" s="4"/>
    </row>
    <row r="921" spans="2:21" x14ac:dyDescent="0.25">
      <c r="B921" s="95"/>
      <c r="N921" s="58"/>
      <c r="O921" s="4"/>
      <c r="P921" s="4"/>
      <c r="Q921" s="4"/>
      <c r="R921" s="4"/>
      <c r="S921" s="4"/>
      <c r="T921" s="4"/>
      <c r="U921" s="4"/>
    </row>
    <row r="922" spans="2:21" x14ac:dyDescent="0.25">
      <c r="B922" s="95"/>
      <c r="N922" s="58"/>
      <c r="O922" s="4"/>
      <c r="P922" s="4"/>
      <c r="Q922" s="4"/>
      <c r="R922" s="4"/>
      <c r="S922" s="4"/>
      <c r="T922" s="4"/>
      <c r="U922" s="4"/>
    </row>
    <row r="923" spans="2:21" x14ac:dyDescent="0.25">
      <c r="B923" s="95"/>
      <c r="N923" s="58"/>
      <c r="O923" s="4"/>
      <c r="P923" s="4"/>
      <c r="Q923" s="4"/>
      <c r="R923" s="4"/>
      <c r="S923" s="4"/>
      <c r="T923" s="4"/>
      <c r="U923" s="4"/>
    </row>
    <row r="924" spans="2:21" x14ac:dyDescent="0.25">
      <c r="B924" s="95"/>
      <c r="N924" s="58"/>
      <c r="O924" s="4"/>
      <c r="P924" s="4"/>
      <c r="Q924" s="4"/>
      <c r="R924" s="4"/>
      <c r="S924" s="4"/>
      <c r="T924" s="4"/>
      <c r="U924" s="4"/>
    </row>
    <row r="925" spans="2:21" x14ac:dyDescent="0.25">
      <c r="B925" s="95"/>
      <c r="N925" s="58"/>
      <c r="O925" s="4"/>
      <c r="P925" s="4"/>
      <c r="Q925" s="4"/>
      <c r="R925" s="4"/>
      <c r="S925" s="4"/>
      <c r="T925" s="4"/>
      <c r="U925" s="4"/>
    </row>
    <row r="926" spans="2:21" x14ac:dyDescent="0.25">
      <c r="B926" s="95"/>
      <c r="N926" s="58"/>
      <c r="O926" s="4"/>
      <c r="P926" s="4"/>
      <c r="Q926" s="4"/>
      <c r="R926" s="4"/>
      <c r="S926" s="4"/>
      <c r="T926" s="4"/>
      <c r="U926" s="4"/>
    </row>
    <row r="927" spans="2:21" x14ac:dyDescent="0.25">
      <c r="B927" s="95"/>
      <c r="N927" s="58"/>
      <c r="O927" s="4"/>
      <c r="P927" s="4"/>
      <c r="Q927" s="4"/>
      <c r="R927" s="4"/>
      <c r="S927" s="4"/>
      <c r="T927" s="4"/>
      <c r="U927" s="4"/>
    </row>
    <row r="928" spans="2:21" x14ac:dyDescent="0.25">
      <c r="B928" s="95"/>
      <c r="N928" s="58"/>
      <c r="O928" s="4"/>
      <c r="P928" s="4"/>
      <c r="Q928" s="4"/>
      <c r="R928" s="4"/>
      <c r="S928" s="4"/>
      <c r="T928" s="4"/>
      <c r="U928" s="4"/>
    </row>
    <row r="929" spans="2:21" x14ac:dyDescent="0.25">
      <c r="B929" s="95"/>
      <c r="N929" s="58"/>
      <c r="O929" s="4"/>
      <c r="P929" s="4"/>
      <c r="Q929" s="4"/>
      <c r="R929" s="4"/>
      <c r="S929" s="4"/>
      <c r="T929" s="4"/>
      <c r="U929" s="4"/>
    </row>
    <row r="930" spans="2:21" x14ac:dyDescent="0.25">
      <c r="B930" s="95"/>
      <c r="N930" s="58"/>
      <c r="O930" s="4"/>
      <c r="P930" s="4"/>
      <c r="Q930" s="4"/>
      <c r="R930" s="4"/>
      <c r="S930" s="4"/>
      <c r="T930" s="4"/>
      <c r="U930" s="4"/>
    </row>
    <row r="931" spans="2:21" x14ac:dyDescent="0.25">
      <c r="B931" s="95"/>
      <c r="N931" s="58"/>
      <c r="O931" s="4"/>
      <c r="P931" s="4"/>
      <c r="Q931" s="4"/>
      <c r="R931" s="4"/>
      <c r="S931" s="4"/>
      <c r="T931" s="4"/>
      <c r="U931" s="4"/>
    </row>
    <row r="932" spans="2:21" x14ac:dyDescent="0.25">
      <c r="B932" s="95"/>
      <c r="N932" s="58"/>
      <c r="O932" s="4"/>
      <c r="P932" s="4"/>
      <c r="Q932" s="4"/>
      <c r="R932" s="4"/>
      <c r="S932" s="4"/>
      <c r="T932" s="4"/>
      <c r="U932" s="4"/>
    </row>
    <row r="933" spans="2:21" x14ac:dyDescent="0.25">
      <c r="B933" s="95"/>
      <c r="N933" s="58"/>
      <c r="O933" s="4"/>
      <c r="P933" s="4"/>
      <c r="Q933" s="4"/>
      <c r="R933" s="4"/>
      <c r="S933" s="4"/>
      <c r="T933" s="4"/>
      <c r="U933" s="4"/>
    </row>
    <row r="934" spans="2:21" x14ac:dyDescent="0.25">
      <c r="B934" s="95"/>
      <c r="N934" s="58"/>
      <c r="O934" s="4"/>
      <c r="P934" s="4"/>
      <c r="Q934" s="4"/>
      <c r="R934" s="4"/>
      <c r="S934" s="4"/>
      <c r="T934" s="4"/>
      <c r="U934" s="4"/>
    </row>
    <row r="935" spans="2:21" x14ac:dyDescent="0.25">
      <c r="B935" s="95"/>
      <c r="N935" s="58"/>
      <c r="O935" s="4"/>
      <c r="P935" s="4"/>
      <c r="Q935" s="4"/>
      <c r="R935" s="4"/>
      <c r="S935" s="4"/>
      <c r="T935" s="4"/>
      <c r="U935" s="4"/>
    </row>
    <row r="936" spans="2:21" x14ac:dyDescent="0.25">
      <c r="B936" s="95"/>
      <c r="N936" s="58"/>
      <c r="O936" s="4"/>
      <c r="P936" s="4"/>
      <c r="Q936" s="4"/>
      <c r="R936" s="4"/>
      <c r="S936" s="4"/>
      <c r="T936" s="4"/>
      <c r="U936" s="4"/>
    </row>
    <row r="937" spans="2:21" x14ac:dyDescent="0.25">
      <c r="B937" s="95"/>
      <c r="N937" s="58"/>
      <c r="O937" s="4"/>
      <c r="P937" s="4"/>
      <c r="Q937" s="4"/>
      <c r="R937" s="4"/>
      <c r="S937" s="4"/>
      <c r="T937" s="4"/>
      <c r="U937" s="4"/>
    </row>
    <row r="938" spans="2:21" x14ac:dyDescent="0.25">
      <c r="B938" s="95"/>
      <c r="N938" s="58"/>
      <c r="O938" s="4"/>
      <c r="P938" s="4"/>
      <c r="Q938" s="4"/>
      <c r="R938" s="4"/>
      <c r="S938" s="4"/>
      <c r="T938" s="4"/>
      <c r="U938" s="4"/>
    </row>
    <row r="939" spans="2:21" x14ac:dyDescent="0.25">
      <c r="B939" s="95"/>
      <c r="N939" s="58"/>
      <c r="O939" s="4"/>
      <c r="P939" s="4"/>
      <c r="Q939" s="4"/>
      <c r="R939" s="4"/>
      <c r="S939" s="4"/>
      <c r="T939" s="4"/>
      <c r="U939" s="4"/>
    </row>
    <row r="940" spans="2:21" x14ac:dyDescent="0.25">
      <c r="B940" s="95"/>
      <c r="N940" s="58"/>
      <c r="O940" s="4"/>
      <c r="P940" s="4"/>
      <c r="Q940" s="4"/>
      <c r="R940" s="4"/>
      <c r="S940" s="4"/>
      <c r="T940" s="4"/>
      <c r="U940" s="4"/>
    </row>
    <row r="941" spans="2:21" x14ac:dyDescent="0.25">
      <c r="B941" s="95"/>
      <c r="N941" s="58"/>
      <c r="O941" s="4"/>
      <c r="P941" s="4"/>
      <c r="Q941" s="4"/>
      <c r="R941" s="4"/>
      <c r="S941" s="4"/>
      <c r="T941" s="4"/>
      <c r="U941" s="4"/>
    </row>
    <row r="942" spans="2:21" x14ac:dyDescent="0.25">
      <c r="B942" s="95"/>
      <c r="N942" s="58"/>
      <c r="O942" s="4"/>
      <c r="P942" s="4"/>
      <c r="Q942" s="4"/>
      <c r="R942" s="4"/>
      <c r="S942" s="4"/>
      <c r="T942" s="4"/>
      <c r="U942" s="4"/>
    </row>
    <row r="943" spans="2:21" x14ac:dyDescent="0.25">
      <c r="B943" s="95"/>
      <c r="N943" s="58"/>
      <c r="O943" s="4"/>
      <c r="P943" s="4"/>
      <c r="Q943" s="4"/>
      <c r="R943" s="4"/>
      <c r="S943" s="4"/>
      <c r="T943" s="4"/>
      <c r="U943" s="4"/>
    </row>
    <row r="944" spans="2:21" x14ac:dyDescent="0.25">
      <c r="B944" s="95"/>
      <c r="N944" s="58"/>
      <c r="O944" s="4"/>
      <c r="P944" s="4"/>
      <c r="Q944" s="4"/>
      <c r="R944" s="4"/>
      <c r="S944" s="4"/>
      <c r="T944" s="4"/>
      <c r="U944" s="4"/>
    </row>
    <row r="945" spans="2:21" x14ac:dyDescent="0.25">
      <c r="B945" s="95"/>
      <c r="N945" s="58"/>
      <c r="O945" s="4"/>
      <c r="P945" s="4"/>
      <c r="Q945" s="4"/>
      <c r="R945" s="4"/>
      <c r="S945" s="4"/>
      <c r="T945" s="4"/>
      <c r="U945" s="4"/>
    </row>
    <row r="946" spans="2:21" x14ac:dyDescent="0.25">
      <c r="B946" s="95"/>
      <c r="N946" s="58"/>
      <c r="O946" s="4"/>
      <c r="P946" s="4"/>
      <c r="Q946" s="4"/>
      <c r="R946" s="4"/>
      <c r="S946" s="4"/>
      <c r="T946" s="4"/>
      <c r="U946" s="4"/>
    </row>
    <row r="947" spans="2:21" x14ac:dyDescent="0.25">
      <c r="B947" s="95"/>
      <c r="N947" s="58"/>
      <c r="O947" s="4"/>
      <c r="P947" s="4"/>
      <c r="Q947" s="4"/>
      <c r="R947" s="4"/>
      <c r="S947" s="4"/>
      <c r="T947" s="4"/>
      <c r="U947" s="4"/>
    </row>
    <row r="948" spans="2:21" x14ac:dyDescent="0.25">
      <c r="B948" s="95"/>
      <c r="N948" s="58"/>
      <c r="O948" s="4"/>
      <c r="P948" s="4"/>
      <c r="Q948" s="4"/>
      <c r="R948" s="4"/>
      <c r="S948" s="4"/>
      <c r="T948" s="4"/>
      <c r="U948" s="4"/>
    </row>
    <row r="949" spans="2:21" x14ac:dyDescent="0.25">
      <c r="B949" s="95"/>
      <c r="N949" s="58"/>
      <c r="O949" s="4"/>
      <c r="P949" s="4"/>
      <c r="Q949" s="4"/>
      <c r="R949" s="4"/>
      <c r="S949" s="4"/>
      <c r="T949" s="4"/>
      <c r="U949" s="4"/>
    </row>
    <row r="950" spans="2:21" x14ac:dyDescent="0.25">
      <c r="B950" s="95"/>
      <c r="N950" s="58"/>
      <c r="O950" s="4"/>
      <c r="P950" s="4"/>
      <c r="Q950" s="4"/>
      <c r="R950" s="4"/>
      <c r="S950" s="4"/>
      <c r="T950" s="4"/>
      <c r="U950" s="4"/>
    </row>
    <row r="951" spans="2:21" x14ac:dyDescent="0.25">
      <c r="B951" s="95"/>
      <c r="N951" s="58"/>
      <c r="O951" s="4"/>
      <c r="P951" s="4"/>
      <c r="Q951" s="4"/>
      <c r="R951" s="4"/>
      <c r="S951" s="4"/>
      <c r="T951" s="4"/>
      <c r="U951" s="4"/>
    </row>
    <row r="952" spans="2:21" x14ac:dyDescent="0.25">
      <c r="B952" s="95"/>
      <c r="N952" s="58"/>
      <c r="O952" s="4"/>
      <c r="P952" s="4"/>
      <c r="Q952" s="4"/>
      <c r="R952" s="4"/>
      <c r="S952" s="4"/>
      <c r="T952" s="4"/>
      <c r="U952" s="4"/>
    </row>
    <row r="953" spans="2:21" x14ac:dyDescent="0.25">
      <c r="B953" s="95"/>
      <c r="N953" s="58"/>
      <c r="O953" s="4"/>
      <c r="P953" s="4"/>
      <c r="Q953" s="4"/>
      <c r="R953" s="4"/>
      <c r="S953" s="4"/>
      <c r="T953" s="4"/>
      <c r="U953" s="4"/>
    </row>
    <row r="954" spans="2:21" x14ac:dyDescent="0.25">
      <c r="B954" s="95"/>
      <c r="N954" s="58"/>
      <c r="O954" s="4"/>
      <c r="P954" s="4"/>
      <c r="Q954" s="4"/>
      <c r="R954" s="4"/>
      <c r="S954" s="4"/>
      <c r="T954" s="4"/>
      <c r="U954" s="4"/>
    </row>
    <row r="955" spans="2:21" x14ac:dyDescent="0.25">
      <c r="B955" s="95"/>
      <c r="N955" s="58"/>
      <c r="O955" s="4"/>
      <c r="P955" s="4"/>
      <c r="Q955" s="4"/>
      <c r="R955" s="4"/>
      <c r="S955" s="4"/>
      <c r="T955" s="4"/>
      <c r="U955" s="4"/>
    </row>
    <row r="956" spans="2:21" x14ac:dyDescent="0.25">
      <c r="B956" s="95"/>
      <c r="N956" s="58"/>
      <c r="O956" s="4"/>
      <c r="P956" s="4"/>
      <c r="Q956" s="4"/>
      <c r="R956" s="4"/>
      <c r="S956" s="4"/>
      <c r="T956" s="4"/>
      <c r="U956" s="4"/>
    </row>
    <row r="957" spans="2:21" x14ac:dyDescent="0.25">
      <c r="B957" s="95"/>
      <c r="N957" s="58"/>
      <c r="O957" s="4"/>
      <c r="P957" s="4"/>
      <c r="Q957" s="4"/>
      <c r="R957" s="4"/>
      <c r="S957" s="4"/>
      <c r="T957" s="4"/>
      <c r="U957" s="4"/>
    </row>
    <row r="958" spans="2:21" x14ac:dyDescent="0.25">
      <c r="B958" s="95"/>
      <c r="N958" s="58"/>
      <c r="O958" s="4"/>
      <c r="P958" s="4"/>
      <c r="Q958" s="4"/>
      <c r="R958" s="4"/>
      <c r="S958" s="4"/>
      <c r="T958" s="4"/>
      <c r="U958" s="4"/>
    </row>
    <row r="959" spans="2:21" x14ac:dyDescent="0.25">
      <c r="B959" s="95"/>
      <c r="N959" s="58"/>
      <c r="O959" s="4"/>
      <c r="P959" s="4"/>
      <c r="Q959" s="4"/>
      <c r="R959" s="4"/>
      <c r="S959" s="4"/>
      <c r="T959" s="4"/>
      <c r="U959" s="4"/>
    </row>
    <row r="960" spans="2:21" x14ac:dyDescent="0.25">
      <c r="B960" s="95"/>
      <c r="N960" s="58"/>
      <c r="O960" s="4"/>
      <c r="P960" s="4"/>
      <c r="Q960" s="4"/>
      <c r="R960" s="4"/>
      <c r="S960" s="4"/>
      <c r="T960" s="4"/>
      <c r="U960" s="4"/>
    </row>
    <row r="961" spans="2:21" x14ac:dyDescent="0.25">
      <c r="B961" s="95"/>
      <c r="N961" s="58"/>
      <c r="O961" s="4"/>
      <c r="P961" s="4"/>
      <c r="Q961" s="4"/>
      <c r="R961" s="4"/>
      <c r="S961" s="4"/>
      <c r="T961" s="4"/>
      <c r="U961" s="4"/>
    </row>
    <row r="962" spans="2:21" x14ac:dyDescent="0.25">
      <c r="B962" s="95"/>
      <c r="N962" s="58"/>
      <c r="O962" s="4"/>
      <c r="P962" s="4"/>
      <c r="Q962" s="4"/>
      <c r="R962" s="4"/>
      <c r="S962" s="4"/>
      <c r="T962" s="4"/>
      <c r="U962" s="4"/>
    </row>
    <row r="963" spans="2:21" x14ac:dyDescent="0.25">
      <c r="B963" s="95"/>
      <c r="N963" s="58"/>
      <c r="O963" s="4"/>
      <c r="P963" s="4"/>
      <c r="Q963" s="4"/>
      <c r="R963" s="4"/>
      <c r="S963" s="4"/>
      <c r="T963" s="4"/>
      <c r="U963" s="4"/>
    </row>
    <row r="964" spans="2:21" x14ac:dyDescent="0.25">
      <c r="B964" s="95"/>
      <c r="N964" s="58"/>
      <c r="O964" s="4"/>
      <c r="P964" s="4"/>
      <c r="Q964" s="4"/>
      <c r="R964" s="4"/>
      <c r="S964" s="4"/>
      <c r="T964" s="4"/>
      <c r="U964" s="4"/>
    </row>
    <row r="965" spans="2:21" x14ac:dyDescent="0.25">
      <c r="B965" s="95"/>
      <c r="N965" s="58"/>
      <c r="O965" s="4"/>
      <c r="P965" s="4"/>
      <c r="Q965" s="4"/>
      <c r="R965" s="4"/>
      <c r="S965" s="4"/>
      <c r="T965" s="4"/>
      <c r="U965" s="4"/>
    </row>
    <row r="966" spans="2:21" x14ac:dyDescent="0.25">
      <c r="B966" s="95"/>
      <c r="N966" s="58"/>
      <c r="O966" s="4"/>
      <c r="P966" s="4"/>
      <c r="Q966" s="4"/>
      <c r="R966" s="4"/>
      <c r="S966" s="4"/>
      <c r="T966" s="4"/>
      <c r="U966" s="4"/>
    </row>
    <row r="967" spans="2:21" x14ac:dyDescent="0.25">
      <c r="B967" s="95"/>
      <c r="N967" s="58"/>
      <c r="O967" s="4"/>
      <c r="P967" s="4"/>
      <c r="Q967" s="4"/>
      <c r="R967" s="4"/>
      <c r="S967" s="4"/>
      <c r="T967" s="4"/>
      <c r="U967" s="4"/>
    </row>
    <row r="968" spans="2:21" x14ac:dyDescent="0.25">
      <c r="B968" s="95"/>
      <c r="N968" s="58"/>
      <c r="O968" s="4"/>
      <c r="P968" s="4"/>
      <c r="Q968" s="4"/>
      <c r="R968" s="4"/>
      <c r="S968" s="4"/>
      <c r="T968" s="4"/>
      <c r="U968" s="4"/>
    </row>
    <row r="969" spans="2:21" x14ac:dyDescent="0.25">
      <c r="B969" s="95"/>
      <c r="N969" s="58"/>
      <c r="O969" s="4"/>
      <c r="P969" s="4"/>
      <c r="Q969" s="4"/>
      <c r="R969" s="4"/>
      <c r="S969" s="4"/>
      <c r="T969" s="4"/>
      <c r="U969" s="4"/>
    </row>
    <row r="970" spans="2:21" x14ac:dyDescent="0.25">
      <c r="B970" s="95"/>
      <c r="N970" s="58"/>
      <c r="O970" s="4"/>
      <c r="P970" s="4"/>
      <c r="Q970" s="4"/>
      <c r="R970" s="4"/>
      <c r="S970" s="4"/>
      <c r="T970" s="4"/>
      <c r="U970" s="4"/>
    </row>
    <row r="971" spans="2:21" x14ac:dyDescent="0.25">
      <c r="B971" s="95"/>
      <c r="N971" s="58"/>
      <c r="O971" s="4"/>
      <c r="P971" s="4"/>
      <c r="Q971" s="4"/>
      <c r="R971" s="4"/>
      <c r="S971" s="4"/>
      <c r="T971" s="4"/>
      <c r="U971" s="4"/>
    </row>
    <row r="972" spans="2:21" x14ac:dyDescent="0.25">
      <c r="B972" s="95"/>
      <c r="N972" s="58"/>
      <c r="O972" s="4"/>
      <c r="P972" s="4"/>
      <c r="Q972" s="4"/>
      <c r="R972" s="4"/>
      <c r="S972" s="4"/>
      <c r="T972" s="4"/>
      <c r="U972" s="4"/>
    </row>
    <row r="973" spans="2:21" x14ac:dyDescent="0.25">
      <c r="B973" s="95"/>
      <c r="N973" s="58"/>
      <c r="O973" s="4"/>
      <c r="P973" s="4"/>
      <c r="Q973" s="4"/>
      <c r="R973" s="4"/>
      <c r="S973" s="4"/>
      <c r="T973" s="4"/>
      <c r="U973" s="4"/>
    </row>
    <row r="974" spans="2:21" x14ac:dyDescent="0.25">
      <c r="B974" s="95"/>
      <c r="N974" s="58"/>
      <c r="O974" s="4"/>
      <c r="P974" s="4"/>
      <c r="Q974" s="4"/>
      <c r="R974" s="4"/>
      <c r="S974" s="4"/>
      <c r="T974" s="4"/>
      <c r="U974" s="4"/>
    </row>
    <row r="975" spans="2:21" x14ac:dyDescent="0.25">
      <c r="B975" s="95"/>
      <c r="N975" s="58"/>
      <c r="O975" s="4"/>
      <c r="P975" s="4"/>
      <c r="Q975" s="4"/>
      <c r="R975" s="4"/>
      <c r="S975" s="4"/>
      <c r="T975" s="4"/>
      <c r="U975" s="4"/>
    </row>
    <row r="976" spans="2:21" x14ac:dyDescent="0.25">
      <c r="B976" s="95"/>
      <c r="N976" s="58"/>
      <c r="O976" s="4"/>
      <c r="P976" s="4"/>
      <c r="Q976" s="4"/>
      <c r="R976" s="4"/>
      <c r="S976" s="4"/>
      <c r="T976" s="4"/>
      <c r="U976" s="4"/>
    </row>
    <row r="977" spans="2:21" x14ac:dyDescent="0.25">
      <c r="B977" s="95"/>
      <c r="N977" s="58"/>
      <c r="O977" s="4"/>
      <c r="P977" s="4"/>
      <c r="Q977" s="4"/>
      <c r="R977" s="4"/>
      <c r="S977" s="4"/>
      <c r="T977" s="4"/>
      <c r="U977" s="4"/>
    </row>
    <row r="978" spans="2:21" x14ac:dyDescent="0.25">
      <c r="B978" s="95"/>
      <c r="N978" s="58"/>
      <c r="O978" s="4"/>
      <c r="P978" s="4"/>
      <c r="Q978" s="4"/>
      <c r="R978" s="4"/>
      <c r="S978" s="4"/>
      <c r="T978" s="4"/>
      <c r="U978" s="4"/>
    </row>
    <row r="979" spans="2:21" x14ac:dyDescent="0.25">
      <c r="B979" s="95"/>
      <c r="N979" s="58"/>
      <c r="O979" s="4"/>
      <c r="P979" s="4"/>
      <c r="Q979" s="4"/>
      <c r="R979" s="4"/>
      <c r="S979" s="4"/>
      <c r="T979" s="4"/>
      <c r="U979" s="4"/>
    </row>
    <row r="980" spans="2:21" x14ac:dyDescent="0.25">
      <c r="B980" s="95"/>
      <c r="N980" s="58"/>
      <c r="O980" s="4"/>
      <c r="P980" s="4"/>
      <c r="Q980" s="4"/>
      <c r="R980" s="4"/>
      <c r="S980" s="4"/>
      <c r="T980" s="4"/>
      <c r="U980" s="4"/>
    </row>
    <row r="981" spans="2:21" x14ac:dyDescent="0.25">
      <c r="B981" s="95"/>
      <c r="N981" s="58"/>
      <c r="O981" s="4"/>
      <c r="P981" s="4"/>
      <c r="Q981" s="4"/>
      <c r="R981" s="4"/>
      <c r="S981" s="4"/>
      <c r="T981" s="4"/>
      <c r="U981" s="4"/>
    </row>
    <row r="982" spans="2:21" x14ac:dyDescent="0.25">
      <c r="B982" s="95"/>
      <c r="N982" s="58"/>
      <c r="O982" s="4"/>
      <c r="P982" s="4"/>
      <c r="Q982" s="4"/>
      <c r="R982" s="4"/>
      <c r="S982" s="4"/>
      <c r="T982" s="4"/>
      <c r="U982" s="4"/>
    </row>
    <row r="983" spans="2:21" x14ac:dyDescent="0.25">
      <c r="B983" s="95"/>
      <c r="N983" s="58"/>
      <c r="O983" s="4"/>
      <c r="P983" s="4"/>
      <c r="Q983" s="4"/>
      <c r="R983" s="4"/>
      <c r="S983" s="4"/>
      <c r="T983" s="4"/>
      <c r="U983" s="4"/>
    </row>
    <row r="984" spans="2:21" x14ac:dyDescent="0.25">
      <c r="B984" s="95"/>
      <c r="N984" s="58"/>
      <c r="O984" s="4"/>
      <c r="P984" s="4"/>
      <c r="Q984" s="4"/>
      <c r="R984" s="4"/>
      <c r="S984" s="4"/>
      <c r="T984" s="4"/>
      <c r="U984" s="4"/>
    </row>
    <row r="985" spans="2:21" x14ac:dyDescent="0.25">
      <c r="B985" s="95"/>
      <c r="N985" s="58"/>
      <c r="O985" s="4"/>
      <c r="P985" s="4"/>
      <c r="Q985" s="4"/>
      <c r="R985" s="4"/>
      <c r="S985" s="4"/>
      <c r="T985" s="4"/>
      <c r="U985" s="4"/>
    </row>
    <row r="986" spans="2:21" x14ac:dyDescent="0.25">
      <c r="B986" s="95"/>
      <c r="N986" s="58"/>
      <c r="O986" s="4"/>
      <c r="P986" s="4"/>
      <c r="Q986" s="4"/>
      <c r="R986" s="4"/>
      <c r="S986" s="4"/>
      <c r="T986" s="4"/>
      <c r="U986" s="4"/>
    </row>
    <row r="987" spans="2:21" x14ac:dyDescent="0.25">
      <c r="B987" s="95"/>
      <c r="N987" s="58"/>
      <c r="O987" s="4"/>
      <c r="P987" s="4"/>
      <c r="Q987" s="4"/>
      <c r="R987" s="4"/>
      <c r="S987" s="4"/>
      <c r="T987" s="4"/>
      <c r="U987" s="4"/>
    </row>
    <row r="988" spans="2:21" x14ac:dyDescent="0.25">
      <c r="B988" s="95"/>
      <c r="N988" s="58"/>
      <c r="O988" s="4"/>
      <c r="P988" s="4"/>
      <c r="Q988" s="4"/>
      <c r="R988" s="4"/>
      <c r="S988" s="4"/>
      <c r="T988" s="4"/>
      <c r="U988" s="4"/>
    </row>
    <row r="989" spans="2:21" x14ac:dyDescent="0.25">
      <c r="B989" s="95"/>
      <c r="N989" s="58"/>
      <c r="O989" s="4"/>
      <c r="P989" s="4"/>
      <c r="Q989" s="4"/>
      <c r="R989" s="4"/>
      <c r="S989" s="4"/>
      <c r="T989" s="4"/>
      <c r="U989" s="4"/>
    </row>
    <row r="990" spans="2:21" x14ac:dyDescent="0.25">
      <c r="B990" s="95"/>
      <c r="N990" s="58"/>
      <c r="O990" s="4"/>
      <c r="P990" s="4"/>
      <c r="Q990" s="4"/>
      <c r="R990" s="4"/>
      <c r="S990" s="4"/>
      <c r="T990" s="4"/>
      <c r="U990" s="4"/>
    </row>
    <row r="991" spans="2:21" x14ac:dyDescent="0.25">
      <c r="B991" s="95"/>
      <c r="N991" s="58"/>
      <c r="O991" s="4"/>
      <c r="P991" s="4"/>
      <c r="Q991" s="4"/>
      <c r="R991" s="4"/>
      <c r="S991" s="4"/>
      <c r="T991" s="4"/>
      <c r="U991" s="4"/>
    </row>
    <row r="992" spans="2:21" x14ac:dyDescent="0.25">
      <c r="B992" s="95"/>
      <c r="N992" s="58"/>
      <c r="O992" s="4"/>
      <c r="P992" s="4"/>
      <c r="Q992" s="4"/>
      <c r="R992" s="4"/>
      <c r="S992" s="4"/>
      <c r="T992" s="4"/>
      <c r="U992" s="4"/>
    </row>
    <row r="993" spans="2:21" x14ac:dyDescent="0.25">
      <c r="B993" s="95"/>
      <c r="N993" s="58"/>
      <c r="O993" s="4"/>
      <c r="P993" s="4"/>
      <c r="Q993" s="4"/>
      <c r="R993" s="4"/>
      <c r="S993" s="4"/>
      <c r="T993" s="4"/>
      <c r="U993" s="4"/>
    </row>
    <row r="994" spans="2:21" x14ac:dyDescent="0.25">
      <c r="B994" s="95"/>
      <c r="N994" s="58"/>
      <c r="O994" s="4"/>
      <c r="P994" s="4"/>
      <c r="Q994" s="4"/>
      <c r="R994" s="4"/>
      <c r="S994" s="4"/>
      <c r="T994" s="4"/>
      <c r="U994" s="4"/>
    </row>
    <row r="995" spans="2:21" x14ac:dyDescent="0.25">
      <c r="B995" s="95"/>
      <c r="N995" s="58"/>
      <c r="O995" s="4"/>
      <c r="P995" s="4"/>
      <c r="Q995" s="4"/>
      <c r="R995" s="4"/>
      <c r="S995" s="4"/>
      <c r="T995" s="4"/>
      <c r="U995" s="4"/>
    </row>
    <row r="996" spans="2:21" x14ac:dyDescent="0.25">
      <c r="B996" s="95"/>
      <c r="N996" s="58"/>
      <c r="O996" s="4"/>
      <c r="P996" s="4"/>
      <c r="Q996" s="4"/>
      <c r="R996" s="4"/>
      <c r="S996" s="4"/>
      <c r="T996" s="4"/>
      <c r="U996" s="4"/>
    </row>
    <row r="997" spans="2:21" x14ac:dyDescent="0.25">
      <c r="B997" s="95"/>
      <c r="N997" s="58"/>
      <c r="O997" s="4"/>
      <c r="P997" s="4"/>
      <c r="Q997" s="4"/>
      <c r="R997" s="4"/>
      <c r="S997" s="4"/>
      <c r="T997" s="4"/>
      <c r="U997" s="4"/>
    </row>
    <row r="998" spans="2:21" x14ac:dyDescent="0.25">
      <c r="B998" s="95"/>
      <c r="N998" s="58"/>
      <c r="O998" s="4"/>
      <c r="P998" s="4"/>
      <c r="Q998" s="4"/>
      <c r="R998" s="4"/>
      <c r="S998" s="4"/>
      <c r="T998" s="4"/>
      <c r="U998" s="4"/>
    </row>
    <row r="999" spans="2:21" x14ac:dyDescent="0.25">
      <c r="B999" s="95"/>
      <c r="N999" s="58"/>
      <c r="O999" s="4"/>
      <c r="P999" s="4"/>
      <c r="Q999" s="4"/>
      <c r="R999" s="4"/>
      <c r="S999" s="4"/>
      <c r="T999" s="4"/>
      <c r="U999" s="4"/>
    </row>
    <row r="1000" spans="2:21" x14ac:dyDescent="0.25">
      <c r="B1000" s="95"/>
      <c r="N1000" s="58"/>
      <c r="O1000" s="4"/>
      <c r="P1000" s="4"/>
      <c r="Q1000" s="4"/>
      <c r="R1000" s="4"/>
      <c r="S1000" s="4"/>
      <c r="T1000" s="4"/>
      <c r="U1000" s="4"/>
    </row>
    <row r="1001" spans="2:21" x14ac:dyDescent="0.25">
      <c r="B1001" s="95"/>
      <c r="N1001" s="58"/>
      <c r="O1001" s="4"/>
      <c r="P1001" s="4"/>
      <c r="Q1001" s="4"/>
      <c r="R1001" s="4"/>
      <c r="S1001" s="4"/>
      <c r="T1001" s="4"/>
      <c r="U1001" s="4"/>
    </row>
    <row r="1002" spans="2:21" x14ac:dyDescent="0.25">
      <c r="B1002" s="95"/>
      <c r="N1002" s="58"/>
      <c r="O1002" s="4"/>
      <c r="P1002" s="4"/>
      <c r="Q1002" s="4"/>
      <c r="R1002" s="4"/>
      <c r="S1002" s="4"/>
      <c r="T1002" s="4"/>
      <c r="U1002" s="4"/>
    </row>
    <row r="1003" spans="2:21" x14ac:dyDescent="0.25">
      <c r="B1003" s="95"/>
      <c r="N1003" s="58"/>
      <c r="O1003" s="4"/>
      <c r="P1003" s="4"/>
      <c r="Q1003" s="4"/>
      <c r="R1003" s="4"/>
      <c r="S1003" s="4"/>
      <c r="T1003" s="4"/>
      <c r="U1003" s="4"/>
    </row>
    <row r="1004" spans="2:21" x14ac:dyDescent="0.25">
      <c r="B1004" s="95"/>
      <c r="N1004" s="58"/>
      <c r="O1004" s="4"/>
      <c r="P1004" s="4"/>
      <c r="Q1004" s="4"/>
      <c r="R1004" s="4"/>
      <c r="S1004" s="4"/>
      <c r="T1004" s="4"/>
      <c r="U1004" s="4"/>
    </row>
    <row r="1005" spans="2:21" x14ac:dyDescent="0.25">
      <c r="B1005" s="95"/>
      <c r="N1005" s="58"/>
      <c r="O1005" s="4"/>
      <c r="P1005" s="4"/>
      <c r="Q1005" s="4"/>
      <c r="R1005" s="4"/>
      <c r="S1005" s="4"/>
      <c r="T1005" s="4"/>
      <c r="U1005" s="4"/>
    </row>
    <row r="1006" spans="2:21" x14ac:dyDescent="0.25">
      <c r="B1006" s="95"/>
      <c r="N1006" s="58"/>
      <c r="O1006" s="4"/>
      <c r="P1006" s="4"/>
      <c r="Q1006" s="4"/>
      <c r="R1006" s="4"/>
      <c r="S1006" s="4"/>
      <c r="T1006" s="4"/>
      <c r="U1006" s="4"/>
    </row>
    <row r="1007" spans="2:21" x14ac:dyDescent="0.25">
      <c r="N1007" s="58"/>
      <c r="O1007" s="4"/>
      <c r="P1007" s="4"/>
      <c r="Q1007" s="4"/>
      <c r="R1007" s="4"/>
      <c r="S1007" s="4"/>
      <c r="T1007" s="4"/>
      <c r="U1007" s="4"/>
    </row>
    <row r="1008" spans="2:21" x14ac:dyDescent="0.25">
      <c r="N1008" s="58"/>
      <c r="O1008" s="4"/>
      <c r="P1008" s="4"/>
      <c r="Q1008" s="4"/>
      <c r="R1008" s="4"/>
      <c r="S1008" s="4"/>
      <c r="T1008" s="4"/>
      <c r="U1008" s="4"/>
    </row>
    <row r="1009" spans="14:21" x14ac:dyDescent="0.25">
      <c r="N1009" s="58"/>
      <c r="O1009" s="4"/>
      <c r="P1009" s="4"/>
      <c r="Q1009" s="4"/>
      <c r="R1009" s="4"/>
      <c r="S1009" s="4"/>
      <c r="T1009" s="4"/>
      <c r="U1009" s="4"/>
    </row>
    <row r="1010" spans="14:21" x14ac:dyDescent="0.25">
      <c r="N1010" s="58"/>
      <c r="O1010" s="4"/>
      <c r="P1010" s="4"/>
      <c r="Q1010" s="4"/>
      <c r="R1010" s="4"/>
      <c r="S1010" s="4"/>
      <c r="T1010" s="4"/>
      <c r="U1010" s="4"/>
    </row>
    <row r="1011" spans="14:21" x14ac:dyDescent="0.25">
      <c r="N1011" s="58"/>
      <c r="O1011" s="4"/>
      <c r="P1011" s="4"/>
      <c r="Q1011" s="4"/>
      <c r="R1011" s="4"/>
      <c r="S1011" s="4"/>
      <c r="T1011" s="4"/>
      <c r="U1011" s="4"/>
    </row>
    <row r="1012" spans="14:21" x14ac:dyDescent="0.25">
      <c r="N1012" s="58"/>
      <c r="O1012" s="4"/>
      <c r="P1012" s="4"/>
      <c r="Q1012" s="4"/>
      <c r="R1012" s="4"/>
      <c r="S1012" s="4"/>
      <c r="T1012" s="4"/>
      <c r="U1012" s="4"/>
    </row>
    <row r="1013" spans="14:21" x14ac:dyDescent="0.25">
      <c r="N1013" s="58"/>
      <c r="O1013" s="4"/>
      <c r="P1013" s="4"/>
      <c r="Q1013" s="4"/>
      <c r="R1013" s="4"/>
      <c r="S1013" s="4"/>
      <c r="T1013" s="4"/>
      <c r="U1013" s="4"/>
    </row>
    <row r="1014" spans="14:21" x14ac:dyDescent="0.25">
      <c r="N1014" s="58"/>
      <c r="O1014" s="4"/>
      <c r="P1014" s="4"/>
      <c r="Q1014" s="4"/>
      <c r="R1014" s="4"/>
      <c r="S1014" s="4"/>
      <c r="T1014" s="4"/>
      <c r="U1014" s="4"/>
    </row>
    <row r="1015" spans="14:21" x14ac:dyDescent="0.25">
      <c r="N1015" s="58"/>
      <c r="O1015" s="4"/>
      <c r="P1015" s="4"/>
      <c r="Q1015" s="4"/>
      <c r="R1015" s="4"/>
      <c r="S1015" s="4"/>
      <c r="T1015" s="4"/>
      <c r="U1015" s="4"/>
    </row>
    <row r="1016" spans="14:21" x14ac:dyDescent="0.25">
      <c r="N1016" s="58"/>
      <c r="O1016" s="4"/>
      <c r="P1016" s="4"/>
      <c r="Q1016" s="4"/>
      <c r="R1016" s="4"/>
      <c r="S1016" s="4"/>
      <c r="T1016" s="4"/>
      <c r="U1016" s="4"/>
    </row>
    <row r="1017" spans="14:21" x14ac:dyDescent="0.25">
      <c r="N1017" s="58"/>
      <c r="O1017" s="4"/>
      <c r="P1017" s="4"/>
      <c r="Q1017" s="4"/>
      <c r="R1017" s="4"/>
      <c r="S1017" s="4"/>
      <c r="T1017" s="4"/>
      <c r="U1017" s="4"/>
    </row>
    <row r="1018" spans="14:21" x14ac:dyDescent="0.25">
      <c r="N1018" s="58"/>
      <c r="O1018" s="4"/>
      <c r="P1018" s="4"/>
      <c r="Q1018" s="4"/>
      <c r="R1018" s="4"/>
      <c r="S1018" s="4"/>
      <c r="T1018" s="4"/>
      <c r="U1018" s="4"/>
    </row>
    <row r="1019" spans="14:21" x14ac:dyDescent="0.25">
      <c r="N1019" s="58"/>
      <c r="O1019" s="4"/>
      <c r="P1019" s="4"/>
      <c r="Q1019" s="4"/>
      <c r="R1019" s="4"/>
      <c r="S1019" s="4"/>
      <c r="T1019" s="4"/>
      <c r="U1019" s="4"/>
    </row>
    <row r="1020" spans="14:21" x14ac:dyDescent="0.25">
      <c r="N1020" s="58"/>
      <c r="O1020" s="4"/>
      <c r="P1020" s="4"/>
      <c r="Q1020" s="4"/>
      <c r="R1020" s="4"/>
      <c r="S1020" s="4"/>
      <c r="T1020" s="4"/>
      <c r="U1020" s="4"/>
    </row>
    <row r="1021" spans="14:21" x14ac:dyDescent="0.25">
      <c r="N1021" s="58"/>
      <c r="O1021" s="4"/>
      <c r="P1021" s="4"/>
      <c r="Q1021" s="4"/>
      <c r="R1021" s="4"/>
      <c r="S1021" s="4"/>
      <c r="T1021" s="4"/>
      <c r="U1021" s="4"/>
    </row>
    <row r="1022" spans="14:21" x14ac:dyDescent="0.25">
      <c r="N1022" s="58"/>
      <c r="O1022" s="4"/>
      <c r="P1022" s="4"/>
      <c r="Q1022" s="4"/>
      <c r="R1022" s="4"/>
      <c r="S1022" s="4"/>
      <c r="T1022" s="4"/>
      <c r="U1022" s="4"/>
    </row>
    <row r="1023" spans="14:21" x14ac:dyDescent="0.25">
      <c r="N1023" s="58"/>
      <c r="O1023" s="4"/>
      <c r="P1023" s="4"/>
      <c r="Q1023" s="4"/>
      <c r="R1023" s="4"/>
      <c r="S1023" s="4"/>
      <c r="T1023" s="4"/>
      <c r="U1023" s="4"/>
    </row>
    <row r="1024" spans="14:21" x14ac:dyDescent="0.25">
      <c r="N1024" s="58"/>
      <c r="O1024" s="4"/>
      <c r="P1024" s="4"/>
      <c r="Q1024" s="4"/>
      <c r="R1024" s="4"/>
      <c r="S1024" s="4"/>
      <c r="T1024" s="4"/>
      <c r="U1024" s="4"/>
    </row>
    <row r="1025" spans="14:21" x14ac:dyDescent="0.25">
      <c r="N1025" s="58"/>
      <c r="O1025" s="4"/>
      <c r="P1025" s="4"/>
      <c r="Q1025" s="4"/>
      <c r="R1025" s="4"/>
      <c r="S1025" s="4"/>
      <c r="T1025" s="4"/>
      <c r="U1025" s="4"/>
    </row>
    <row r="1026" spans="14:21" x14ac:dyDescent="0.25">
      <c r="N1026" s="58"/>
      <c r="O1026" s="4"/>
      <c r="P1026" s="4"/>
      <c r="Q1026" s="4"/>
      <c r="R1026" s="4"/>
      <c r="S1026" s="4"/>
      <c r="T1026" s="4"/>
      <c r="U1026" s="4"/>
    </row>
    <row r="1027" spans="14:21" x14ac:dyDescent="0.25">
      <c r="N1027" s="58"/>
      <c r="O1027" s="4"/>
      <c r="P1027" s="4"/>
      <c r="Q1027" s="4"/>
      <c r="R1027" s="4"/>
      <c r="S1027" s="4"/>
      <c r="T1027" s="4"/>
      <c r="U1027" s="4"/>
    </row>
    <row r="1028" spans="14:21" x14ac:dyDescent="0.25">
      <c r="N1028" s="58"/>
      <c r="O1028" s="4"/>
      <c r="P1028" s="4"/>
      <c r="Q1028" s="4"/>
      <c r="R1028" s="4"/>
      <c r="S1028" s="4"/>
      <c r="T1028" s="4"/>
      <c r="U1028" s="4"/>
    </row>
    <row r="1029" spans="14:21" x14ac:dyDescent="0.25">
      <c r="N1029" s="58"/>
      <c r="O1029" s="4"/>
      <c r="P1029" s="4"/>
      <c r="Q1029" s="4"/>
      <c r="R1029" s="4"/>
      <c r="S1029" s="4"/>
      <c r="T1029" s="4"/>
      <c r="U1029" s="4"/>
    </row>
    <row r="1030" spans="14:21" x14ac:dyDescent="0.25">
      <c r="N1030" s="58"/>
      <c r="O1030" s="4"/>
      <c r="P1030" s="4"/>
      <c r="Q1030" s="4"/>
      <c r="R1030" s="4"/>
      <c r="S1030" s="4"/>
      <c r="T1030" s="4"/>
      <c r="U1030" s="4"/>
    </row>
    <row r="1031" spans="14:21" x14ac:dyDescent="0.25">
      <c r="N1031" s="58"/>
      <c r="O1031" s="4"/>
      <c r="P1031" s="4"/>
      <c r="Q1031" s="4"/>
      <c r="R1031" s="4"/>
      <c r="S1031" s="4"/>
      <c r="T1031" s="4"/>
      <c r="U1031" s="4"/>
    </row>
  </sheetData>
  <mergeCells count="5">
    <mergeCell ref="E1:H2"/>
    <mergeCell ref="R1:U2"/>
    <mergeCell ref="V1:W2"/>
    <mergeCell ref="N4:N5"/>
    <mergeCell ref="A4:A5"/>
  </mergeCells>
  <pageMargins left="0.7" right="0.7" top="0.75" bottom="0.75" header="0.3" footer="0.3"/>
  <pageSetup orientation="portrait" horizontalDpi="30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Home</vt:lpstr>
      <vt:lpstr>Annuity-BE</vt:lpstr>
      <vt:lpstr>Dropdown</vt:lpstr>
      <vt:lpstr>Convert-BE</vt:lpstr>
      <vt:lpstr>Single Investment</vt:lpstr>
      <vt:lpstr>Graphs for single investments</vt:lpstr>
      <vt:lpstr>Single-BE</vt:lpstr>
      <vt:lpstr>Sources</vt:lpstr>
      <vt:lpstr>Convert changing interests</vt:lpstr>
      <vt:lpstr>Annuity-In arrears</vt:lpstr>
      <vt:lpstr>Annuity-In advance</vt:lpstr>
      <vt:lpstr>Increasing Annuity</vt:lpstr>
      <vt:lpstr>Annuity - Retirement</vt:lpstr>
      <vt:lpstr>Retirement</vt:lpstr>
      <vt:lpstr>Increasing payments-BE</vt:lpstr>
      <vt:lpstr>Converter</vt:lpstr>
      <vt:lpstr>Loans - In arrears</vt:lpstr>
      <vt:lpstr>Loans - In advance</vt:lpstr>
      <vt:lpstr>Loans-BE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Jaun Minnaar</dc:creator>
  <cp:lastModifiedBy>Jaun Minnaar</cp:lastModifiedBy>
  <dcterms:created xsi:type="dcterms:W3CDTF">2024-02-16T08:14:13Z</dcterms:created>
  <dcterms:modified xsi:type="dcterms:W3CDTF">2024-08-23T17:46:52Z</dcterms:modified>
</cp:coreProperties>
</file>