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bbycosoi/Desktop/Astral/GBL/"/>
    </mc:Choice>
  </mc:AlternateContent>
  <xr:revisionPtr revIDLastSave="0" documentId="13_ncr:1_{AA717FA6-8015-6F42-8932-6958D30AC54C}" xr6:coauthVersionLast="47" xr6:coauthVersionMax="47" xr10:uidLastSave="{00000000-0000-0000-0000-000000000000}"/>
  <bookViews>
    <workbookView xWindow="0" yWindow="760" windowWidth="30240" windowHeight="18880" activeTab="4" xr2:uid="{24CAD798-F53C-4268-AD2A-9BCB5D759923}"/>
  </bookViews>
  <sheets>
    <sheet name="COBRANZA (2)" sheetId="25" r:id="rId1"/>
    <sheet name="DASH" sheetId="23" r:id="rId2"/>
    <sheet name="GRUPOS" sheetId="24" r:id="rId3"/>
    <sheet name="RESERVAS" sheetId="14" r:id="rId4"/>
    <sheet name="COBRANZA" sheetId="19" r:id="rId5"/>
    <sheet name="PAGOS" sheetId="26" r:id="rId6"/>
    <sheet name="BBDD" sheetId="15" r:id="rId7"/>
    <sheet name="CHECK-IN" sheetId="17" state="hidden" r:id="rId8"/>
    <sheet name="EJEMPLO JIP" sheetId="1" state="hidden" r:id="rId9"/>
    <sheet name="PRICING" sheetId="11" state="hidden" r:id="rId10"/>
    <sheet name="precio" sheetId="5" state="hidden" r:id="rId11"/>
    <sheet name="Mantenedor" sheetId="12" r:id="rId12"/>
  </sheets>
  <definedNames>
    <definedName name="_xlnm._FilterDatabase" localSheetId="4" hidden="1">COBRANZA!$B$10:$C$10</definedName>
    <definedName name="_xlnm._FilterDatabase" localSheetId="0" hidden="1">'COBRANZA (2)'!$B$10:$C$10</definedName>
    <definedName name="_xleta.IF" hidden="1" xlm="1">#NAME?</definedName>
    <definedName name="_xleta.OR" hidden="1" xlm="1">#NAME?</definedName>
    <definedName name="_xlpm.base_" hidden="1" xlm="1">#NAME?</definedName>
    <definedName name="_xlpm.baseKey" hidden="1" xlm="1">#NAME?</definedName>
    <definedName name="_xlpm.baseKey2" hidden="1" xlm="1">#NAME?</definedName>
    <definedName name="_xlpm.baseNorm" hidden="1" xlm="1">#NAME?</definedName>
    <definedName name="_xlpm.baseRaw" hidden="1" xlm="1">#NAME?</definedName>
    <definedName name="_xlpm.clave" hidden="1" xlm="1">#NAME?</definedName>
    <definedName name="_xlpm.col" hidden="1" xlm="1">#NAME?</definedName>
    <definedName name="_xlpm.grp" hidden="1" xlm="1">#NAME?</definedName>
    <definedName name="_xlpm.l" hidden="1" xlm="1">#NAME?</definedName>
    <definedName name="_xlpm.noches" hidden="1" xlm="1">#NAME?</definedName>
    <definedName name="_xlpm.pas" hidden="1" xlm="1">#NAME?</definedName>
    <definedName name="_xlpm.tipo" hidden="1" xlm="1">#NAME?</definedName>
    <definedName name="_xlpm.tipoRes" hidden="1" xlm="1">#NAME?</definedName>
    <definedName name="_xlpm.v" hidden="1" xlm="1">#NAME?</definedName>
    <definedName name="AnclaPasajeros">RESERVAS!$B$14</definedName>
    <definedName name="GruposSpill">_xlfn._xlws.SORT(_xlfn.UNIQUE(_xlfn._xlws.FILTER(BBDD!$B$1:$B$241,BBDD!$B$1:$B$241&lt;&gt;"")))</definedName>
    <definedName name="ListaCondicional">IF(RESERVAS!$C$14="No",BBDD!#REF!,"")</definedName>
    <definedName name="ListaCondicional2">IF(RESERVAS!$C1="No",ListaReal,ListaVacia)</definedName>
    <definedName name="ListaGrupos">OFFSET(Mantenedor!$K$2,0,0,ROWS(_xlfn.ANCHORARRAY(Mantenedor!$K$2)),1)</definedName>
    <definedName name="ListaReal">BBDD!#REF!</definedName>
    <definedName name="ListaVacia">RESERVAS!$AA$1</definedName>
    <definedName name="tblBBDD">BBDD!$A$1:$AZ$253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25" l="1" a="1"/>
  <c r="N19" i="25" s="1"/>
  <c r="F19" i="25" a="1"/>
  <c r="F19" i="25" s="1"/>
  <c r="E19" i="25" a="1"/>
  <c r="E19" i="25" s="1"/>
  <c r="D19" i="25" a="1"/>
  <c r="D19" i="25" s="1"/>
  <c r="G19" i="25" s="1"/>
  <c r="N18" i="25" a="1"/>
  <c r="N18" i="25" s="1"/>
  <c r="F18" i="25" a="1"/>
  <c r="F18" i="25" s="1"/>
  <c r="E18" i="25" a="1"/>
  <c r="E18" i="25" s="1"/>
  <c r="D18" i="25" a="1"/>
  <c r="D18" i="25" s="1"/>
  <c r="G18" i="25" s="1"/>
  <c r="N17" i="25" a="1"/>
  <c r="N17" i="25" s="1"/>
  <c r="F17" i="25" a="1"/>
  <c r="F17" i="25" s="1"/>
  <c r="E17" i="25" a="1"/>
  <c r="E17" i="25" s="1"/>
  <c r="D17" i="25" a="1"/>
  <c r="D17" i="25" s="1"/>
  <c r="G17" i="25" s="1"/>
  <c r="N16" i="25" a="1"/>
  <c r="N16" i="25" s="1"/>
  <c r="F16" i="25" a="1"/>
  <c r="F16" i="25" s="1"/>
  <c r="E16" i="25" a="1"/>
  <c r="E16" i="25" s="1"/>
  <c r="D16" i="25" a="1"/>
  <c r="D16" i="25" s="1"/>
  <c r="G16" i="25" s="1"/>
  <c r="N15" i="25" a="1"/>
  <c r="N15" i="25" s="1"/>
  <c r="F15" i="25" a="1"/>
  <c r="F15" i="25" s="1"/>
  <c r="E15" i="25" a="1"/>
  <c r="E15" i="25" s="1"/>
  <c r="D15" i="25" a="1"/>
  <c r="D15" i="25" s="1"/>
  <c r="G15" i="25" s="1"/>
  <c r="D13" i="25" a="1"/>
  <c r="D13" i="25" s="1"/>
  <c r="C10" i="25" a="1"/>
  <c r="C10" i="25" s="1"/>
  <c r="B10" i="25" a="1"/>
  <c r="F12" i="25" s="1" a="1"/>
  <c r="F12" i="25" s="1"/>
  <c r="H7" i="25" a="1"/>
  <c r="H7" i="25" s="1"/>
  <c r="G7" i="25" a="1"/>
  <c r="G7" i="25" s="1"/>
  <c r="C7" i="25"/>
  <c r="H6" i="25" a="1"/>
  <c r="H6" i="25" s="1"/>
  <c r="G6" i="25" a="1"/>
  <c r="G6" i="25" s="1"/>
  <c r="C6" i="25"/>
  <c r="H7" i="19" a="1"/>
  <c r="H7" i="19" s="1"/>
  <c r="G7" i="19" a="1"/>
  <c r="G7" i="19" s="1"/>
  <c r="H6" i="19" a="1"/>
  <c r="H6" i="19" s="1"/>
  <c r="G6" i="19" a="1"/>
  <c r="G6" i="19" s="1"/>
  <c r="F19" i="19" a="1"/>
  <c r="F19" i="19" s="1"/>
  <c r="F18" i="19" a="1"/>
  <c r="F18" i="19" s="1"/>
  <c r="F17" i="19" a="1"/>
  <c r="F17" i="19" s="1"/>
  <c r="F16" i="19" a="1"/>
  <c r="F16" i="19" s="1"/>
  <c r="F15" i="19" a="1"/>
  <c r="F15" i="19" s="1"/>
  <c r="E19" i="19" a="1"/>
  <c r="E19" i="19" s="1"/>
  <c r="E18" i="19" a="1"/>
  <c r="E18" i="19" s="1"/>
  <c r="E17" i="19" a="1"/>
  <c r="E17" i="19" s="1"/>
  <c r="E16" i="19" a="1"/>
  <c r="E16" i="19" s="1"/>
  <c r="E15" i="19" a="1"/>
  <c r="E15" i="19" s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" i="15"/>
  <c r="B26" i="23" a="1"/>
  <c r="B26" i="23" s="1"/>
  <c r="E14" i="25" l="1" a="1"/>
  <c r="E14" i="25" s="1"/>
  <c r="B10" i="25"/>
  <c r="F10" i="25" s="1" a="1"/>
  <c r="F10" i="25" s="1"/>
  <c r="N14" i="25" a="1"/>
  <c r="N14" i="25" s="1"/>
  <c r="F11" i="25" a="1"/>
  <c r="F11" i="25" s="1"/>
  <c r="N11" i="25" a="1"/>
  <c r="N11" i="25" s="1"/>
  <c r="N12" i="25" a="1"/>
  <c r="N12" i="25" s="1"/>
  <c r="N13" i="25" a="1"/>
  <c r="N13" i="25" s="1"/>
  <c r="D14" i="25" a="1"/>
  <c r="D14" i="25" s="1"/>
  <c r="N10" i="25" a="1"/>
  <c r="N10" i="25" s="1"/>
  <c r="D12" i="25" a="1"/>
  <c r="D12" i="25" s="1"/>
  <c r="E13" i="25" a="1"/>
  <c r="E13" i="25" s="1"/>
  <c r="G13" i="25" s="1"/>
  <c r="F14" i="25" a="1"/>
  <c r="F14" i="25" s="1"/>
  <c r="D11" i="25" a="1"/>
  <c r="D11" i="25" s="1"/>
  <c r="E12" i="25" a="1"/>
  <c r="E12" i="25" s="1"/>
  <c r="F13" i="25" a="1"/>
  <c r="F13" i="25" s="1"/>
  <c r="E11" i="25" a="1"/>
  <c r="E11" i="25" s="1"/>
  <c r="M4" i="25" a="1"/>
  <c r="M4" i="25" s="1"/>
  <c r="D10" i="25" a="1"/>
  <c r="D10" i="25" s="1"/>
  <c r="N4" i="25" a="1"/>
  <c r="N4" i="25" s="1"/>
  <c r="G14" i="25" l="1"/>
  <c r="G11" i="25"/>
  <c r="G12" i="25"/>
  <c r="N6" i="25"/>
  <c r="N20" i="25" a="1"/>
  <c r="N20" i="25" s="1"/>
  <c r="N7" i="25"/>
  <c r="D20" i="25"/>
  <c r="G10" i="25"/>
  <c r="G20" i="25" s="1"/>
  <c r="F7" i="25" l="1"/>
  <c r="F6" i="25"/>
  <c r="E26" i="23" l="1" a="1"/>
  <c r="E26" i="23" s="1"/>
  <c r="F26" i="23" s="1"/>
  <c r="C26" i="23"/>
  <c r="P2" i="15"/>
  <c r="R2" i="15" s="1"/>
  <c r="Q2" i="15" a="1"/>
  <c r="Q2" i="15" s="1"/>
  <c r="V2" i="15"/>
  <c r="W2" i="15" s="1"/>
  <c r="X2" i="15"/>
  <c r="Y2" i="15"/>
  <c r="Z2" i="15"/>
  <c r="AA2" i="15"/>
  <c r="AB2" i="15"/>
  <c r="AC2" i="15"/>
  <c r="AD2" i="15" s="1"/>
  <c r="AF2" i="15"/>
  <c r="AH2" i="15"/>
  <c r="AI2" i="15"/>
  <c r="AK2" i="15"/>
  <c r="AL2" i="15" s="1"/>
  <c r="AN2" i="15"/>
  <c r="AS2" i="15"/>
  <c r="AT2" i="15"/>
  <c r="AU2" i="15"/>
  <c r="AV2" i="15"/>
  <c r="AW2" i="15"/>
  <c r="AX2" i="15"/>
  <c r="P3" i="15"/>
  <c r="R3" i="15" s="1"/>
  <c r="Q3" i="15" a="1"/>
  <c r="Q3" i="15" s="1"/>
  <c r="V3" i="15"/>
  <c r="W3" i="15" s="1"/>
  <c r="X3" i="15"/>
  <c r="Y3" i="15"/>
  <c r="Z3" i="15"/>
  <c r="AA3" i="15"/>
  <c r="AB3" i="15"/>
  <c r="AC3" i="15"/>
  <c r="AD3" i="15" s="1"/>
  <c r="AF3" i="15"/>
  <c r="AH3" i="15"/>
  <c r="AI3" i="15"/>
  <c r="AK3" i="15"/>
  <c r="AL3" i="15" s="1"/>
  <c r="AN3" i="15"/>
  <c r="P4" i="15"/>
  <c r="R4" i="15" s="1"/>
  <c r="Q4" i="15" a="1"/>
  <c r="Q4" i="15" s="1"/>
  <c r="V4" i="15"/>
  <c r="W4" i="15" s="1"/>
  <c r="X4" i="15"/>
  <c r="Y4" i="15"/>
  <c r="Z4" i="15"/>
  <c r="AA4" i="15"/>
  <c r="AB4" i="15"/>
  <c r="AC4" i="15"/>
  <c r="AD4" i="15" s="1"/>
  <c r="AF4" i="15"/>
  <c r="AH4" i="15"/>
  <c r="AI4" i="15"/>
  <c r="AK4" i="15"/>
  <c r="AL4" i="15" s="1"/>
  <c r="AN4" i="15"/>
  <c r="P5" i="15"/>
  <c r="R5" i="15" s="1"/>
  <c r="Q5" i="15" a="1"/>
  <c r="Q5" i="15" s="1"/>
  <c r="V5" i="15"/>
  <c r="W5" i="15" s="1"/>
  <c r="X5" i="15"/>
  <c r="Y5" i="15"/>
  <c r="Z5" i="15"/>
  <c r="AA5" i="15"/>
  <c r="AB5" i="15"/>
  <c r="AC5" i="15"/>
  <c r="AD5" i="15" s="1"/>
  <c r="AF5" i="15"/>
  <c r="AH5" i="15"/>
  <c r="AI5" i="15"/>
  <c r="AK5" i="15"/>
  <c r="AL5" i="15" s="1"/>
  <c r="AN5" i="15"/>
  <c r="P6" i="15"/>
  <c r="R6" i="15" s="1"/>
  <c r="Q6" i="15" a="1"/>
  <c r="Q6" i="15" s="1"/>
  <c r="V6" i="15"/>
  <c r="W6" i="15" s="1"/>
  <c r="X6" i="15"/>
  <c r="Y6" i="15"/>
  <c r="Z6" i="15"/>
  <c r="AA6" i="15"/>
  <c r="AB6" i="15"/>
  <c r="AC6" i="15"/>
  <c r="AD6" i="15" s="1"/>
  <c r="AF6" i="15"/>
  <c r="AH6" i="15"/>
  <c r="AI6" i="15"/>
  <c r="AK6" i="15"/>
  <c r="AL6" i="15"/>
  <c r="AN6" i="15"/>
  <c r="P7" i="15"/>
  <c r="R7" i="15" s="1"/>
  <c r="Q7" i="15" a="1"/>
  <c r="Q7" i="15" s="1"/>
  <c r="V7" i="15"/>
  <c r="W7" i="15" s="1"/>
  <c r="X7" i="15"/>
  <c r="Y7" i="15"/>
  <c r="Z7" i="15"/>
  <c r="AA7" i="15"/>
  <c r="AB7" i="15"/>
  <c r="AC7" i="15"/>
  <c r="AD7" i="15" s="1"/>
  <c r="AF7" i="15"/>
  <c r="AH7" i="15"/>
  <c r="AI7" i="15"/>
  <c r="AK7" i="15"/>
  <c r="AL7" i="15" s="1"/>
  <c r="AN7" i="15"/>
  <c r="P8" i="15"/>
  <c r="R8" i="15" s="1"/>
  <c r="Q8" i="15" a="1"/>
  <c r="Q8" i="15" s="1"/>
  <c r="V8" i="15"/>
  <c r="W8" i="15" s="1"/>
  <c r="X8" i="15"/>
  <c r="Y8" i="15"/>
  <c r="Z8" i="15"/>
  <c r="AA8" i="15"/>
  <c r="AB8" i="15"/>
  <c r="AC8" i="15"/>
  <c r="AD8" i="15" s="1"/>
  <c r="AF8" i="15"/>
  <c r="AH8" i="15"/>
  <c r="AI8" i="15"/>
  <c r="AJ8" i="15"/>
  <c r="AK8" i="15"/>
  <c r="AL8" i="15" s="1"/>
  <c r="AN8" i="15"/>
  <c r="P9" i="15"/>
  <c r="R9" i="15" s="1"/>
  <c r="Q9" i="15" a="1"/>
  <c r="Q9" i="15" s="1"/>
  <c r="V9" i="15"/>
  <c r="W9" i="15" s="1"/>
  <c r="X9" i="15"/>
  <c r="Y9" i="15"/>
  <c r="Z9" i="15"/>
  <c r="AA9" i="15"/>
  <c r="AB9" i="15"/>
  <c r="AC9" i="15"/>
  <c r="AD9" i="15" s="1"/>
  <c r="AF9" i="15"/>
  <c r="AH9" i="15"/>
  <c r="AI9" i="15"/>
  <c r="AJ9" i="15"/>
  <c r="AK9" i="15"/>
  <c r="AL9" i="15" s="1"/>
  <c r="AN9" i="15"/>
  <c r="P10" i="15"/>
  <c r="R10" i="15" s="1"/>
  <c r="Q10" i="15" a="1"/>
  <c r="Q10" i="15" s="1"/>
  <c r="V10" i="15"/>
  <c r="W10" i="15" s="1"/>
  <c r="X10" i="15"/>
  <c r="Y10" i="15"/>
  <c r="Z10" i="15"/>
  <c r="AA10" i="15"/>
  <c r="AB10" i="15"/>
  <c r="AC10" i="15"/>
  <c r="AD10" i="15" s="1"/>
  <c r="AF10" i="15"/>
  <c r="AH10" i="15"/>
  <c r="AI10" i="15"/>
  <c r="AJ10" i="15"/>
  <c r="AK10" i="15"/>
  <c r="AL10" i="15" s="1"/>
  <c r="AN10" i="15"/>
  <c r="P11" i="15"/>
  <c r="R11" i="15" s="1"/>
  <c r="Q11" i="15" a="1"/>
  <c r="Q11" i="15" s="1"/>
  <c r="V11" i="15"/>
  <c r="W11" i="15"/>
  <c r="X11" i="15"/>
  <c r="Y11" i="15"/>
  <c r="Z11" i="15"/>
  <c r="AA11" i="15"/>
  <c r="AB11" i="15"/>
  <c r="AC11" i="15"/>
  <c r="AD11" i="15"/>
  <c r="AF11" i="15"/>
  <c r="AH11" i="15"/>
  <c r="AI11" i="15"/>
  <c r="AJ11" i="15"/>
  <c r="AK11" i="15"/>
  <c r="AL11" i="15" s="1"/>
  <c r="AN11" i="15"/>
  <c r="P12" i="15"/>
  <c r="R12" i="15" s="1"/>
  <c r="Q12" i="15" a="1"/>
  <c r="Q12" i="15"/>
  <c r="V12" i="15"/>
  <c r="W12" i="15" s="1"/>
  <c r="X12" i="15"/>
  <c r="Y12" i="15"/>
  <c r="Z12" i="15"/>
  <c r="AA12" i="15"/>
  <c r="AB12" i="15"/>
  <c r="AC12" i="15"/>
  <c r="AD12" i="15" s="1"/>
  <c r="AF12" i="15"/>
  <c r="AH12" i="15"/>
  <c r="AI12" i="15"/>
  <c r="AJ12" i="15"/>
  <c r="AK12" i="15"/>
  <c r="AL12" i="15" s="1"/>
  <c r="AN12" i="15"/>
  <c r="P13" i="15"/>
  <c r="Q13" i="15" a="1"/>
  <c r="Q13" i="15" s="1"/>
  <c r="R13" i="15"/>
  <c r="V13" i="15"/>
  <c r="W13" i="15" s="1"/>
  <c r="X13" i="15"/>
  <c r="Y13" i="15"/>
  <c r="Z13" i="15"/>
  <c r="AA13" i="15"/>
  <c r="AB13" i="15"/>
  <c r="AC13" i="15"/>
  <c r="AD13" i="15" s="1"/>
  <c r="AF13" i="15"/>
  <c r="AH13" i="15"/>
  <c r="AI13" i="15"/>
  <c r="AJ13" i="15"/>
  <c r="AK13" i="15"/>
  <c r="AL13" i="15" s="1"/>
  <c r="AN13" i="15"/>
  <c r="P14" i="15"/>
  <c r="R14" i="15" s="1"/>
  <c r="Q14" i="15" a="1"/>
  <c r="Q14" i="15" s="1"/>
  <c r="V14" i="15"/>
  <c r="W14" i="15" s="1"/>
  <c r="X14" i="15"/>
  <c r="Y14" i="15"/>
  <c r="Z14" i="15"/>
  <c r="AA14" i="15"/>
  <c r="AB14" i="15"/>
  <c r="AC14" i="15"/>
  <c r="AD14" i="15"/>
  <c r="AF14" i="15"/>
  <c r="AH14" i="15"/>
  <c r="AI14" i="15"/>
  <c r="AJ14" i="15"/>
  <c r="AK14" i="15"/>
  <c r="AL14" i="15" s="1"/>
  <c r="AN14" i="15"/>
  <c r="P15" i="15"/>
  <c r="R15" i="15" s="1"/>
  <c r="Q15" i="15" a="1"/>
  <c r="Q15" i="15"/>
  <c r="V15" i="15"/>
  <c r="W15" i="15" s="1"/>
  <c r="X15" i="15"/>
  <c r="Y15" i="15"/>
  <c r="Z15" i="15"/>
  <c r="AA15" i="15"/>
  <c r="AB15" i="15"/>
  <c r="AC15" i="15"/>
  <c r="AD15" i="15" s="1"/>
  <c r="AF15" i="15"/>
  <c r="AH15" i="15"/>
  <c r="AI15" i="15"/>
  <c r="AJ15" i="15"/>
  <c r="AK15" i="15"/>
  <c r="AL15" i="15" s="1"/>
  <c r="AN15" i="15"/>
  <c r="P16" i="15"/>
  <c r="R16" i="15" s="1"/>
  <c r="Q16" i="15" a="1"/>
  <c r="Q16" i="15" s="1"/>
  <c r="V16" i="15"/>
  <c r="W16" i="15" s="1"/>
  <c r="X16" i="15"/>
  <c r="Y16" i="15"/>
  <c r="Z16" i="15"/>
  <c r="AA16" i="15"/>
  <c r="AB16" i="15"/>
  <c r="AC16" i="15"/>
  <c r="AD16" i="15" s="1"/>
  <c r="AF16" i="15"/>
  <c r="AH16" i="15"/>
  <c r="AI16" i="15"/>
  <c r="AJ16" i="15"/>
  <c r="AK16" i="15"/>
  <c r="AL16" i="15"/>
  <c r="AN16" i="15"/>
  <c r="P17" i="15"/>
  <c r="R17" i="15" s="1"/>
  <c r="Q17" i="15" a="1"/>
  <c r="Q17" i="15" s="1"/>
  <c r="V17" i="15"/>
  <c r="W17" i="15" s="1"/>
  <c r="X17" i="15"/>
  <c r="Y17" i="15"/>
  <c r="Z17" i="15"/>
  <c r="AA17" i="15"/>
  <c r="AB17" i="15"/>
  <c r="AC17" i="15"/>
  <c r="AD17" i="15" s="1"/>
  <c r="AF17" i="15"/>
  <c r="AH17" i="15"/>
  <c r="AI17" i="15"/>
  <c r="AJ17" i="15"/>
  <c r="AK17" i="15"/>
  <c r="AL17" i="15" s="1"/>
  <c r="AN17" i="15"/>
  <c r="P18" i="15"/>
  <c r="R18" i="15" s="1"/>
  <c r="Q18" i="15" a="1"/>
  <c r="Q18" i="15" s="1"/>
  <c r="V18" i="15"/>
  <c r="W18" i="15" s="1"/>
  <c r="X18" i="15"/>
  <c r="Y18" i="15"/>
  <c r="Z18" i="15"/>
  <c r="AA18" i="15"/>
  <c r="AB18" i="15"/>
  <c r="AC18" i="15"/>
  <c r="AD18" i="15" s="1"/>
  <c r="AF18" i="15"/>
  <c r="AH18" i="15"/>
  <c r="AI18" i="15"/>
  <c r="AJ18" i="15"/>
  <c r="AK18" i="15"/>
  <c r="AL18" i="15" s="1"/>
  <c r="AN18" i="15"/>
  <c r="P19" i="15"/>
  <c r="R19" i="15" s="1"/>
  <c r="Q19" i="15" a="1"/>
  <c r="Q19" i="15" s="1"/>
  <c r="V19" i="15"/>
  <c r="W19" i="15" s="1"/>
  <c r="X19" i="15"/>
  <c r="Y19" i="15"/>
  <c r="Z19" i="15"/>
  <c r="AA19" i="15"/>
  <c r="AB19" i="15"/>
  <c r="AC19" i="15"/>
  <c r="AD19" i="15" s="1"/>
  <c r="AF19" i="15"/>
  <c r="AH19" i="15"/>
  <c r="AI19" i="15"/>
  <c r="AJ19" i="15"/>
  <c r="AK19" i="15"/>
  <c r="AL19" i="15" s="1"/>
  <c r="AN19" i="15"/>
  <c r="P20" i="15"/>
  <c r="R20" i="15" s="1"/>
  <c r="Q20" i="15" a="1"/>
  <c r="Q20" i="15" s="1"/>
  <c r="V20" i="15"/>
  <c r="W20" i="15" s="1"/>
  <c r="X20" i="15"/>
  <c r="Y20" i="15"/>
  <c r="Z20" i="15"/>
  <c r="AA20" i="15"/>
  <c r="AB20" i="15"/>
  <c r="AC20" i="15"/>
  <c r="AD20" i="15"/>
  <c r="AF20" i="15"/>
  <c r="AH20" i="15"/>
  <c r="AI20" i="15"/>
  <c r="AJ20" i="15"/>
  <c r="AK20" i="15"/>
  <c r="AL20" i="15"/>
  <c r="AN20" i="15"/>
  <c r="P21" i="15"/>
  <c r="R21" i="15" s="1"/>
  <c r="Q21" i="15" a="1"/>
  <c r="Q21" i="15"/>
  <c r="V21" i="15"/>
  <c r="W21" i="15" s="1"/>
  <c r="X21" i="15"/>
  <c r="Y21" i="15"/>
  <c r="Z21" i="15"/>
  <c r="AA21" i="15"/>
  <c r="AB21" i="15"/>
  <c r="AC21" i="15"/>
  <c r="AD21" i="15" s="1"/>
  <c r="AF21" i="15"/>
  <c r="AH21" i="15"/>
  <c r="AI21" i="15"/>
  <c r="AJ21" i="15"/>
  <c r="AK21" i="15"/>
  <c r="AL21" i="15" s="1"/>
  <c r="AN21" i="15"/>
  <c r="P22" i="15"/>
  <c r="R22" i="15" s="1"/>
  <c r="Q22" i="15" a="1"/>
  <c r="Q22" i="15"/>
  <c r="V22" i="15"/>
  <c r="W22" i="15" s="1"/>
  <c r="X22" i="15"/>
  <c r="Y22" i="15"/>
  <c r="Z22" i="15"/>
  <c r="AA22" i="15"/>
  <c r="AB22" i="15"/>
  <c r="AC22" i="15"/>
  <c r="AD22" i="15" s="1"/>
  <c r="AF22" i="15"/>
  <c r="AH22" i="15"/>
  <c r="AI22" i="15"/>
  <c r="AJ22" i="15"/>
  <c r="AK22" i="15"/>
  <c r="AL22" i="15" s="1"/>
  <c r="AN22" i="15"/>
  <c r="P23" i="15"/>
  <c r="Q23" i="15" a="1"/>
  <c r="Q23" i="15"/>
  <c r="R23" i="15"/>
  <c r="V23" i="15"/>
  <c r="W23" i="15" s="1"/>
  <c r="X23" i="15"/>
  <c r="Y23" i="15"/>
  <c r="Z23" i="15"/>
  <c r="AA23" i="15"/>
  <c r="AB23" i="15"/>
  <c r="AC23" i="15"/>
  <c r="AD23" i="15" s="1"/>
  <c r="AF23" i="15"/>
  <c r="AH23" i="15"/>
  <c r="AI23" i="15"/>
  <c r="AJ23" i="15"/>
  <c r="AK23" i="15"/>
  <c r="AL23" i="15"/>
  <c r="AN23" i="15"/>
  <c r="P24" i="15"/>
  <c r="R24" i="15" s="1"/>
  <c r="Q24" i="15" a="1"/>
  <c r="Q24" i="15" s="1"/>
  <c r="V24" i="15"/>
  <c r="W24" i="15" s="1"/>
  <c r="X24" i="15"/>
  <c r="Y24" i="15"/>
  <c r="Z24" i="15"/>
  <c r="AA24" i="15"/>
  <c r="AB24" i="15"/>
  <c r="AC24" i="15"/>
  <c r="AD24" i="15" s="1"/>
  <c r="AF24" i="15"/>
  <c r="AH24" i="15"/>
  <c r="AI24" i="15"/>
  <c r="AJ24" i="15"/>
  <c r="AK24" i="15"/>
  <c r="AL24" i="15" s="1"/>
  <c r="AN24" i="15"/>
  <c r="P25" i="15"/>
  <c r="R25" i="15" s="1"/>
  <c r="Q25" i="15" a="1"/>
  <c r="Q25" i="15" s="1"/>
  <c r="V25" i="15"/>
  <c r="W25" i="15" s="1"/>
  <c r="X25" i="15"/>
  <c r="Y25" i="15"/>
  <c r="Z25" i="15"/>
  <c r="AA25" i="15"/>
  <c r="AB25" i="15"/>
  <c r="AC25" i="15"/>
  <c r="AD25" i="15"/>
  <c r="AF25" i="15"/>
  <c r="AH25" i="15"/>
  <c r="AI25" i="15"/>
  <c r="AJ25" i="15"/>
  <c r="AK25" i="15"/>
  <c r="AL25" i="15" s="1"/>
  <c r="AN25" i="15"/>
  <c r="P26" i="15"/>
  <c r="Q26" i="15" a="1"/>
  <c r="Q26" i="15" s="1"/>
  <c r="R26" i="15"/>
  <c r="V26" i="15"/>
  <c r="W26" i="15" s="1"/>
  <c r="X26" i="15"/>
  <c r="Y26" i="15"/>
  <c r="Z26" i="15"/>
  <c r="AA26" i="15"/>
  <c r="AB26" i="15"/>
  <c r="AC26" i="15"/>
  <c r="AD26" i="15" s="1"/>
  <c r="AF26" i="15"/>
  <c r="AH26" i="15"/>
  <c r="AI26" i="15"/>
  <c r="AJ26" i="15"/>
  <c r="AK26" i="15"/>
  <c r="AL26" i="15" s="1"/>
  <c r="AN26" i="15"/>
  <c r="P27" i="15"/>
  <c r="R27" i="15" s="1"/>
  <c r="Q27" i="15" a="1"/>
  <c r="Q27" i="15" s="1"/>
  <c r="V27" i="15"/>
  <c r="W27" i="15" s="1"/>
  <c r="X27" i="15"/>
  <c r="Y27" i="15"/>
  <c r="Z27" i="15"/>
  <c r="AA27" i="15"/>
  <c r="AB27" i="15"/>
  <c r="AC27" i="15"/>
  <c r="AD27" i="15" s="1"/>
  <c r="AF27" i="15"/>
  <c r="AH27" i="15"/>
  <c r="AI27" i="15"/>
  <c r="AJ27" i="15"/>
  <c r="AK27" i="15"/>
  <c r="AL27" i="15"/>
  <c r="AN27" i="15"/>
  <c r="P28" i="15"/>
  <c r="R28" i="15" s="1"/>
  <c r="Q28" i="15" a="1"/>
  <c r="Q28" i="15" s="1"/>
  <c r="V28" i="15"/>
  <c r="W28" i="15" s="1"/>
  <c r="X28" i="15"/>
  <c r="Y28" i="15"/>
  <c r="Z28" i="15"/>
  <c r="AA28" i="15"/>
  <c r="AB28" i="15"/>
  <c r="AC28" i="15"/>
  <c r="AD28" i="15" s="1"/>
  <c r="AF28" i="15"/>
  <c r="AH28" i="15"/>
  <c r="AI28" i="15"/>
  <c r="AJ28" i="15"/>
  <c r="AK28" i="15"/>
  <c r="AL28" i="15" s="1"/>
  <c r="AN28" i="15"/>
  <c r="P29" i="15"/>
  <c r="R29" i="15" s="1"/>
  <c r="Q29" i="15" a="1"/>
  <c r="Q29" i="15" s="1"/>
  <c r="V29" i="15"/>
  <c r="W29" i="15" s="1"/>
  <c r="X29" i="15"/>
  <c r="Y29" i="15"/>
  <c r="Z29" i="15"/>
  <c r="AA29" i="15"/>
  <c r="AB29" i="15"/>
  <c r="AC29" i="15"/>
  <c r="AD29" i="15" s="1"/>
  <c r="AF29" i="15"/>
  <c r="AH29" i="15"/>
  <c r="AI29" i="15"/>
  <c r="AJ29" i="15"/>
  <c r="AK29" i="15"/>
  <c r="AL29" i="15" s="1"/>
  <c r="AN29" i="15"/>
  <c r="P30" i="15"/>
  <c r="R30" i="15" s="1"/>
  <c r="Q30" i="15" a="1"/>
  <c r="Q30" i="15" s="1"/>
  <c r="V30" i="15"/>
  <c r="W30" i="15" s="1"/>
  <c r="X30" i="15"/>
  <c r="Y30" i="15"/>
  <c r="Z30" i="15"/>
  <c r="AA30" i="15"/>
  <c r="AB30" i="15"/>
  <c r="AC30" i="15"/>
  <c r="AD30" i="15"/>
  <c r="AF30" i="15"/>
  <c r="AH30" i="15"/>
  <c r="AI30" i="15"/>
  <c r="AJ30" i="15"/>
  <c r="AK30" i="15"/>
  <c r="AL30" i="15" s="1"/>
  <c r="AN30" i="15"/>
  <c r="P31" i="15"/>
  <c r="R31" i="15" s="1"/>
  <c r="Q31" i="15" a="1"/>
  <c r="Q31" i="15" s="1"/>
  <c r="V31" i="15"/>
  <c r="W31" i="15" s="1"/>
  <c r="X31" i="15"/>
  <c r="Y31" i="15"/>
  <c r="Z31" i="15"/>
  <c r="AA31" i="15"/>
  <c r="AB31" i="15"/>
  <c r="AC31" i="15"/>
  <c r="AD31" i="15" s="1"/>
  <c r="AF31" i="15"/>
  <c r="AH31" i="15"/>
  <c r="AI31" i="15"/>
  <c r="AJ31" i="15"/>
  <c r="AK31" i="15"/>
  <c r="AL31" i="15"/>
  <c r="AN31" i="15"/>
  <c r="P32" i="15"/>
  <c r="R32" i="15" s="1"/>
  <c r="Q32" i="15" a="1"/>
  <c r="Q32" i="15" s="1"/>
  <c r="V32" i="15"/>
  <c r="W32" i="15" s="1"/>
  <c r="X32" i="15"/>
  <c r="Y32" i="15"/>
  <c r="Z32" i="15"/>
  <c r="AA32" i="15"/>
  <c r="AB32" i="15"/>
  <c r="AC32" i="15"/>
  <c r="AD32" i="15" s="1"/>
  <c r="AF32" i="15"/>
  <c r="AH32" i="15"/>
  <c r="AI32" i="15"/>
  <c r="AJ32" i="15"/>
  <c r="AK32" i="15"/>
  <c r="AL32" i="15" s="1"/>
  <c r="AN32" i="15"/>
  <c r="P33" i="15"/>
  <c r="Q33" i="15" a="1"/>
  <c r="Q33" i="15" s="1"/>
  <c r="R33" i="15"/>
  <c r="V33" i="15"/>
  <c r="W33" i="15" s="1"/>
  <c r="X33" i="15"/>
  <c r="Y33" i="15"/>
  <c r="Z33" i="15"/>
  <c r="AA33" i="15"/>
  <c r="AB33" i="15"/>
  <c r="AC33" i="15"/>
  <c r="AD33" i="15" s="1"/>
  <c r="AF33" i="15"/>
  <c r="AH33" i="15"/>
  <c r="AI33" i="15"/>
  <c r="AJ33" i="15"/>
  <c r="AK33" i="15"/>
  <c r="AL33" i="15" s="1"/>
  <c r="AN33" i="15"/>
  <c r="P34" i="15"/>
  <c r="R34" i="15" s="1"/>
  <c r="Q34" i="15" a="1"/>
  <c r="Q34" i="15" s="1"/>
  <c r="V34" i="15"/>
  <c r="W34" i="15" s="1"/>
  <c r="X34" i="15"/>
  <c r="Y34" i="15"/>
  <c r="Z34" i="15"/>
  <c r="AA34" i="15"/>
  <c r="AB34" i="15"/>
  <c r="AC34" i="15"/>
  <c r="AD34" i="15" s="1"/>
  <c r="AF34" i="15"/>
  <c r="AH34" i="15"/>
  <c r="AI34" i="15"/>
  <c r="AJ34" i="15"/>
  <c r="AK34" i="15"/>
  <c r="AL34" i="15" s="1"/>
  <c r="AN34" i="15"/>
  <c r="P35" i="15"/>
  <c r="R35" i="15" s="1"/>
  <c r="Q35" i="15" a="1"/>
  <c r="Q35" i="15" s="1"/>
  <c r="V35" i="15"/>
  <c r="W35" i="15" s="1"/>
  <c r="X35" i="15"/>
  <c r="Y35" i="15"/>
  <c r="Z35" i="15"/>
  <c r="AA35" i="15"/>
  <c r="AB35" i="15"/>
  <c r="AC35" i="15"/>
  <c r="AD35" i="15"/>
  <c r="AF35" i="15"/>
  <c r="AH35" i="15"/>
  <c r="AI35" i="15"/>
  <c r="AJ35" i="15"/>
  <c r="AK35" i="15"/>
  <c r="AL35" i="15" s="1"/>
  <c r="AN35" i="15"/>
  <c r="P36" i="15"/>
  <c r="Q36" i="15" a="1"/>
  <c r="Q36" i="15" s="1"/>
  <c r="R36" i="15"/>
  <c r="V36" i="15"/>
  <c r="W36" i="15" s="1"/>
  <c r="X36" i="15"/>
  <c r="Y36" i="15"/>
  <c r="Z36" i="15"/>
  <c r="AA36" i="15"/>
  <c r="AB36" i="15"/>
  <c r="AC36" i="15"/>
  <c r="AD36" i="15" s="1"/>
  <c r="AF36" i="15"/>
  <c r="AH36" i="15"/>
  <c r="AI36" i="15"/>
  <c r="AJ36" i="15"/>
  <c r="AK36" i="15"/>
  <c r="AL36" i="15" s="1"/>
  <c r="AN36" i="15"/>
  <c r="P37" i="15"/>
  <c r="R37" i="15" s="1"/>
  <c r="Q37" i="15" a="1"/>
  <c r="Q37" i="15" s="1"/>
  <c r="V37" i="15"/>
  <c r="W37" i="15" s="1"/>
  <c r="X37" i="15"/>
  <c r="Y37" i="15"/>
  <c r="Z37" i="15"/>
  <c r="AA37" i="15"/>
  <c r="AB37" i="15"/>
  <c r="AC37" i="15"/>
  <c r="AD37" i="15" s="1"/>
  <c r="AF37" i="15"/>
  <c r="AH37" i="15"/>
  <c r="AI37" i="15"/>
  <c r="AJ37" i="15"/>
  <c r="AK37" i="15"/>
  <c r="AL37" i="15" s="1"/>
  <c r="AN37" i="15"/>
  <c r="P38" i="15"/>
  <c r="R38" i="15" s="1"/>
  <c r="Q38" i="15" a="1"/>
  <c r="Q38" i="15" s="1"/>
  <c r="V38" i="15"/>
  <c r="W38" i="15" s="1"/>
  <c r="X38" i="15"/>
  <c r="Y38" i="15"/>
  <c r="Z38" i="15"/>
  <c r="AA38" i="15"/>
  <c r="AB38" i="15"/>
  <c r="AC38" i="15"/>
  <c r="AD38" i="15" s="1"/>
  <c r="AF38" i="15"/>
  <c r="AH38" i="15"/>
  <c r="AI38" i="15"/>
  <c r="AJ38" i="15"/>
  <c r="AK38" i="15"/>
  <c r="AL38" i="15"/>
  <c r="AN38" i="15"/>
  <c r="P39" i="15"/>
  <c r="R39" i="15" s="1"/>
  <c r="Q39" i="15" a="1"/>
  <c r="Q39" i="15" s="1"/>
  <c r="V39" i="15"/>
  <c r="W39" i="15" s="1"/>
  <c r="X39" i="15"/>
  <c r="Y39" i="15"/>
  <c r="Z39" i="15"/>
  <c r="AA39" i="15"/>
  <c r="AB39" i="15"/>
  <c r="AC39" i="15"/>
  <c r="AD39" i="15" s="1"/>
  <c r="AF39" i="15"/>
  <c r="AH39" i="15"/>
  <c r="AI39" i="15"/>
  <c r="AJ39" i="15"/>
  <c r="AK39" i="15"/>
  <c r="AL39" i="15" s="1"/>
  <c r="AN39" i="15"/>
  <c r="P40" i="15"/>
  <c r="Q40" i="15" a="1"/>
  <c r="Q40" i="15" s="1"/>
  <c r="R40" i="15"/>
  <c r="V40" i="15"/>
  <c r="W40" i="15" s="1"/>
  <c r="X40" i="15"/>
  <c r="Y40" i="15"/>
  <c r="Z40" i="15"/>
  <c r="AA40" i="15"/>
  <c r="AB40" i="15"/>
  <c r="AC40" i="15"/>
  <c r="AD40" i="15" s="1"/>
  <c r="AF40" i="15"/>
  <c r="AH40" i="15"/>
  <c r="AI40" i="15"/>
  <c r="AJ40" i="15"/>
  <c r="AK40" i="15"/>
  <c r="AL40" i="15" s="1"/>
  <c r="AN40" i="15"/>
  <c r="P41" i="15"/>
  <c r="Q41" i="15" a="1"/>
  <c r="Q41" i="15"/>
  <c r="R41" i="15"/>
  <c r="V41" i="15"/>
  <c r="W41" i="15" s="1"/>
  <c r="X41" i="15"/>
  <c r="Y41" i="15"/>
  <c r="Z41" i="15"/>
  <c r="AA41" i="15"/>
  <c r="AB41" i="15"/>
  <c r="AC41" i="15"/>
  <c r="AD41" i="15" s="1"/>
  <c r="AF41" i="15"/>
  <c r="AH41" i="15"/>
  <c r="AI41" i="15"/>
  <c r="AJ41" i="15"/>
  <c r="AK41" i="15"/>
  <c r="AL41" i="15" s="1"/>
  <c r="AN41" i="15"/>
  <c r="P42" i="15"/>
  <c r="R42" i="15" s="1"/>
  <c r="Q42" i="15" a="1"/>
  <c r="Q42" i="15" s="1"/>
  <c r="V42" i="15"/>
  <c r="W42" i="15" s="1"/>
  <c r="X42" i="15"/>
  <c r="Y42" i="15"/>
  <c r="Z42" i="15"/>
  <c r="AA42" i="15"/>
  <c r="AB42" i="15"/>
  <c r="AC42" i="15"/>
  <c r="AD42" i="15" s="1"/>
  <c r="AF42" i="15"/>
  <c r="AH42" i="15"/>
  <c r="AI42" i="15"/>
  <c r="AJ42" i="15"/>
  <c r="AK42" i="15"/>
  <c r="AL42" i="15"/>
  <c r="AN42" i="15"/>
  <c r="P43" i="15"/>
  <c r="R43" i="15" s="1"/>
  <c r="Q43" i="15" a="1"/>
  <c r="Q43" i="15" s="1"/>
  <c r="V43" i="15"/>
  <c r="W43" i="15" s="1"/>
  <c r="X43" i="15"/>
  <c r="Y43" i="15"/>
  <c r="Z43" i="15"/>
  <c r="AA43" i="15"/>
  <c r="AB43" i="15"/>
  <c r="AC43" i="15"/>
  <c r="AD43" i="15" s="1"/>
  <c r="AF43" i="15"/>
  <c r="AH43" i="15"/>
  <c r="AI43" i="15"/>
  <c r="AJ43" i="15"/>
  <c r="AK43" i="15"/>
  <c r="AL43" i="15" s="1"/>
  <c r="AN43" i="15"/>
  <c r="P44" i="15"/>
  <c r="Q44" i="15" a="1"/>
  <c r="Q44" i="15"/>
  <c r="R44" i="15"/>
  <c r="V44" i="15"/>
  <c r="W44" i="15" s="1"/>
  <c r="X44" i="15"/>
  <c r="Y44" i="15"/>
  <c r="Z44" i="15"/>
  <c r="AA44" i="15"/>
  <c r="AB44" i="15"/>
  <c r="AC44" i="15"/>
  <c r="AD44" i="15" s="1"/>
  <c r="AF44" i="15"/>
  <c r="AH44" i="15"/>
  <c r="AI44" i="15"/>
  <c r="AJ44" i="15"/>
  <c r="AK44" i="15"/>
  <c r="AL44" i="15"/>
  <c r="AN44" i="15"/>
  <c r="P45" i="15"/>
  <c r="R45" i="15" s="1"/>
  <c r="Q45" i="15" a="1"/>
  <c r="Q45" i="15" s="1"/>
  <c r="V45" i="15"/>
  <c r="W45" i="15" s="1"/>
  <c r="X45" i="15"/>
  <c r="Y45" i="15"/>
  <c r="Z45" i="15"/>
  <c r="AA45" i="15"/>
  <c r="AB45" i="15"/>
  <c r="AC45" i="15"/>
  <c r="AD45" i="15" s="1"/>
  <c r="AF45" i="15"/>
  <c r="AH45" i="15"/>
  <c r="AI45" i="15"/>
  <c r="AJ45" i="15"/>
  <c r="AK45" i="15"/>
  <c r="AL45" i="15" s="1"/>
  <c r="AN45" i="15"/>
  <c r="P46" i="15"/>
  <c r="R46" i="15" s="1"/>
  <c r="Q46" i="15" a="1"/>
  <c r="Q46" i="15" s="1"/>
  <c r="V46" i="15"/>
  <c r="W46" i="15" s="1"/>
  <c r="X46" i="15"/>
  <c r="Y46" i="15"/>
  <c r="Z46" i="15"/>
  <c r="AA46" i="15"/>
  <c r="AB46" i="15"/>
  <c r="AC46" i="15"/>
  <c r="AD46" i="15"/>
  <c r="AF46" i="15"/>
  <c r="AH46" i="15"/>
  <c r="AI46" i="15"/>
  <c r="AJ46" i="15"/>
  <c r="AK46" i="15"/>
  <c r="AL46" i="15" s="1"/>
  <c r="AN46" i="15"/>
  <c r="P47" i="15"/>
  <c r="Q47" i="15" a="1"/>
  <c r="Q47" i="15" s="1"/>
  <c r="R47" i="15"/>
  <c r="V47" i="15"/>
  <c r="W47" i="15" s="1"/>
  <c r="X47" i="15"/>
  <c r="Y47" i="15"/>
  <c r="Z47" i="15"/>
  <c r="AA47" i="15"/>
  <c r="AB47" i="15"/>
  <c r="AC47" i="15"/>
  <c r="AD47" i="15" s="1"/>
  <c r="AF47" i="15"/>
  <c r="AH47" i="15"/>
  <c r="AI47" i="15"/>
  <c r="AJ47" i="15"/>
  <c r="AK47" i="15"/>
  <c r="AL47" i="15" s="1"/>
  <c r="AN47" i="15"/>
  <c r="P48" i="15"/>
  <c r="R48" i="15" s="1"/>
  <c r="Q48" i="15" a="1"/>
  <c r="Q48" i="15" s="1"/>
  <c r="V48" i="15"/>
  <c r="W48" i="15" s="1"/>
  <c r="X48" i="15"/>
  <c r="Y48" i="15"/>
  <c r="Z48" i="15"/>
  <c r="AA48" i="15"/>
  <c r="AB48" i="15"/>
  <c r="AC48" i="15"/>
  <c r="AD48" i="15" s="1"/>
  <c r="AF48" i="15"/>
  <c r="AH48" i="15"/>
  <c r="AI48" i="15"/>
  <c r="AJ48" i="15"/>
  <c r="AK48" i="15"/>
  <c r="AL48" i="15" s="1"/>
  <c r="AN48" i="15"/>
  <c r="P49" i="15"/>
  <c r="R49" i="15" s="1"/>
  <c r="Q49" i="15" a="1"/>
  <c r="Q49" i="15" s="1"/>
  <c r="V49" i="15"/>
  <c r="W49" i="15" s="1"/>
  <c r="X49" i="15"/>
  <c r="Y49" i="15"/>
  <c r="Z49" i="15"/>
  <c r="AA49" i="15"/>
  <c r="AB49" i="15"/>
  <c r="AC49" i="15"/>
  <c r="AD49" i="15"/>
  <c r="AF49" i="15"/>
  <c r="AH49" i="15"/>
  <c r="AI49" i="15"/>
  <c r="AJ49" i="15"/>
  <c r="AK49" i="15"/>
  <c r="AL49" i="15" s="1"/>
  <c r="AN49" i="15"/>
  <c r="P50" i="15"/>
  <c r="R50" i="15" s="1"/>
  <c r="Q50" i="15" a="1"/>
  <c r="Q50" i="15"/>
  <c r="V50" i="15"/>
  <c r="W50" i="15" s="1"/>
  <c r="X50" i="15"/>
  <c r="Y50" i="15"/>
  <c r="Z50" i="15"/>
  <c r="AA50" i="15"/>
  <c r="AB50" i="15"/>
  <c r="AC50" i="15"/>
  <c r="AD50" i="15" s="1"/>
  <c r="AF50" i="15"/>
  <c r="AH50" i="15"/>
  <c r="AI50" i="15"/>
  <c r="AJ50" i="15"/>
  <c r="AK50" i="15"/>
  <c r="AL50" i="15" s="1"/>
  <c r="AN50" i="15"/>
  <c r="P51" i="15"/>
  <c r="R51" i="15" s="1"/>
  <c r="Q51" i="15" a="1"/>
  <c r="Q51" i="15" s="1"/>
  <c r="V51" i="15"/>
  <c r="W51" i="15" s="1"/>
  <c r="X51" i="15"/>
  <c r="Y51" i="15"/>
  <c r="Z51" i="15"/>
  <c r="AA51" i="15"/>
  <c r="AB51" i="15"/>
  <c r="AC51" i="15"/>
  <c r="AD51" i="15" s="1"/>
  <c r="AF51" i="15"/>
  <c r="AH51" i="15"/>
  <c r="AI51" i="15"/>
  <c r="AJ51" i="15"/>
  <c r="AK51" i="15"/>
  <c r="AL51" i="15" s="1"/>
  <c r="AN51" i="15"/>
  <c r="P52" i="15"/>
  <c r="Q52" i="15" a="1"/>
  <c r="Q52" i="15" s="1"/>
  <c r="R52" i="15"/>
  <c r="V52" i="15"/>
  <c r="W52" i="15" s="1"/>
  <c r="X52" i="15"/>
  <c r="Y52" i="15"/>
  <c r="Z52" i="15"/>
  <c r="AA52" i="15"/>
  <c r="AB52" i="15"/>
  <c r="AC52" i="15"/>
  <c r="AD52" i="15"/>
  <c r="AF52" i="15"/>
  <c r="AH52" i="15"/>
  <c r="AI52" i="15"/>
  <c r="AJ52" i="15"/>
  <c r="AK52" i="15"/>
  <c r="AL52" i="15" s="1"/>
  <c r="AN52" i="15"/>
  <c r="P53" i="15"/>
  <c r="Q53" i="15" a="1"/>
  <c r="Q53" i="15"/>
  <c r="R53" i="15"/>
  <c r="V53" i="15"/>
  <c r="W53" i="15" s="1"/>
  <c r="X53" i="15"/>
  <c r="Y53" i="15"/>
  <c r="Z53" i="15"/>
  <c r="AA53" i="15"/>
  <c r="AB53" i="15"/>
  <c r="AC53" i="15"/>
  <c r="AD53" i="15" s="1"/>
  <c r="AF53" i="15"/>
  <c r="AH53" i="15"/>
  <c r="AI53" i="15"/>
  <c r="AJ53" i="15"/>
  <c r="AK53" i="15"/>
  <c r="AL53" i="15" s="1"/>
  <c r="AN53" i="15"/>
  <c r="P54" i="15"/>
  <c r="Q54" i="15" a="1"/>
  <c r="Q54" i="15" s="1"/>
  <c r="R54" i="15"/>
  <c r="V54" i="15"/>
  <c r="W54" i="15" s="1"/>
  <c r="X54" i="15"/>
  <c r="Y54" i="15"/>
  <c r="Z54" i="15"/>
  <c r="AA54" i="15"/>
  <c r="AB54" i="15"/>
  <c r="AC54" i="15"/>
  <c r="AD54" i="15" s="1"/>
  <c r="AF54" i="15"/>
  <c r="AH54" i="15"/>
  <c r="AI54" i="15"/>
  <c r="AJ54" i="15"/>
  <c r="AK54" i="15"/>
  <c r="AL54" i="15" s="1"/>
  <c r="AN54" i="15"/>
  <c r="P55" i="15"/>
  <c r="R55" i="15" s="1"/>
  <c r="Q55" i="15" a="1"/>
  <c r="Q55" i="15" s="1"/>
  <c r="V55" i="15"/>
  <c r="W55" i="15" s="1"/>
  <c r="X55" i="15"/>
  <c r="Y55" i="15"/>
  <c r="Z55" i="15"/>
  <c r="AA55" i="15"/>
  <c r="AB55" i="15"/>
  <c r="AC55" i="15"/>
  <c r="AD55" i="15"/>
  <c r="AF55" i="15"/>
  <c r="AH55" i="15"/>
  <c r="AI55" i="15"/>
  <c r="AJ55" i="15"/>
  <c r="AK55" i="15"/>
  <c r="AL55" i="15" s="1"/>
  <c r="AN55" i="15"/>
  <c r="P56" i="15"/>
  <c r="R56" i="15" s="1"/>
  <c r="Q56" i="15" a="1"/>
  <c r="Q56" i="15" s="1"/>
  <c r="V56" i="15"/>
  <c r="W56" i="15" s="1"/>
  <c r="X56" i="15"/>
  <c r="Y56" i="15"/>
  <c r="Z56" i="15"/>
  <c r="AA56" i="15"/>
  <c r="AB56" i="15"/>
  <c r="AC56" i="15"/>
  <c r="AD56" i="15" s="1"/>
  <c r="AF56" i="15"/>
  <c r="AH56" i="15"/>
  <c r="AI56" i="15"/>
  <c r="AJ56" i="15"/>
  <c r="AK56" i="15"/>
  <c r="AL56" i="15" s="1"/>
  <c r="AN56" i="15"/>
  <c r="P57" i="15"/>
  <c r="R57" i="15" s="1"/>
  <c r="Q57" i="15" a="1"/>
  <c r="Q57" i="15" s="1"/>
  <c r="V57" i="15"/>
  <c r="W57" i="15" s="1"/>
  <c r="X57" i="15"/>
  <c r="Y57" i="15"/>
  <c r="Z57" i="15"/>
  <c r="AA57" i="15"/>
  <c r="AB57" i="15"/>
  <c r="AC57" i="15"/>
  <c r="AD57" i="15" s="1"/>
  <c r="AF57" i="15"/>
  <c r="AH57" i="15"/>
  <c r="AI57" i="15"/>
  <c r="AJ57" i="15"/>
  <c r="AK57" i="15"/>
  <c r="AL57" i="15" s="1"/>
  <c r="AN57" i="15"/>
  <c r="P58" i="15"/>
  <c r="R58" i="15" s="1"/>
  <c r="Q58" i="15" a="1"/>
  <c r="Q58" i="15" s="1"/>
  <c r="V58" i="15"/>
  <c r="W58" i="15"/>
  <c r="X58" i="15"/>
  <c r="Y58" i="15"/>
  <c r="Z58" i="15"/>
  <c r="AA58" i="15"/>
  <c r="AB58" i="15"/>
  <c r="AC58" i="15"/>
  <c r="AD58" i="15" s="1"/>
  <c r="AF58" i="15"/>
  <c r="AH58" i="15"/>
  <c r="AI58" i="15"/>
  <c r="AJ58" i="15"/>
  <c r="AK58" i="15"/>
  <c r="AL58" i="15" s="1"/>
  <c r="AN58" i="15"/>
  <c r="P59" i="15"/>
  <c r="R59" i="15" s="1"/>
  <c r="Q59" i="15" a="1"/>
  <c r="Q59" i="15"/>
  <c r="V59" i="15"/>
  <c r="W59" i="15" s="1"/>
  <c r="X59" i="15"/>
  <c r="Y59" i="15"/>
  <c r="Z59" i="15"/>
  <c r="AA59" i="15"/>
  <c r="AB59" i="15"/>
  <c r="AC59" i="15"/>
  <c r="AD59" i="15" s="1"/>
  <c r="AF59" i="15"/>
  <c r="AH59" i="15"/>
  <c r="AI59" i="15"/>
  <c r="AJ59" i="15"/>
  <c r="AK59" i="15"/>
  <c r="AL59" i="15" s="1"/>
  <c r="AN59" i="15"/>
  <c r="P60" i="15"/>
  <c r="Q60" i="15" a="1"/>
  <c r="Q60" i="15" s="1"/>
  <c r="R60" i="15"/>
  <c r="V60" i="15"/>
  <c r="W60" i="15" s="1"/>
  <c r="X60" i="15"/>
  <c r="Y60" i="15"/>
  <c r="Z60" i="15"/>
  <c r="AA60" i="15"/>
  <c r="AB60" i="15"/>
  <c r="AC60" i="15"/>
  <c r="AD60" i="15" s="1"/>
  <c r="AF60" i="15"/>
  <c r="AH60" i="15"/>
  <c r="AI60" i="15"/>
  <c r="AJ60" i="15"/>
  <c r="AK60" i="15"/>
  <c r="AL60" i="15" s="1"/>
  <c r="AN60" i="15"/>
  <c r="P61" i="15"/>
  <c r="R61" i="15" s="1"/>
  <c r="Q61" i="15" a="1"/>
  <c r="Q61" i="15" s="1"/>
  <c r="V61" i="15"/>
  <c r="W61" i="15" s="1"/>
  <c r="X61" i="15"/>
  <c r="Y61" i="15"/>
  <c r="Z61" i="15"/>
  <c r="AA61" i="15"/>
  <c r="AB61" i="15"/>
  <c r="AC61" i="15"/>
  <c r="AD61" i="15"/>
  <c r="AF61" i="15"/>
  <c r="AH61" i="15"/>
  <c r="AI61" i="15"/>
  <c r="AJ61" i="15"/>
  <c r="AK61" i="15"/>
  <c r="AL61" i="15" s="1"/>
  <c r="AN61" i="15"/>
  <c r="P62" i="15"/>
  <c r="R62" i="15" s="1"/>
  <c r="Q62" i="15" a="1"/>
  <c r="Q62" i="15"/>
  <c r="V62" i="15"/>
  <c r="W62" i="15" s="1"/>
  <c r="X62" i="15"/>
  <c r="Y62" i="15"/>
  <c r="Z62" i="15"/>
  <c r="AA62" i="15"/>
  <c r="AB62" i="15"/>
  <c r="AC62" i="15"/>
  <c r="AD62" i="15" s="1"/>
  <c r="AF62" i="15"/>
  <c r="AH62" i="15"/>
  <c r="AI62" i="15"/>
  <c r="AJ62" i="15"/>
  <c r="AK62" i="15"/>
  <c r="AL62" i="15" s="1"/>
  <c r="AN62" i="15"/>
  <c r="P63" i="15"/>
  <c r="R63" i="15" s="1"/>
  <c r="Q63" i="15" a="1"/>
  <c r="Q63" i="15" s="1"/>
  <c r="V63" i="15"/>
  <c r="W63" i="15" s="1"/>
  <c r="X63" i="15"/>
  <c r="Y63" i="15"/>
  <c r="Z63" i="15"/>
  <c r="AA63" i="15"/>
  <c r="AB63" i="15"/>
  <c r="AC63" i="15"/>
  <c r="AD63" i="15" s="1"/>
  <c r="AF63" i="15"/>
  <c r="AH63" i="15"/>
  <c r="AI63" i="15"/>
  <c r="AJ63" i="15"/>
  <c r="AK63" i="15"/>
  <c r="AL63" i="15" s="1"/>
  <c r="AN63" i="15"/>
  <c r="P64" i="15"/>
  <c r="R64" i="15" s="1"/>
  <c r="Q64" i="15" a="1"/>
  <c r="Q64" i="15" s="1"/>
  <c r="V64" i="15"/>
  <c r="W64" i="15" s="1"/>
  <c r="X64" i="15"/>
  <c r="Y64" i="15"/>
  <c r="Z64" i="15"/>
  <c r="AA64" i="15"/>
  <c r="AB64" i="15"/>
  <c r="AC64" i="15"/>
  <c r="AD64" i="15" s="1"/>
  <c r="AF64" i="15"/>
  <c r="AH64" i="15"/>
  <c r="AI64" i="15"/>
  <c r="AJ64" i="15"/>
  <c r="AK64" i="15"/>
  <c r="AL64" i="15" s="1"/>
  <c r="AN64" i="15"/>
  <c r="P65" i="15"/>
  <c r="R65" i="15" s="1"/>
  <c r="Q65" i="15" a="1"/>
  <c r="Q65" i="15" s="1"/>
  <c r="V65" i="15"/>
  <c r="W65" i="15" s="1"/>
  <c r="X65" i="15"/>
  <c r="Y65" i="15"/>
  <c r="Z65" i="15"/>
  <c r="AA65" i="15"/>
  <c r="AB65" i="15"/>
  <c r="AC65" i="15"/>
  <c r="AD65" i="15"/>
  <c r="AF65" i="15"/>
  <c r="AH65" i="15"/>
  <c r="AI65" i="15"/>
  <c r="AJ65" i="15"/>
  <c r="AK65" i="15"/>
  <c r="AL65" i="15" s="1"/>
  <c r="AN65" i="15"/>
  <c r="P66" i="15"/>
  <c r="Q66" i="15" a="1"/>
  <c r="Q66" i="15" s="1"/>
  <c r="R66" i="15"/>
  <c r="V66" i="15"/>
  <c r="W66" i="15" s="1"/>
  <c r="X66" i="15"/>
  <c r="Y66" i="15"/>
  <c r="Z66" i="15"/>
  <c r="AA66" i="15"/>
  <c r="AB66" i="15"/>
  <c r="AC66" i="15"/>
  <c r="AD66" i="15" s="1"/>
  <c r="AF66" i="15"/>
  <c r="AH66" i="15"/>
  <c r="AI66" i="15"/>
  <c r="AJ66" i="15"/>
  <c r="AK66" i="15"/>
  <c r="AL66" i="15" s="1"/>
  <c r="AN66" i="15"/>
  <c r="P67" i="15"/>
  <c r="R67" i="15" s="1"/>
  <c r="Q67" i="15" a="1"/>
  <c r="Q67" i="15" s="1"/>
  <c r="V67" i="15"/>
  <c r="W67" i="15" s="1"/>
  <c r="X67" i="15"/>
  <c r="Y67" i="15"/>
  <c r="Z67" i="15"/>
  <c r="AA67" i="15"/>
  <c r="AB67" i="15"/>
  <c r="AC67" i="15"/>
  <c r="AD67" i="15" s="1"/>
  <c r="AF67" i="15"/>
  <c r="AH67" i="15"/>
  <c r="AI67" i="15"/>
  <c r="AJ67" i="15"/>
  <c r="AK67" i="15"/>
  <c r="AL67" i="15" s="1"/>
  <c r="AN67" i="15"/>
  <c r="P68" i="15"/>
  <c r="R68" i="15" s="1"/>
  <c r="Q68" i="15" a="1"/>
  <c r="Q68" i="15" s="1"/>
  <c r="V68" i="15"/>
  <c r="W68" i="15" s="1"/>
  <c r="X68" i="15"/>
  <c r="Y68" i="15"/>
  <c r="Z68" i="15"/>
  <c r="AA68" i="15"/>
  <c r="AB68" i="15"/>
  <c r="AC68" i="15"/>
  <c r="AD68" i="15" s="1"/>
  <c r="AF68" i="15"/>
  <c r="AH68" i="15"/>
  <c r="AI68" i="15"/>
  <c r="AJ68" i="15"/>
  <c r="AK68" i="15"/>
  <c r="AL68" i="15"/>
  <c r="AN68" i="15"/>
  <c r="P69" i="15"/>
  <c r="R69" i="15" s="1"/>
  <c r="Q69" i="15" a="1"/>
  <c r="Q69" i="15" s="1"/>
  <c r="V69" i="15"/>
  <c r="W69" i="15" s="1"/>
  <c r="X69" i="15"/>
  <c r="Y69" i="15"/>
  <c r="Z69" i="15"/>
  <c r="AA69" i="15"/>
  <c r="AB69" i="15"/>
  <c r="AC69" i="15"/>
  <c r="AD69" i="15" s="1"/>
  <c r="AF69" i="15"/>
  <c r="AH69" i="15"/>
  <c r="AI69" i="15"/>
  <c r="AJ69" i="15"/>
  <c r="AK69" i="15"/>
  <c r="AL69" i="15"/>
  <c r="AN69" i="15"/>
  <c r="P70" i="15"/>
  <c r="R70" i="15" s="1"/>
  <c r="Q70" i="15" a="1"/>
  <c r="Q70" i="15" s="1"/>
  <c r="V70" i="15"/>
  <c r="W70" i="15" s="1"/>
  <c r="X70" i="15"/>
  <c r="Y70" i="15"/>
  <c r="Z70" i="15"/>
  <c r="AA70" i="15"/>
  <c r="AB70" i="15"/>
  <c r="AC70" i="15"/>
  <c r="AD70" i="15" s="1"/>
  <c r="AF70" i="15"/>
  <c r="AH70" i="15"/>
  <c r="AI70" i="15"/>
  <c r="AJ70" i="15"/>
  <c r="AK70" i="15"/>
  <c r="AL70" i="15" s="1"/>
  <c r="AN70" i="15"/>
  <c r="P71" i="15"/>
  <c r="R71" i="15" s="1"/>
  <c r="Q71" i="15" a="1"/>
  <c r="Q71" i="15" s="1"/>
  <c r="V71" i="15"/>
  <c r="W71" i="15" s="1"/>
  <c r="X71" i="15"/>
  <c r="Y71" i="15"/>
  <c r="Z71" i="15"/>
  <c r="AA71" i="15"/>
  <c r="AB71" i="15"/>
  <c r="AC71" i="15"/>
  <c r="AD71" i="15"/>
  <c r="AF71" i="15"/>
  <c r="AH71" i="15"/>
  <c r="AI71" i="15"/>
  <c r="AJ71" i="15"/>
  <c r="AK71" i="15"/>
  <c r="AL71" i="15" s="1"/>
  <c r="AN71" i="15"/>
  <c r="P72" i="15"/>
  <c r="R72" i="15" s="1"/>
  <c r="Q72" i="15" a="1"/>
  <c r="Q72" i="15" s="1"/>
  <c r="V72" i="15"/>
  <c r="W72" i="15" s="1"/>
  <c r="X72" i="15"/>
  <c r="Y72" i="15"/>
  <c r="Z72" i="15"/>
  <c r="AA72" i="15"/>
  <c r="AB72" i="15"/>
  <c r="AC72" i="15"/>
  <c r="AD72" i="15" s="1"/>
  <c r="AF72" i="15"/>
  <c r="AH72" i="15"/>
  <c r="AI72" i="15"/>
  <c r="AJ72" i="15"/>
  <c r="AK72" i="15"/>
  <c r="AL72" i="15"/>
  <c r="AN72" i="15"/>
  <c r="P73" i="15"/>
  <c r="R73" i="15" s="1"/>
  <c r="Q73" i="15" a="1"/>
  <c r="Q73" i="15" s="1"/>
  <c r="V73" i="15"/>
  <c r="W73" i="15" s="1"/>
  <c r="X73" i="15"/>
  <c r="Y73" i="15"/>
  <c r="Z73" i="15"/>
  <c r="AA73" i="15"/>
  <c r="AB73" i="15"/>
  <c r="AC73" i="15"/>
  <c r="AD73" i="15" s="1"/>
  <c r="AF73" i="15"/>
  <c r="AH73" i="15"/>
  <c r="AI73" i="15"/>
  <c r="AJ73" i="15"/>
  <c r="AK73" i="15"/>
  <c r="AL73" i="15" s="1"/>
  <c r="AN73" i="15"/>
  <c r="P74" i="15"/>
  <c r="R74" i="15" s="1"/>
  <c r="Q74" i="15" a="1"/>
  <c r="Q74" i="15"/>
  <c r="V74" i="15"/>
  <c r="W74" i="15" s="1"/>
  <c r="X74" i="15"/>
  <c r="Y74" i="15"/>
  <c r="Z74" i="15"/>
  <c r="AA74" i="15"/>
  <c r="AB74" i="15"/>
  <c r="AC74" i="15"/>
  <c r="AD74" i="15" s="1"/>
  <c r="AF74" i="15"/>
  <c r="AH74" i="15"/>
  <c r="AI74" i="15"/>
  <c r="AJ74" i="15"/>
  <c r="AK74" i="15"/>
  <c r="AL74" i="15" s="1"/>
  <c r="AN74" i="15"/>
  <c r="P75" i="15"/>
  <c r="R75" i="15" s="1"/>
  <c r="Q75" i="15" a="1"/>
  <c r="Q75" i="15" s="1"/>
  <c r="V75" i="15"/>
  <c r="W75" i="15" s="1"/>
  <c r="X75" i="15"/>
  <c r="Y75" i="15"/>
  <c r="Z75" i="15"/>
  <c r="AA75" i="15"/>
  <c r="AB75" i="15"/>
  <c r="AC75" i="15"/>
  <c r="AD75" i="15" s="1"/>
  <c r="AF75" i="15"/>
  <c r="AH75" i="15"/>
  <c r="AI75" i="15"/>
  <c r="AJ75" i="15"/>
  <c r="AK75" i="15"/>
  <c r="AL75" i="15"/>
  <c r="AN75" i="15"/>
  <c r="P76" i="15"/>
  <c r="R76" i="15" s="1"/>
  <c r="Q76" i="15" a="1"/>
  <c r="Q76" i="15" s="1"/>
  <c r="V76" i="15"/>
  <c r="W76" i="15" s="1"/>
  <c r="X76" i="15"/>
  <c r="Y76" i="15"/>
  <c r="Z76" i="15"/>
  <c r="AA76" i="15"/>
  <c r="AB76" i="15"/>
  <c r="AC76" i="15"/>
  <c r="AD76" i="15" s="1"/>
  <c r="AF76" i="15"/>
  <c r="AH76" i="15"/>
  <c r="AI76" i="15"/>
  <c r="AJ76" i="15"/>
  <c r="AK76" i="15"/>
  <c r="AL76" i="15" s="1"/>
  <c r="AN76" i="15"/>
  <c r="P77" i="15"/>
  <c r="Q77" i="15" a="1"/>
  <c r="Q77" i="15" s="1"/>
  <c r="R77" i="15"/>
  <c r="V77" i="15"/>
  <c r="W77" i="15" s="1"/>
  <c r="X77" i="15"/>
  <c r="Y77" i="15"/>
  <c r="Z77" i="15"/>
  <c r="AA77" i="15"/>
  <c r="AB77" i="15"/>
  <c r="AC77" i="15"/>
  <c r="AD77" i="15" s="1"/>
  <c r="AF77" i="15"/>
  <c r="AH77" i="15"/>
  <c r="AI77" i="15"/>
  <c r="AJ77" i="15"/>
  <c r="AK77" i="15"/>
  <c r="AL77" i="15" s="1"/>
  <c r="AN77" i="15"/>
  <c r="P78" i="15"/>
  <c r="R78" i="15" s="1"/>
  <c r="Q78" i="15" a="1"/>
  <c r="Q78" i="15" s="1"/>
  <c r="V78" i="15"/>
  <c r="W78" i="15" s="1"/>
  <c r="X78" i="15"/>
  <c r="Y78" i="15"/>
  <c r="Z78" i="15"/>
  <c r="AA78" i="15"/>
  <c r="AB78" i="15"/>
  <c r="AC78" i="15"/>
  <c r="AD78" i="15" s="1"/>
  <c r="AF78" i="15"/>
  <c r="AH78" i="15"/>
  <c r="AI78" i="15"/>
  <c r="AJ78" i="15"/>
  <c r="AK78" i="15"/>
  <c r="AL78" i="15" s="1"/>
  <c r="AN78" i="15"/>
  <c r="P79" i="15"/>
  <c r="R79" i="15" s="1"/>
  <c r="Q79" i="15" a="1"/>
  <c r="Q79" i="15" s="1"/>
  <c r="V79" i="15"/>
  <c r="W79" i="15" s="1"/>
  <c r="X79" i="15"/>
  <c r="Y79" i="15"/>
  <c r="Z79" i="15"/>
  <c r="AA79" i="15"/>
  <c r="AB79" i="15"/>
  <c r="AC79" i="15"/>
  <c r="AD79" i="15" s="1"/>
  <c r="AF79" i="15"/>
  <c r="AH79" i="15"/>
  <c r="AI79" i="15"/>
  <c r="AJ79" i="15"/>
  <c r="AK79" i="15"/>
  <c r="AL79" i="15" s="1"/>
  <c r="AN79" i="15"/>
  <c r="P80" i="15"/>
  <c r="Q80" i="15" a="1"/>
  <c r="Q80" i="15" s="1"/>
  <c r="R80" i="15"/>
  <c r="V80" i="15"/>
  <c r="W80" i="15" s="1"/>
  <c r="X80" i="15"/>
  <c r="Y80" i="15"/>
  <c r="Z80" i="15"/>
  <c r="AA80" i="15"/>
  <c r="AB80" i="15"/>
  <c r="AC80" i="15"/>
  <c r="AD80" i="15"/>
  <c r="AF80" i="15"/>
  <c r="AH80" i="15"/>
  <c r="AI80" i="15"/>
  <c r="AJ80" i="15"/>
  <c r="AK80" i="15"/>
  <c r="AL80" i="15"/>
  <c r="AN80" i="15"/>
  <c r="P81" i="15"/>
  <c r="R81" i="15" s="1"/>
  <c r="Q81" i="15" a="1"/>
  <c r="Q81" i="15"/>
  <c r="V81" i="15"/>
  <c r="W81" i="15" s="1"/>
  <c r="X81" i="15"/>
  <c r="Y81" i="15"/>
  <c r="Z81" i="15"/>
  <c r="AA81" i="15"/>
  <c r="AB81" i="15"/>
  <c r="AC81" i="15"/>
  <c r="AD81" i="15" s="1"/>
  <c r="AF81" i="15"/>
  <c r="AH81" i="15"/>
  <c r="AI81" i="15"/>
  <c r="AJ81" i="15"/>
  <c r="AK81" i="15"/>
  <c r="AL81" i="15"/>
  <c r="AN81" i="15"/>
  <c r="P82" i="15"/>
  <c r="R82" i="15" s="1"/>
  <c r="Q82" i="15" a="1"/>
  <c r="Q82" i="15" s="1"/>
  <c r="V82" i="15"/>
  <c r="W82" i="15" s="1"/>
  <c r="X82" i="15"/>
  <c r="Y82" i="15"/>
  <c r="Z82" i="15"/>
  <c r="AA82" i="15"/>
  <c r="AB82" i="15"/>
  <c r="AC82" i="15"/>
  <c r="AD82" i="15" s="1"/>
  <c r="AF82" i="15"/>
  <c r="AH82" i="15"/>
  <c r="AI82" i="15"/>
  <c r="AJ82" i="15"/>
  <c r="AK82" i="15"/>
  <c r="AL82" i="15" s="1"/>
  <c r="AN82" i="15"/>
  <c r="P83" i="15"/>
  <c r="R83" i="15" s="1"/>
  <c r="Q83" i="15" a="1"/>
  <c r="Q83" i="15" s="1"/>
  <c r="V83" i="15"/>
  <c r="W83" i="15" s="1"/>
  <c r="X83" i="15"/>
  <c r="Y83" i="15"/>
  <c r="Z83" i="15"/>
  <c r="AA83" i="15"/>
  <c r="AB83" i="15"/>
  <c r="AC83" i="15"/>
  <c r="AD83" i="15" s="1"/>
  <c r="AF83" i="15"/>
  <c r="AH83" i="15"/>
  <c r="AI83" i="15"/>
  <c r="AJ83" i="15"/>
  <c r="AK83" i="15"/>
  <c r="AL83" i="15" s="1"/>
  <c r="AN83" i="15"/>
  <c r="P84" i="15"/>
  <c r="R84" i="15" s="1"/>
  <c r="Q84" i="15" a="1"/>
  <c r="Q84" i="15" s="1"/>
  <c r="V84" i="15"/>
  <c r="W84" i="15" s="1"/>
  <c r="X84" i="15"/>
  <c r="Y84" i="15"/>
  <c r="Z84" i="15"/>
  <c r="AA84" i="15"/>
  <c r="AB84" i="15"/>
  <c r="AC84" i="15"/>
  <c r="AD84" i="15" s="1"/>
  <c r="AF84" i="15"/>
  <c r="AH84" i="15"/>
  <c r="AI84" i="15"/>
  <c r="AJ84" i="15"/>
  <c r="AK84" i="15"/>
  <c r="AL84" i="15" s="1"/>
  <c r="AN84" i="15"/>
  <c r="P85" i="15"/>
  <c r="Q85" i="15" a="1"/>
  <c r="Q85" i="15"/>
  <c r="R85" i="15"/>
  <c r="V85" i="15"/>
  <c r="W85" i="15" s="1"/>
  <c r="X85" i="15"/>
  <c r="Y85" i="15"/>
  <c r="Z85" i="15"/>
  <c r="AA85" i="15"/>
  <c r="AB85" i="15"/>
  <c r="AC85" i="15"/>
  <c r="AD85" i="15" s="1"/>
  <c r="AF85" i="15"/>
  <c r="AH85" i="15"/>
  <c r="AI85" i="15"/>
  <c r="AJ85" i="15"/>
  <c r="AK85" i="15"/>
  <c r="AL85" i="15" s="1"/>
  <c r="AN85" i="15"/>
  <c r="P86" i="15"/>
  <c r="R86" i="15" s="1"/>
  <c r="Q86" i="15" a="1"/>
  <c r="Q86" i="15"/>
  <c r="V86" i="15"/>
  <c r="W86" i="15" s="1"/>
  <c r="X86" i="15"/>
  <c r="Y86" i="15"/>
  <c r="Z86" i="15"/>
  <c r="AA86" i="15"/>
  <c r="AB86" i="15"/>
  <c r="AC86" i="15"/>
  <c r="AD86" i="15" s="1"/>
  <c r="AF86" i="15"/>
  <c r="AH86" i="15"/>
  <c r="AI86" i="15"/>
  <c r="AJ86" i="15"/>
  <c r="AK86" i="15"/>
  <c r="AL86" i="15"/>
  <c r="AN86" i="15"/>
  <c r="P87" i="15"/>
  <c r="R87" i="15" s="1"/>
  <c r="Q87" i="15" a="1"/>
  <c r="Q87" i="15" s="1"/>
  <c r="V87" i="15"/>
  <c r="W87" i="15" s="1"/>
  <c r="X87" i="15"/>
  <c r="Y87" i="15"/>
  <c r="Z87" i="15"/>
  <c r="AA87" i="15"/>
  <c r="AB87" i="15"/>
  <c r="AC87" i="15"/>
  <c r="AD87" i="15" s="1"/>
  <c r="AF87" i="15"/>
  <c r="AH87" i="15"/>
  <c r="AI87" i="15"/>
  <c r="AJ87" i="15"/>
  <c r="AK87" i="15"/>
  <c r="AL87" i="15" s="1"/>
  <c r="AN87" i="15"/>
  <c r="P88" i="15"/>
  <c r="R88" i="15" s="1"/>
  <c r="Q88" i="15" a="1"/>
  <c r="Q88" i="15" s="1"/>
  <c r="V88" i="15"/>
  <c r="W88" i="15" s="1"/>
  <c r="X88" i="15"/>
  <c r="Y88" i="15"/>
  <c r="Z88" i="15"/>
  <c r="AA88" i="15"/>
  <c r="AB88" i="15"/>
  <c r="AC88" i="15"/>
  <c r="AD88" i="15" s="1"/>
  <c r="AF88" i="15"/>
  <c r="AH88" i="15"/>
  <c r="AI88" i="15"/>
  <c r="AJ88" i="15"/>
  <c r="AK88" i="15"/>
  <c r="AL88" i="15" s="1"/>
  <c r="AN88" i="15"/>
  <c r="P89" i="15"/>
  <c r="R89" i="15" s="1"/>
  <c r="Q89" i="15" a="1"/>
  <c r="Q89" i="15" s="1"/>
  <c r="V89" i="15"/>
  <c r="W89" i="15" s="1"/>
  <c r="X89" i="15"/>
  <c r="Y89" i="15"/>
  <c r="Z89" i="15"/>
  <c r="AA89" i="15"/>
  <c r="AB89" i="15"/>
  <c r="AC89" i="15"/>
  <c r="AD89" i="15" s="1"/>
  <c r="AF89" i="15"/>
  <c r="AH89" i="15"/>
  <c r="AI89" i="15"/>
  <c r="AJ89" i="15"/>
  <c r="AK89" i="15"/>
  <c r="AL89" i="15"/>
  <c r="AN89" i="15"/>
  <c r="P90" i="15"/>
  <c r="R90" i="15" s="1"/>
  <c r="Q90" i="15" a="1"/>
  <c r="Q90" i="15" s="1"/>
  <c r="V90" i="15"/>
  <c r="W90" i="15" s="1"/>
  <c r="X90" i="15"/>
  <c r="Y90" i="15"/>
  <c r="Z90" i="15"/>
  <c r="AA90" i="15"/>
  <c r="AB90" i="15"/>
  <c r="AC90" i="15"/>
  <c r="AD90" i="15" s="1"/>
  <c r="AF90" i="15"/>
  <c r="AH90" i="15"/>
  <c r="AI90" i="15"/>
  <c r="AJ90" i="15"/>
  <c r="AK90" i="15"/>
  <c r="AL90" i="15" s="1"/>
  <c r="AN90" i="15"/>
  <c r="P91" i="15"/>
  <c r="Q91" i="15" a="1"/>
  <c r="Q91" i="15" s="1"/>
  <c r="R91" i="15"/>
  <c r="V91" i="15"/>
  <c r="W91" i="15" s="1"/>
  <c r="X91" i="15"/>
  <c r="Y91" i="15"/>
  <c r="Z91" i="15"/>
  <c r="AA91" i="15"/>
  <c r="AB91" i="15"/>
  <c r="AC91" i="15"/>
  <c r="AD91" i="15" s="1"/>
  <c r="AF91" i="15"/>
  <c r="AH91" i="15"/>
  <c r="AI91" i="15"/>
  <c r="AJ91" i="15"/>
  <c r="AK91" i="15"/>
  <c r="AL91" i="15" s="1"/>
  <c r="AN91" i="15"/>
  <c r="P92" i="15"/>
  <c r="R92" i="15" s="1"/>
  <c r="Q92" i="15" a="1"/>
  <c r="Q92" i="15" s="1"/>
  <c r="V92" i="15"/>
  <c r="W92" i="15" s="1"/>
  <c r="X92" i="15"/>
  <c r="Y92" i="15"/>
  <c r="Z92" i="15"/>
  <c r="AA92" i="15"/>
  <c r="AB92" i="15"/>
  <c r="AC92" i="15"/>
  <c r="AD92" i="15" s="1"/>
  <c r="AF92" i="15"/>
  <c r="AH92" i="15"/>
  <c r="AI92" i="15"/>
  <c r="AJ92" i="15"/>
  <c r="AK92" i="15"/>
  <c r="AL92" i="15" s="1"/>
  <c r="AN92" i="15"/>
  <c r="P93" i="15"/>
  <c r="Q93" i="15" a="1"/>
  <c r="Q93" i="15" s="1"/>
  <c r="R93" i="15"/>
  <c r="V93" i="15"/>
  <c r="W93" i="15" s="1"/>
  <c r="X93" i="15"/>
  <c r="Y93" i="15"/>
  <c r="Z93" i="15"/>
  <c r="AA93" i="15"/>
  <c r="AB93" i="15"/>
  <c r="AC93" i="15"/>
  <c r="AD93" i="15" s="1"/>
  <c r="AF93" i="15"/>
  <c r="AH93" i="15"/>
  <c r="AI93" i="15"/>
  <c r="AJ93" i="15"/>
  <c r="AK93" i="15"/>
  <c r="AL93" i="15" s="1"/>
  <c r="AN93" i="15"/>
  <c r="P94" i="15"/>
  <c r="R94" i="15" s="1"/>
  <c r="Q94" i="15" a="1"/>
  <c r="Q94" i="15"/>
  <c r="V94" i="15"/>
  <c r="W94" i="15" s="1"/>
  <c r="X94" i="15"/>
  <c r="Y94" i="15"/>
  <c r="Z94" i="15"/>
  <c r="AA94" i="15"/>
  <c r="AB94" i="15"/>
  <c r="AC94" i="15"/>
  <c r="AD94" i="15" s="1"/>
  <c r="AF94" i="15"/>
  <c r="AH94" i="15"/>
  <c r="AI94" i="15"/>
  <c r="AJ94" i="15"/>
  <c r="AK94" i="15"/>
  <c r="AL94" i="15" s="1"/>
  <c r="AN94" i="15"/>
  <c r="P95" i="15"/>
  <c r="R95" i="15" s="1"/>
  <c r="Q95" i="15" a="1"/>
  <c r="Q95" i="15" s="1"/>
  <c r="V95" i="15"/>
  <c r="W95" i="15" s="1"/>
  <c r="X95" i="15"/>
  <c r="Y95" i="15"/>
  <c r="Z95" i="15"/>
  <c r="AA95" i="15"/>
  <c r="AB95" i="15"/>
  <c r="AC95" i="15"/>
  <c r="AD95" i="15" s="1"/>
  <c r="AF95" i="15"/>
  <c r="AH95" i="15"/>
  <c r="AI95" i="15"/>
  <c r="AJ95" i="15"/>
  <c r="AK95" i="15"/>
  <c r="AL95" i="15" s="1"/>
  <c r="AN95" i="15"/>
  <c r="P96" i="15"/>
  <c r="R96" i="15" s="1"/>
  <c r="Q96" i="15" a="1"/>
  <c r="Q96" i="15" s="1"/>
  <c r="V96" i="15"/>
  <c r="W96" i="15" s="1"/>
  <c r="X96" i="15"/>
  <c r="Y96" i="15"/>
  <c r="Z96" i="15"/>
  <c r="AA96" i="15"/>
  <c r="AB96" i="15"/>
  <c r="AC96" i="15"/>
  <c r="AD96" i="15" s="1"/>
  <c r="AF96" i="15"/>
  <c r="AH96" i="15"/>
  <c r="AI96" i="15"/>
  <c r="AJ96" i="15"/>
  <c r="AK96" i="15"/>
  <c r="AL96" i="15"/>
  <c r="AN96" i="15"/>
  <c r="P97" i="15"/>
  <c r="R97" i="15" s="1"/>
  <c r="Q97" i="15" a="1"/>
  <c r="Q97" i="15" s="1"/>
  <c r="V97" i="15"/>
  <c r="W97" i="15" s="1"/>
  <c r="X97" i="15"/>
  <c r="Y97" i="15"/>
  <c r="Z97" i="15"/>
  <c r="AA97" i="15"/>
  <c r="AB97" i="15"/>
  <c r="AC97" i="15"/>
  <c r="AD97" i="15" s="1"/>
  <c r="AF97" i="15"/>
  <c r="AH97" i="15"/>
  <c r="AI97" i="15"/>
  <c r="AJ97" i="15"/>
  <c r="AK97" i="15"/>
  <c r="AL97" i="15" s="1"/>
  <c r="AN97" i="15"/>
  <c r="P98" i="15"/>
  <c r="R98" i="15" s="1"/>
  <c r="Q98" i="15" a="1"/>
  <c r="Q98" i="15" s="1"/>
  <c r="V98" i="15"/>
  <c r="W98" i="15" s="1"/>
  <c r="X98" i="15"/>
  <c r="Y98" i="15"/>
  <c r="Z98" i="15"/>
  <c r="AA98" i="15"/>
  <c r="AB98" i="15"/>
  <c r="AC98" i="15"/>
  <c r="AD98" i="15"/>
  <c r="AF98" i="15"/>
  <c r="AH98" i="15"/>
  <c r="AI98" i="15"/>
  <c r="AJ98" i="15"/>
  <c r="AK98" i="15"/>
  <c r="AL98" i="15" s="1"/>
  <c r="AN98" i="15"/>
  <c r="P99" i="15"/>
  <c r="R99" i="15" s="1"/>
  <c r="Q99" i="15" a="1"/>
  <c r="Q99" i="15" s="1"/>
  <c r="V99" i="15"/>
  <c r="W99" i="15" s="1"/>
  <c r="X99" i="15"/>
  <c r="Y99" i="15"/>
  <c r="Z99" i="15"/>
  <c r="AA99" i="15"/>
  <c r="AB99" i="15"/>
  <c r="AC99" i="15"/>
  <c r="AD99" i="15"/>
  <c r="AF99" i="15"/>
  <c r="AH99" i="15"/>
  <c r="AI99" i="15"/>
  <c r="AJ99" i="15"/>
  <c r="AK99" i="15"/>
  <c r="AL99" i="15" s="1"/>
  <c r="AN99" i="15"/>
  <c r="P100" i="15"/>
  <c r="R100" i="15" s="1"/>
  <c r="Q100" i="15" a="1"/>
  <c r="Q100" i="15" s="1"/>
  <c r="V100" i="15"/>
  <c r="W100" i="15" s="1"/>
  <c r="X100" i="15"/>
  <c r="Y100" i="15"/>
  <c r="Z100" i="15"/>
  <c r="AA100" i="15"/>
  <c r="AB100" i="15"/>
  <c r="AC100" i="15"/>
  <c r="AD100" i="15"/>
  <c r="AF100" i="15"/>
  <c r="AH100" i="15"/>
  <c r="AI100" i="15"/>
  <c r="AJ100" i="15"/>
  <c r="AK100" i="15"/>
  <c r="AL100" i="15" s="1"/>
  <c r="AN100" i="15"/>
  <c r="P101" i="15"/>
  <c r="R101" i="15" s="1"/>
  <c r="Q101" i="15" a="1"/>
  <c r="Q101" i="15"/>
  <c r="V101" i="15"/>
  <c r="W101" i="15" s="1"/>
  <c r="X101" i="15"/>
  <c r="Y101" i="15"/>
  <c r="Z101" i="15"/>
  <c r="AA101" i="15"/>
  <c r="AB101" i="15"/>
  <c r="AC101" i="15"/>
  <c r="AD101" i="15" s="1"/>
  <c r="AF101" i="15"/>
  <c r="AH101" i="15"/>
  <c r="AI101" i="15"/>
  <c r="AJ101" i="15"/>
  <c r="AK101" i="15"/>
  <c r="AL101" i="15" s="1"/>
  <c r="AN101" i="15"/>
  <c r="P102" i="15"/>
  <c r="Q102" i="15" a="1"/>
  <c r="Q102" i="15"/>
  <c r="R102" i="15"/>
  <c r="V102" i="15"/>
  <c r="W102" i="15" s="1"/>
  <c r="X102" i="15"/>
  <c r="Y102" i="15"/>
  <c r="Z102" i="15"/>
  <c r="AA102" i="15"/>
  <c r="AB102" i="15"/>
  <c r="AC102" i="15"/>
  <c r="AD102" i="15" s="1"/>
  <c r="AF102" i="15"/>
  <c r="AH102" i="15"/>
  <c r="AI102" i="15"/>
  <c r="AJ102" i="15"/>
  <c r="AK102" i="15"/>
  <c r="AL102" i="15" s="1"/>
  <c r="AN102" i="15"/>
  <c r="P103" i="15"/>
  <c r="R103" i="15" s="1"/>
  <c r="Q103" i="15" a="1"/>
  <c r="Q103" i="15" s="1"/>
  <c r="V103" i="15"/>
  <c r="W103" i="15"/>
  <c r="X103" i="15"/>
  <c r="Y103" i="15"/>
  <c r="Z103" i="15"/>
  <c r="AA103" i="15"/>
  <c r="AB103" i="15"/>
  <c r="AC103" i="15"/>
  <c r="AD103" i="15" s="1"/>
  <c r="AF103" i="15"/>
  <c r="AH103" i="15"/>
  <c r="AI103" i="15"/>
  <c r="AJ103" i="15"/>
  <c r="AK103" i="15"/>
  <c r="AL103" i="15" s="1"/>
  <c r="AN103" i="15"/>
  <c r="P104" i="15"/>
  <c r="R104" i="15" s="1"/>
  <c r="Q104" i="15" a="1"/>
  <c r="Q104" i="15" s="1"/>
  <c r="V104" i="15"/>
  <c r="W104" i="15" s="1"/>
  <c r="X104" i="15"/>
  <c r="Y104" i="15"/>
  <c r="Z104" i="15"/>
  <c r="AA104" i="15"/>
  <c r="AB104" i="15"/>
  <c r="AC104" i="15"/>
  <c r="AD104" i="15" s="1"/>
  <c r="AF104" i="15"/>
  <c r="AH104" i="15"/>
  <c r="AI104" i="15"/>
  <c r="AJ104" i="15"/>
  <c r="AK104" i="15"/>
  <c r="AL104" i="15"/>
  <c r="AN104" i="15"/>
  <c r="P105" i="15"/>
  <c r="R105" i="15" s="1"/>
  <c r="Q105" i="15" a="1"/>
  <c r="Q105" i="15" s="1"/>
  <c r="V105" i="15"/>
  <c r="W105" i="15" s="1"/>
  <c r="X105" i="15"/>
  <c r="Y105" i="15"/>
  <c r="Z105" i="15"/>
  <c r="AA105" i="15"/>
  <c r="AB105" i="15"/>
  <c r="AC105" i="15"/>
  <c r="AD105" i="15" s="1"/>
  <c r="AF105" i="15"/>
  <c r="AH105" i="15"/>
  <c r="AI105" i="15"/>
  <c r="AJ105" i="15"/>
  <c r="AK105" i="15"/>
  <c r="AL105" i="15" s="1"/>
  <c r="AN105" i="15"/>
  <c r="P106" i="15"/>
  <c r="R106" i="15" s="1"/>
  <c r="Q106" i="15" a="1"/>
  <c r="Q106" i="15"/>
  <c r="V106" i="15"/>
  <c r="W106" i="15" s="1"/>
  <c r="X106" i="15"/>
  <c r="Y106" i="15"/>
  <c r="Z106" i="15"/>
  <c r="AA106" i="15"/>
  <c r="AB106" i="15"/>
  <c r="AC106" i="15"/>
  <c r="AD106" i="15" s="1"/>
  <c r="AF106" i="15"/>
  <c r="AH106" i="15"/>
  <c r="AI106" i="15"/>
  <c r="AJ106" i="15"/>
  <c r="AK106" i="15"/>
  <c r="AL106" i="15" s="1"/>
  <c r="AN106" i="15"/>
  <c r="P107" i="15"/>
  <c r="R107" i="15" s="1"/>
  <c r="Q107" i="15" a="1"/>
  <c r="Q107" i="15" s="1"/>
  <c r="V107" i="15"/>
  <c r="W107" i="15" s="1"/>
  <c r="X107" i="15"/>
  <c r="Y107" i="15"/>
  <c r="Z107" i="15"/>
  <c r="AA107" i="15"/>
  <c r="AB107" i="15"/>
  <c r="AC107" i="15"/>
  <c r="AD107" i="15" s="1"/>
  <c r="AF107" i="15"/>
  <c r="AH107" i="15"/>
  <c r="AI107" i="15"/>
  <c r="AJ107" i="15"/>
  <c r="AK107" i="15"/>
  <c r="AL107" i="15" s="1"/>
  <c r="AN107" i="15"/>
  <c r="P108" i="15"/>
  <c r="Q108" i="15" a="1"/>
  <c r="Q108" i="15" s="1"/>
  <c r="R108" i="15"/>
  <c r="V108" i="15"/>
  <c r="W108" i="15" s="1"/>
  <c r="X108" i="15"/>
  <c r="Y108" i="15"/>
  <c r="Z108" i="15"/>
  <c r="AA108" i="15"/>
  <c r="AB108" i="15"/>
  <c r="AC108" i="15"/>
  <c r="AD108" i="15"/>
  <c r="AF108" i="15"/>
  <c r="AH108" i="15"/>
  <c r="AI108" i="15"/>
  <c r="AJ108" i="15"/>
  <c r="AK108" i="15"/>
  <c r="AL108" i="15"/>
  <c r="AN108" i="15"/>
  <c r="P109" i="15"/>
  <c r="R109" i="15" s="1"/>
  <c r="Q109" i="15" a="1"/>
  <c r="Q109" i="15"/>
  <c r="V109" i="15"/>
  <c r="W109" i="15" s="1"/>
  <c r="X109" i="15"/>
  <c r="Y109" i="15"/>
  <c r="Z109" i="15"/>
  <c r="AA109" i="15"/>
  <c r="AB109" i="15"/>
  <c r="AC109" i="15"/>
  <c r="AD109" i="15" s="1"/>
  <c r="AF109" i="15"/>
  <c r="AH109" i="15"/>
  <c r="AI109" i="15"/>
  <c r="AJ109" i="15"/>
  <c r="AK109" i="15"/>
  <c r="AL109" i="15" s="1"/>
  <c r="AN109" i="15"/>
  <c r="P110" i="15"/>
  <c r="R110" i="15" s="1"/>
  <c r="Q110" i="15" a="1"/>
  <c r="Q110" i="15" s="1"/>
  <c r="V110" i="15"/>
  <c r="W110" i="15" s="1"/>
  <c r="X110" i="15"/>
  <c r="Y110" i="15"/>
  <c r="Z110" i="15"/>
  <c r="AA110" i="15"/>
  <c r="AB110" i="15"/>
  <c r="AC110" i="15"/>
  <c r="AD110" i="15" s="1"/>
  <c r="AF110" i="15"/>
  <c r="AH110" i="15"/>
  <c r="AI110" i="15"/>
  <c r="AJ110" i="15"/>
  <c r="AK110" i="15"/>
  <c r="AL110" i="15" s="1"/>
  <c r="AN110" i="15"/>
  <c r="P111" i="15"/>
  <c r="R111" i="15" s="1"/>
  <c r="Q111" i="15" a="1"/>
  <c r="Q111" i="15" s="1"/>
  <c r="V111" i="15"/>
  <c r="W111" i="15" s="1"/>
  <c r="X111" i="15"/>
  <c r="Y111" i="15"/>
  <c r="Z111" i="15"/>
  <c r="AA111" i="15"/>
  <c r="AB111" i="15"/>
  <c r="AC111" i="15"/>
  <c r="AD111" i="15"/>
  <c r="AF111" i="15"/>
  <c r="AH111" i="15"/>
  <c r="AI111" i="15"/>
  <c r="AJ111" i="15"/>
  <c r="AK111" i="15"/>
  <c r="AL111" i="15" s="1"/>
  <c r="AN111" i="15"/>
  <c r="P112" i="15"/>
  <c r="R112" i="15" s="1"/>
  <c r="Q112" i="15" a="1"/>
  <c r="Q112" i="15" s="1"/>
  <c r="V112" i="15"/>
  <c r="W112" i="15" s="1"/>
  <c r="X112" i="15"/>
  <c r="Y112" i="15"/>
  <c r="Z112" i="15"/>
  <c r="AA112" i="15"/>
  <c r="AB112" i="15"/>
  <c r="AC112" i="15"/>
  <c r="AD112" i="15" s="1"/>
  <c r="AF112" i="15"/>
  <c r="AH112" i="15"/>
  <c r="AI112" i="15"/>
  <c r="AJ112" i="15"/>
  <c r="AK112" i="15"/>
  <c r="AL112" i="15" s="1"/>
  <c r="AN112" i="15"/>
  <c r="P113" i="15"/>
  <c r="R113" i="15" s="1"/>
  <c r="Q113" i="15" a="1"/>
  <c r="Q113" i="15" s="1"/>
  <c r="V113" i="15"/>
  <c r="W113" i="15" s="1"/>
  <c r="X113" i="15"/>
  <c r="Y113" i="15"/>
  <c r="Z113" i="15"/>
  <c r="AA113" i="15"/>
  <c r="AB113" i="15"/>
  <c r="AC113" i="15"/>
  <c r="AD113" i="15" s="1"/>
  <c r="AF113" i="15"/>
  <c r="AH113" i="15"/>
  <c r="AI113" i="15"/>
  <c r="AJ113" i="15"/>
  <c r="AK113" i="15"/>
  <c r="AL113" i="15" s="1"/>
  <c r="AN113" i="15"/>
  <c r="P114" i="15"/>
  <c r="R114" i="15" s="1"/>
  <c r="Q114" i="15" a="1"/>
  <c r="Q114" i="15" s="1"/>
  <c r="V114" i="15"/>
  <c r="W114" i="15" s="1"/>
  <c r="X114" i="15"/>
  <c r="Y114" i="15"/>
  <c r="Z114" i="15"/>
  <c r="AA114" i="15"/>
  <c r="AB114" i="15"/>
  <c r="AC114" i="15"/>
  <c r="AD114" i="15" s="1"/>
  <c r="AF114" i="15"/>
  <c r="AH114" i="15"/>
  <c r="AI114" i="15"/>
  <c r="AJ114" i="15"/>
  <c r="AK114" i="15"/>
  <c r="AL114" i="15" s="1"/>
  <c r="AN114" i="15"/>
  <c r="P115" i="15"/>
  <c r="R115" i="15" s="1"/>
  <c r="Q115" i="15" a="1"/>
  <c r="Q115" i="15" s="1"/>
  <c r="V115" i="15"/>
  <c r="W115" i="15" s="1"/>
  <c r="X115" i="15"/>
  <c r="Y115" i="15"/>
  <c r="Z115" i="15"/>
  <c r="AA115" i="15"/>
  <c r="AB115" i="15"/>
  <c r="AC115" i="15"/>
  <c r="AD115" i="15"/>
  <c r="AF115" i="15"/>
  <c r="AH115" i="15"/>
  <c r="AI115" i="15"/>
  <c r="AJ115" i="15"/>
  <c r="AK115" i="15"/>
  <c r="AL115" i="15"/>
  <c r="AN115" i="15"/>
  <c r="P116" i="15"/>
  <c r="R116" i="15" s="1"/>
  <c r="Q116" i="15" a="1"/>
  <c r="Q116" i="15"/>
  <c r="V116" i="15"/>
  <c r="W116" i="15" s="1"/>
  <c r="X116" i="15"/>
  <c r="Y116" i="15"/>
  <c r="Z116" i="15"/>
  <c r="AA116" i="15"/>
  <c r="AB116" i="15"/>
  <c r="AC116" i="15"/>
  <c r="AD116" i="15" s="1"/>
  <c r="AF116" i="15"/>
  <c r="AH116" i="15"/>
  <c r="AI116" i="15"/>
  <c r="AJ116" i="15"/>
  <c r="AK116" i="15"/>
  <c r="AL116" i="15" s="1"/>
  <c r="AN116" i="15"/>
  <c r="P117" i="15"/>
  <c r="R117" i="15" s="1"/>
  <c r="Q117" i="15" a="1"/>
  <c r="Q117" i="15" s="1"/>
  <c r="V117" i="15"/>
  <c r="W117" i="15" s="1"/>
  <c r="X117" i="15"/>
  <c r="Y117" i="15"/>
  <c r="Z117" i="15"/>
  <c r="AA117" i="15"/>
  <c r="AB117" i="15"/>
  <c r="AC117" i="15"/>
  <c r="AD117" i="15" s="1"/>
  <c r="AF117" i="15"/>
  <c r="AH117" i="15"/>
  <c r="AI117" i="15"/>
  <c r="AJ117" i="15"/>
  <c r="AK117" i="15"/>
  <c r="AL117" i="15" s="1"/>
  <c r="AN117" i="15"/>
  <c r="P118" i="15"/>
  <c r="R118" i="15" s="1"/>
  <c r="Q118" i="15" a="1"/>
  <c r="Q118" i="15" s="1"/>
  <c r="V118" i="15"/>
  <c r="W118" i="15" s="1"/>
  <c r="X118" i="15"/>
  <c r="Y118" i="15"/>
  <c r="Z118" i="15"/>
  <c r="AA118" i="15"/>
  <c r="AB118" i="15"/>
  <c r="AC118" i="15"/>
  <c r="AD118" i="15" s="1"/>
  <c r="AF118" i="15"/>
  <c r="AH118" i="15"/>
  <c r="AI118" i="15"/>
  <c r="AJ118" i="15"/>
  <c r="AK118" i="15"/>
  <c r="AL118" i="15" s="1"/>
  <c r="AN118" i="15"/>
  <c r="P119" i="15"/>
  <c r="R119" i="15" s="1"/>
  <c r="Q119" i="15" a="1"/>
  <c r="Q119" i="15" s="1"/>
  <c r="V119" i="15"/>
  <c r="W119" i="15" s="1"/>
  <c r="X119" i="15"/>
  <c r="Y119" i="15"/>
  <c r="Z119" i="15"/>
  <c r="AA119" i="15"/>
  <c r="AB119" i="15"/>
  <c r="AC119" i="15"/>
  <c r="AD119" i="15" s="1"/>
  <c r="AF119" i="15"/>
  <c r="AH119" i="15"/>
  <c r="AI119" i="15"/>
  <c r="AJ119" i="15"/>
  <c r="AK119" i="15"/>
  <c r="AL119" i="15"/>
  <c r="AN119" i="15"/>
  <c r="P120" i="15"/>
  <c r="R120" i="15" s="1"/>
  <c r="Q120" i="15" a="1"/>
  <c r="Q120" i="15" s="1"/>
  <c r="V120" i="15"/>
  <c r="W120" i="15" s="1"/>
  <c r="X120" i="15"/>
  <c r="Y120" i="15"/>
  <c r="Z120" i="15"/>
  <c r="AA120" i="15"/>
  <c r="AB120" i="15"/>
  <c r="AC120" i="15"/>
  <c r="AD120" i="15" s="1"/>
  <c r="AF120" i="15"/>
  <c r="AH120" i="15"/>
  <c r="AI120" i="15"/>
  <c r="AJ120" i="15"/>
  <c r="AK120" i="15"/>
  <c r="AL120" i="15" s="1"/>
  <c r="AN120" i="15"/>
  <c r="P121" i="15"/>
  <c r="R121" i="15" s="1"/>
  <c r="Q121" i="15" a="1"/>
  <c r="Q121" i="15" s="1"/>
  <c r="V121" i="15"/>
  <c r="W121" i="15" s="1"/>
  <c r="X121" i="15"/>
  <c r="Y121" i="15"/>
  <c r="Z121" i="15"/>
  <c r="AA121" i="15"/>
  <c r="AB121" i="15"/>
  <c r="AC121" i="15"/>
  <c r="AD121" i="15" s="1"/>
  <c r="AF121" i="15"/>
  <c r="AH121" i="15"/>
  <c r="AI121" i="15"/>
  <c r="AJ121" i="15"/>
  <c r="AK121" i="15"/>
  <c r="AL121" i="15" s="1"/>
  <c r="AN121" i="15"/>
  <c r="P122" i="15"/>
  <c r="R122" i="15" s="1"/>
  <c r="Q122" i="15" a="1"/>
  <c r="Q122" i="15"/>
  <c r="V122" i="15"/>
  <c r="W122" i="15" s="1"/>
  <c r="X122" i="15"/>
  <c r="Y122" i="15"/>
  <c r="Z122" i="15"/>
  <c r="AA122" i="15"/>
  <c r="AB122" i="15"/>
  <c r="AC122" i="15"/>
  <c r="AD122" i="15"/>
  <c r="AF122" i="15"/>
  <c r="AH122" i="15"/>
  <c r="AI122" i="15"/>
  <c r="AJ122" i="15"/>
  <c r="AK122" i="15"/>
  <c r="AL122" i="15" s="1"/>
  <c r="AN122" i="15"/>
  <c r="P123" i="15"/>
  <c r="Q123" i="15" a="1"/>
  <c r="Q123" i="15" s="1"/>
  <c r="R123" i="15"/>
  <c r="V123" i="15"/>
  <c r="W123" i="15" s="1"/>
  <c r="X123" i="15"/>
  <c r="Y123" i="15"/>
  <c r="Z123" i="15"/>
  <c r="AA123" i="15"/>
  <c r="AB123" i="15"/>
  <c r="AC123" i="15"/>
  <c r="AD123" i="15" s="1"/>
  <c r="AF123" i="15"/>
  <c r="AH123" i="15"/>
  <c r="AI123" i="15"/>
  <c r="AJ123" i="15"/>
  <c r="AK123" i="15"/>
  <c r="AL123" i="15"/>
  <c r="AN123" i="15"/>
  <c r="P124" i="15"/>
  <c r="R124" i="15" s="1"/>
  <c r="Q124" i="15" a="1"/>
  <c r="Q124" i="15" s="1"/>
  <c r="V124" i="15"/>
  <c r="W124" i="15" s="1"/>
  <c r="X124" i="15"/>
  <c r="Y124" i="15"/>
  <c r="Z124" i="15"/>
  <c r="AA124" i="15"/>
  <c r="AB124" i="15"/>
  <c r="AC124" i="15"/>
  <c r="AD124" i="15"/>
  <c r="AF124" i="15"/>
  <c r="AH124" i="15"/>
  <c r="AI124" i="15"/>
  <c r="AJ124" i="15"/>
  <c r="AK124" i="15"/>
  <c r="AL124" i="15" s="1"/>
  <c r="AN124" i="15"/>
  <c r="P125" i="15"/>
  <c r="R125" i="15" s="1"/>
  <c r="Q125" i="15" a="1"/>
  <c r="Q125" i="15" s="1"/>
  <c r="V125" i="15"/>
  <c r="W125" i="15"/>
  <c r="X125" i="15"/>
  <c r="Y125" i="15"/>
  <c r="Z125" i="15"/>
  <c r="AA125" i="15"/>
  <c r="AB125" i="15"/>
  <c r="AC125" i="15"/>
  <c r="AD125" i="15" s="1"/>
  <c r="AF125" i="15"/>
  <c r="AH125" i="15"/>
  <c r="AI125" i="15"/>
  <c r="AJ125" i="15"/>
  <c r="AK125" i="15"/>
  <c r="AL125" i="15" s="1"/>
  <c r="AN125" i="15"/>
  <c r="P126" i="15"/>
  <c r="R126" i="15" s="1"/>
  <c r="Q126" i="15" a="1"/>
  <c r="Q126" i="15" s="1"/>
  <c r="V126" i="15"/>
  <c r="W126" i="15" s="1"/>
  <c r="X126" i="15"/>
  <c r="Y126" i="15"/>
  <c r="Z126" i="15"/>
  <c r="AA126" i="15"/>
  <c r="AB126" i="15"/>
  <c r="AC126" i="15"/>
  <c r="AD126" i="15" s="1"/>
  <c r="AF126" i="15"/>
  <c r="AH126" i="15"/>
  <c r="AI126" i="15"/>
  <c r="AJ126" i="15"/>
  <c r="AK126" i="15"/>
  <c r="AL126" i="15" s="1"/>
  <c r="AN126" i="15"/>
  <c r="P127" i="15"/>
  <c r="R127" i="15" s="1"/>
  <c r="Q127" i="15" a="1"/>
  <c r="Q127" i="15" s="1"/>
  <c r="V127" i="15"/>
  <c r="W127" i="15" s="1"/>
  <c r="X127" i="15"/>
  <c r="Y127" i="15"/>
  <c r="Z127" i="15"/>
  <c r="AA127" i="15"/>
  <c r="AB127" i="15"/>
  <c r="AC127" i="15"/>
  <c r="AD127" i="15" s="1"/>
  <c r="AF127" i="15"/>
  <c r="AH127" i="15"/>
  <c r="AI127" i="15"/>
  <c r="AJ127" i="15"/>
  <c r="AK127" i="15"/>
  <c r="AL127" i="15"/>
  <c r="AN127" i="15"/>
  <c r="P128" i="15"/>
  <c r="R128" i="15" s="1"/>
  <c r="Q128" i="15" a="1"/>
  <c r="Q128" i="15" s="1"/>
  <c r="V128" i="15"/>
  <c r="W128" i="15" s="1"/>
  <c r="X128" i="15"/>
  <c r="Y128" i="15"/>
  <c r="Z128" i="15"/>
  <c r="AA128" i="15"/>
  <c r="AB128" i="15"/>
  <c r="AC128" i="15"/>
  <c r="AD128" i="15"/>
  <c r="AF128" i="15"/>
  <c r="AH128" i="15"/>
  <c r="AI128" i="15"/>
  <c r="AJ128" i="15"/>
  <c r="AK128" i="15"/>
  <c r="AL128" i="15" s="1"/>
  <c r="AN128" i="15"/>
  <c r="P129" i="15"/>
  <c r="R129" i="15" s="1"/>
  <c r="Q129" i="15" a="1"/>
  <c r="Q129" i="15" s="1"/>
  <c r="V129" i="15"/>
  <c r="W129" i="15" s="1"/>
  <c r="X129" i="15"/>
  <c r="Y129" i="15"/>
  <c r="Z129" i="15"/>
  <c r="AA129" i="15"/>
  <c r="AB129" i="15"/>
  <c r="AC129" i="15"/>
  <c r="AD129" i="15" s="1"/>
  <c r="AF129" i="15"/>
  <c r="AH129" i="15"/>
  <c r="AI129" i="15"/>
  <c r="AJ129" i="15"/>
  <c r="AK129" i="15"/>
  <c r="AL129" i="15" s="1"/>
  <c r="AN129" i="15"/>
  <c r="P130" i="15"/>
  <c r="R130" i="15" s="1"/>
  <c r="Q130" i="15" a="1"/>
  <c r="Q130" i="15" s="1"/>
  <c r="V130" i="15"/>
  <c r="W130" i="15" s="1"/>
  <c r="X130" i="15"/>
  <c r="Y130" i="15"/>
  <c r="Z130" i="15"/>
  <c r="AA130" i="15"/>
  <c r="AB130" i="15"/>
  <c r="AC130" i="15"/>
  <c r="AD130" i="15" s="1"/>
  <c r="AF130" i="15"/>
  <c r="AH130" i="15"/>
  <c r="AI130" i="15"/>
  <c r="AJ130" i="15"/>
  <c r="AK130" i="15"/>
  <c r="AL130" i="15"/>
  <c r="AN130" i="15"/>
  <c r="P131" i="15"/>
  <c r="R131" i="15" s="1"/>
  <c r="Q131" i="15" a="1"/>
  <c r="Q131" i="15" s="1"/>
  <c r="V131" i="15"/>
  <c r="W131" i="15" s="1"/>
  <c r="X131" i="15"/>
  <c r="Y131" i="15"/>
  <c r="Z131" i="15"/>
  <c r="AA131" i="15"/>
  <c r="AB131" i="15"/>
  <c r="AC131" i="15"/>
  <c r="AD131" i="15" s="1"/>
  <c r="AF131" i="15"/>
  <c r="AH131" i="15"/>
  <c r="AI131" i="15"/>
  <c r="AJ131" i="15"/>
  <c r="AK131" i="15"/>
  <c r="AL131" i="15" s="1"/>
  <c r="AN131" i="15"/>
  <c r="P132" i="15"/>
  <c r="Q132" i="15" a="1"/>
  <c r="Q132" i="15" s="1"/>
  <c r="R132" i="15"/>
  <c r="V132" i="15"/>
  <c r="W132" i="15" s="1"/>
  <c r="X132" i="15"/>
  <c r="Y132" i="15"/>
  <c r="Z132" i="15"/>
  <c r="AA132" i="15"/>
  <c r="AB132" i="15"/>
  <c r="AC132" i="15"/>
  <c r="AD132" i="15" s="1"/>
  <c r="AF132" i="15"/>
  <c r="AH132" i="15"/>
  <c r="AI132" i="15"/>
  <c r="AJ132" i="15"/>
  <c r="AK132" i="15"/>
  <c r="AL132" i="15" s="1"/>
  <c r="AN132" i="15"/>
  <c r="P133" i="15"/>
  <c r="R133" i="15" s="1"/>
  <c r="Q133" i="15" a="1"/>
  <c r="Q133" i="15" s="1"/>
  <c r="V133" i="15"/>
  <c r="W133" i="15"/>
  <c r="X133" i="15"/>
  <c r="Y133" i="15"/>
  <c r="Z133" i="15"/>
  <c r="AA133" i="15"/>
  <c r="AB133" i="15"/>
  <c r="AC133" i="15"/>
  <c r="AD133" i="15" s="1"/>
  <c r="AF133" i="15"/>
  <c r="AH133" i="15"/>
  <c r="AI133" i="15"/>
  <c r="AJ133" i="15"/>
  <c r="AK133" i="15"/>
  <c r="AL133" i="15" s="1"/>
  <c r="AN133" i="15"/>
  <c r="P134" i="15"/>
  <c r="R134" i="15" s="1"/>
  <c r="Q134" i="15" a="1"/>
  <c r="Q134" i="15" s="1"/>
  <c r="V134" i="15"/>
  <c r="W134" i="15" s="1"/>
  <c r="X134" i="15"/>
  <c r="Y134" i="15"/>
  <c r="Z134" i="15"/>
  <c r="AA134" i="15"/>
  <c r="AB134" i="15"/>
  <c r="AC134" i="15"/>
  <c r="AD134" i="15" s="1"/>
  <c r="AF134" i="15"/>
  <c r="AH134" i="15"/>
  <c r="AI134" i="15"/>
  <c r="AJ134" i="15"/>
  <c r="AK134" i="15"/>
  <c r="AL134" i="15" s="1"/>
  <c r="AN134" i="15"/>
  <c r="P135" i="15"/>
  <c r="Q135" i="15" a="1"/>
  <c r="Q135" i="15"/>
  <c r="R135" i="15"/>
  <c r="V135" i="15"/>
  <c r="W135" i="15" s="1"/>
  <c r="X135" i="15"/>
  <c r="Y135" i="15"/>
  <c r="Z135" i="15"/>
  <c r="AA135" i="15"/>
  <c r="AB135" i="15"/>
  <c r="AC135" i="15"/>
  <c r="AD135" i="15" s="1"/>
  <c r="AF135" i="15"/>
  <c r="AH135" i="15"/>
  <c r="AI135" i="15"/>
  <c r="AJ135" i="15"/>
  <c r="AK135" i="15"/>
  <c r="AL135" i="15" s="1"/>
  <c r="AN135" i="15"/>
  <c r="P136" i="15"/>
  <c r="R136" i="15" s="1"/>
  <c r="Q136" i="15" a="1"/>
  <c r="Q136" i="15" s="1"/>
  <c r="V136" i="15"/>
  <c r="W136" i="15" s="1"/>
  <c r="X136" i="15"/>
  <c r="Y136" i="15"/>
  <c r="Z136" i="15"/>
  <c r="AA136" i="15"/>
  <c r="AB136" i="15"/>
  <c r="AC136" i="15"/>
  <c r="AD136" i="15" s="1"/>
  <c r="AF136" i="15"/>
  <c r="AH136" i="15"/>
  <c r="AI136" i="15"/>
  <c r="AJ136" i="15"/>
  <c r="AK136" i="15"/>
  <c r="AL136" i="15" s="1"/>
  <c r="AN136" i="15"/>
  <c r="P137" i="15"/>
  <c r="R137" i="15" s="1"/>
  <c r="Q137" i="15" a="1"/>
  <c r="Q137" i="15" s="1"/>
  <c r="V137" i="15"/>
  <c r="W137" i="15" s="1"/>
  <c r="X137" i="15"/>
  <c r="Y137" i="15"/>
  <c r="Z137" i="15"/>
  <c r="AA137" i="15"/>
  <c r="AB137" i="15"/>
  <c r="AC137" i="15"/>
  <c r="AD137" i="15"/>
  <c r="AF137" i="15"/>
  <c r="AH137" i="15"/>
  <c r="AI137" i="15"/>
  <c r="AJ137" i="15"/>
  <c r="AK137" i="15"/>
  <c r="AL137" i="15" s="1"/>
  <c r="AN137" i="15"/>
  <c r="P138" i="15"/>
  <c r="R138" i="15" s="1"/>
  <c r="Q138" i="15" a="1"/>
  <c r="Q138" i="15" s="1"/>
  <c r="V138" i="15"/>
  <c r="W138" i="15" s="1"/>
  <c r="X138" i="15"/>
  <c r="Y138" i="15"/>
  <c r="Z138" i="15"/>
  <c r="AA138" i="15"/>
  <c r="AB138" i="15"/>
  <c r="AC138" i="15"/>
  <c r="AD138" i="15"/>
  <c r="AF138" i="15"/>
  <c r="AH138" i="15"/>
  <c r="AI138" i="15"/>
  <c r="AJ138" i="15"/>
  <c r="AK138" i="15"/>
  <c r="AL138" i="15" s="1"/>
  <c r="AN138" i="15"/>
  <c r="P139" i="15"/>
  <c r="R139" i="15" s="1"/>
  <c r="Q139" i="15" a="1"/>
  <c r="Q139" i="15" s="1"/>
  <c r="V139" i="15"/>
  <c r="W139" i="15"/>
  <c r="X139" i="15"/>
  <c r="Y139" i="15"/>
  <c r="Z139" i="15"/>
  <c r="AA139" i="15"/>
  <c r="AB139" i="15"/>
  <c r="AC139" i="15"/>
  <c r="AD139" i="15" s="1"/>
  <c r="AF139" i="15"/>
  <c r="AH139" i="15"/>
  <c r="AI139" i="15"/>
  <c r="AJ139" i="15"/>
  <c r="AK139" i="15"/>
  <c r="AL139" i="15" s="1"/>
  <c r="AN139" i="15"/>
  <c r="P140" i="15"/>
  <c r="Q140" i="15" a="1"/>
  <c r="Q140" i="15" s="1"/>
  <c r="R140" i="15"/>
  <c r="V140" i="15"/>
  <c r="W140" i="15" s="1"/>
  <c r="X140" i="15"/>
  <c r="Y140" i="15"/>
  <c r="Z140" i="15"/>
  <c r="AA140" i="15"/>
  <c r="AB140" i="15"/>
  <c r="AC140" i="15"/>
  <c r="AD140" i="15" s="1"/>
  <c r="AF140" i="15"/>
  <c r="AH140" i="15"/>
  <c r="AI140" i="15"/>
  <c r="AJ140" i="15"/>
  <c r="AK140" i="15"/>
  <c r="AL140" i="15" s="1"/>
  <c r="AN140" i="15"/>
  <c r="P141" i="15"/>
  <c r="R141" i="15" s="1"/>
  <c r="Q141" i="15" a="1"/>
  <c r="Q141" i="15" s="1"/>
  <c r="V141" i="15"/>
  <c r="W141" i="15" s="1"/>
  <c r="X141" i="15"/>
  <c r="Y141" i="15"/>
  <c r="Z141" i="15"/>
  <c r="AA141" i="15"/>
  <c r="AB141" i="15"/>
  <c r="AC141" i="15"/>
  <c r="AD141" i="15" s="1"/>
  <c r="AF141" i="15"/>
  <c r="AH141" i="15"/>
  <c r="AI141" i="15"/>
  <c r="AJ141" i="15"/>
  <c r="AK141" i="15"/>
  <c r="AL141" i="15"/>
  <c r="AN141" i="15"/>
  <c r="P142" i="15"/>
  <c r="R142" i="15" s="1"/>
  <c r="Q142" i="15" a="1"/>
  <c r="Q142" i="15" s="1"/>
  <c r="V142" i="15"/>
  <c r="W142" i="15" s="1"/>
  <c r="X142" i="15"/>
  <c r="Y142" i="15"/>
  <c r="Z142" i="15"/>
  <c r="AA142" i="15"/>
  <c r="AB142" i="15"/>
  <c r="AC142" i="15"/>
  <c r="AD142" i="15" s="1"/>
  <c r="AF142" i="15"/>
  <c r="AH142" i="15"/>
  <c r="AI142" i="15"/>
  <c r="AJ142" i="15"/>
  <c r="AK142" i="15"/>
  <c r="AL142" i="15" s="1"/>
  <c r="AN142" i="15"/>
  <c r="P143" i="15"/>
  <c r="R143" i="15" s="1"/>
  <c r="Q143" i="15" a="1"/>
  <c r="Q143" i="15"/>
  <c r="V143" i="15"/>
  <c r="W143" i="15" s="1"/>
  <c r="X143" i="15"/>
  <c r="Y143" i="15"/>
  <c r="Z143" i="15"/>
  <c r="AA143" i="15"/>
  <c r="AB143" i="15"/>
  <c r="AC143" i="15"/>
  <c r="AD143" i="15" s="1"/>
  <c r="AF143" i="15"/>
  <c r="AH143" i="15"/>
  <c r="AI143" i="15"/>
  <c r="AJ143" i="15"/>
  <c r="AK143" i="15"/>
  <c r="AL143" i="15" s="1"/>
  <c r="AN143" i="15"/>
  <c r="P144" i="15"/>
  <c r="R144" i="15" s="1"/>
  <c r="Q144" i="15" a="1"/>
  <c r="Q144" i="15"/>
  <c r="V144" i="15"/>
  <c r="W144" i="15"/>
  <c r="X144" i="15"/>
  <c r="Y144" i="15"/>
  <c r="Z144" i="15"/>
  <c r="AA144" i="15"/>
  <c r="AB144" i="15"/>
  <c r="AC144" i="15"/>
  <c r="AD144" i="15" s="1"/>
  <c r="AF144" i="15"/>
  <c r="AH144" i="15"/>
  <c r="AI144" i="15"/>
  <c r="AJ144" i="15"/>
  <c r="AK144" i="15"/>
  <c r="AL144" i="15" s="1"/>
  <c r="AN144" i="15"/>
  <c r="P145" i="15"/>
  <c r="R145" i="15" s="1"/>
  <c r="Q145" i="15" a="1"/>
  <c r="Q145" i="15"/>
  <c r="V145" i="15"/>
  <c r="W145" i="15" s="1"/>
  <c r="X145" i="15"/>
  <c r="Y145" i="15"/>
  <c r="Z145" i="15"/>
  <c r="AA145" i="15"/>
  <c r="AB145" i="15"/>
  <c r="AC145" i="15"/>
  <c r="AD145" i="15"/>
  <c r="AF145" i="15"/>
  <c r="AH145" i="15"/>
  <c r="AI145" i="15"/>
  <c r="AJ145" i="15"/>
  <c r="AK145" i="15"/>
  <c r="AL145" i="15" s="1"/>
  <c r="AN145" i="15"/>
  <c r="P146" i="15"/>
  <c r="Q146" i="15" a="1"/>
  <c r="Q146" i="15" s="1"/>
  <c r="R146" i="15"/>
  <c r="V146" i="15"/>
  <c r="W146" i="15" s="1"/>
  <c r="X146" i="15"/>
  <c r="Y146" i="15"/>
  <c r="Z146" i="15"/>
  <c r="AA146" i="15"/>
  <c r="AB146" i="15"/>
  <c r="AC146" i="15"/>
  <c r="AD146" i="15" s="1"/>
  <c r="AF146" i="15"/>
  <c r="AH146" i="15"/>
  <c r="AI146" i="15"/>
  <c r="AJ146" i="15"/>
  <c r="AK146" i="15"/>
  <c r="AL146" i="15"/>
  <c r="AN146" i="15"/>
  <c r="P147" i="15"/>
  <c r="Q147" i="15" a="1"/>
  <c r="Q147" i="15" s="1"/>
  <c r="R147" i="15"/>
  <c r="V147" i="15"/>
  <c r="W147" i="15" s="1"/>
  <c r="X147" i="15"/>
  <c r="Y147" i="15"/>
  <c r="Z147" i="15"/>
  <c r="AA147" i="15"/>
  <c r="AB147" i="15"/>
  <c r="AC147" i="15"/>
  <c r="AD147" i="15" s="1"/>
  <c r="AF147" i="15"/>
  <c r="AH147" i="15"/>
  <c r="AI147" i="15"/>
  <c r="AJ147" i="15"/>
  <c r="AK147" i="15"/>
  <c r="AL147" i="15"/>
  <c r="AN147" i="15"/>
  <c r="P148" i="15"/>
  <c r="R148" i="15" s="1"/>
  <c r="Q148" i="15" a="1"/>
  <c r="Q148" i="15" s="1"/>
  <c r="V148" i="15"/>
  <c r="W148" i="15" s="1"/>
  <c r="X148" i="15"/>
  <c r="Y148" i="15"/>
  <c r="Z148" i="15"/>
  <c r="AA148" i="15"/>
  <c r="AB148" i="15"/>
  <c r="AC148" i="15"/>
  <c r="AD148" i="15" s="1"/>
  <c r="AF148" i="15"/>
  <c r="AH148" i="15"/>
  <c r="AI148" i="15"/>
  <c r="AJ148" i="15"/>
  <c r="AK148" i="15"/>
  <c r="AL148" i="15"/>
  <c r="AN148" i="15"/>
  <c r="P149" i="15"/>
  <c r="R149" i="15" s="1"/>
  <c r="Q149" i="15" a="1"/>
  <c r="Q149" i="15" s="1"/>
  <c r="V149" i="15"/>
  <c r="W149" i="15" s="1"/>
  <c r="X149" i="15"/>
  <c r="Y149" i="15"/>
  <c r="Z149" i="15"/>
  <c r="AA149" i="15"/>
  <c r="AB149" i="15"/>
  <c r="AC149" i="15"/>
  <c r="AD149" i="15" s="1"/>
  <c r="AF149" i="15"/>
  <c r="AH149" i="15"/>
  <c r="AI149" i="15"/>
  <c r="AJ149" i="15"/>
  <c r="AK149" i="15"/>
  <c r="AL149" i="15" s="1"/>
  <c r="AN149" i="15"/>
  <c r="P150" i="15"/>
  <c r="R150" i="15" s="1"/>
  <c r="Q150" i="15" a="1"/>
  <c r="Q150" i="15" s="1"/>
  <c r="V150" i="15"/>
  <c r="W150" i="15" s="1"/>
  <c r="X150" i="15"/>
  <c r="Y150" i="15"/>
  <c r="Z150" i="15"/>
  <c r="AA150" i="15"/>
  <c r="AB150" i="15"/>
  <c r="AC150" i="15"/>
  <c r="AD150" i="15" s="1"/>
  <c r="AF150" i="15"/>
  <c r="AH150" i="15"/>
  <c r="AI150" i="15"/>
  <c r="AJ150" i="15"/>
  <c r="AK150" i="15"/>
  <c r="AL150" i="15"/>
  <c r="AN150" i="15"/>
  <c r="P151" i="15"/>
  <c r="R151" i="15" s="1"/>
  <c r="Q151" i="15" a="1"/>
  <c r="Q151" i="15" s="1"/>
  <c r="V151" i="15"/>
  <c r="W151" i="15" s="1"/>
  <c r="X151" i="15"/>
  <c r="Y151" i="15"/>
  <c r="Z151" i="15"/>
  <c r="AA151" i="15"/>
  <c r="AB151" i="15"/>
  <c r="AC151" i="15"/>
  <c r="AD151" i="15" s="1"/>
  <c r="AF151" i="15"/>
  <c r="AH151" i="15"/>
  <c r="AI151" i="15"/>
  <c r="AJ151" i="15"/>
  <c r="AK151" i="15"/>
  <c r="AL151" i="15" s="1"/>
  <c r="AN151" i="15"/>
  <c r="P152" i="15"/>
  <c r="R152" i="15" s="1"/>
  <c r="Q152" i="15" a="1"/>
  <c r="Q152" i="15" s="1"/>
  <c r="V152" i="15"/>
  <c r="W152" i="15" s="1"/>
  <c r="X152" i="15"/>
  <c r="Y152" i="15"/>
  <c r="Z152" i="15"/>
  <c r="AA152" i="15"/>
  <c r="AB152" i="15"/>
  <c r="AC152" i="15"/>
  <c r="AD152" i="15" s="1"/>
  <c r="AF152" i="15"/>
  <c r="AH152" i="15"/>
  <c r="AI152" i="15"/>
  <c r="AJ152" i="15"/>
  <c r="AK152" i="15"/>
  <c r="AL152" i="15"/>
  <c r="AN152" i="15"/>
  <c r="P153" i="15"/>
  <c r="R153" i="15" s="1"/>
  <c r="Q153" i="15" a="1"/>
  <c r="Q153" i="15" s="1"/>
  <c r="V153" i="15"/>
  <c r="W153" i="15" s="1"/>
  <c r="X153" i="15"/>
  <c r="Y153" i="15"/>
  <c r="Z153" i="15"/>
  <c r="AA153" i="15"/>
  <c r="AB153" i="15"/>
  <c r="AC153" i="15"/>
  <c r="AD153" i="15"/>
  <c r="AF153" i="15"/>
  <c r="AH153" i="15"/>
  <c r="AI153" i="15"/>
  <c r="AJ153" i="15"/>
  <c r="AK153" i="15"/>
  <c r="AL153" i="15" s="1"/>
  <c r="AN153" i="15"/>
  <c r="P154" i="15"/>
  <c r="Q154" i="15" a="1"/>
  <c r="Q154" i="15" s="1"/>
  <c r="R154" i="15"/>
  <c r="V154" i="15"/>
  <c r="W154" i="15" s="1"/>
  <c r="X154" i="15"/>
  <c r="Y154" i="15"/>
  <c r="Z154" i="15"/>
  <c r="AA154" i="15"/>
  <c r="AB154" i="15"/>
  <c r="AC154" i="15"/>
  <c r="AD154" i="15" s="1"/>
  <c r="AF154" i="15"/>
  <c r="AH154" i="15"/>
  <c r="AI154" i="15"/>
  <c r="AJ154" i="15"/>
  <c r="AK154" i="15"/>
  <c r="AL154" i="15" s="1"/>
  <c r="AN154" i="15"/>
  <c r="P155" i="15"/>
  <c r="R155" i="15" s="1"/>
  <c r="Q155" i="15" a="1"/>
  <c r="Q155" i="15" s="1"/>
  <c r="V155" i="15"/>
  <c r="W155" i="15"/>
  <c r="X155" i="15"/>
  <c r="Y155" i="15"/>
  <c r="Z155" i="15"/>
  <c r="AA155" i="15"/>
  <c r="AB155" i="15"/>
  <c r="AC155" i="15"/>
  <c r="AD155" i="15" s="1"/>
  <c r="AF155" i="15"/>
  <c r="AH155" i="15"/>
  <c r="AI155" i="15"/>
  <c r="AJ155" i="15"/>
  <c r="AK155" i="15"/>
  <c r="AL155" i="15" s="1"/>
  <c r="AN155" i="15"/>
  <c r="P156" i="15"/>
  <c r="R156" i="15" s="1"/>
  <c r="Q156" i="15" a="1"/>
  <c r="Q156" i="15" s="1"/>
  <c r="V156" i="15"/>
  <c r="W156" i="15" s="1"/>
  <c r="X156" i="15"/>
  <c r="Y156" i="15"/>
  <c r="Z156" i="15"/>
  <c r="AA156" i="15"/>
  <c r="AB156" i="15"/>
  <c r="AC156" i="15"/>
  <c r="AD156" i="15" s="1"/>
  <c r="AF156" i="15"/>
  <c r="AH156" i="15"/>
  <c r="AI156" i="15"/>
  <c r="AJ156" i="15"/>
  <c r="AK156" i="15"/>
  <c r="AL156" i="15" s="1"/>
  <c r="AN156" i="15"/>
  <c r="P157" i="15"/>
  <c r="Q157" i="15" a="1"/>
  <c r="Q157" i="15" s="1"/>
  <c r="R157" i="15"/>
  <c r="V157" i="15"/>
  <c r="W157" i="15" s="1"/>
  <c r="X157" i="15"/>
  <c r="Y157" i="15"/>
  <c r="Z157" i="15"/>
  <c r="AA157" i="15"/>
  <c r="AB157" i="15"/>
  <c r="AC157" i="15"/>
  <c r="AD157" i="15" s="1"/>
  <c r="AF157" i="15"/>
  <c r="AH157" i="15"/>
  <c r="AI157" i="15"/>
  <c r="AJ157" i="15"/>
  <c r="AK157" i="15"/>
  <c r="AL157" i="15" s="1"/>
  <c r="AN157" i="15"/>
  <c r="P158" i="15"/>
  <c r="R158" i="15" s="1"/>
  <c r="Q158" i="15" a="1"/>
  <c r="Q158" i="15" s="1"/>
  <c r="V158" i="15"/>
  <c r="W158" i="15" s="1"/>
  <c r="X158" i="15"/>
  <c r="Y158" i="15"/>
  <c r="Z158" i="15"/>
  <c r="AA158" i="15"/>
  <c r="AB158" i="15"/>
  <c r="AC158" i="15"/>
  <c r="AD158" i="15" s="1"/>
  <c r="AF158" i="15"/>
  <c r="AH158" i="15"/>
  <c r="AI158" i="15"/>
  <c r="AJ158" i="15"/>
  <c r="AK158" i="15"/>
  <c r="AL158" i="15"/>
  <c r="AN158" i="15"/>
  <c r="P159" i="15"/>
  <c r="R159" i="15" s="1"/>
  <c r="Q159" i="15" a="1"/>
  <c r="Q159" i="15" s="1"/>
  <c r="V159" i="15"/>
  <c r="W159" i="15" s="1"/>
  <c r="X159" i="15"/>
  <c r="Y159" i="15"/>
  <c r="Z159" i="15"/>
  <c r="AA159" i="15"/>
  <c r="AB159" i="15"/>
  <c r="AC159" i="15"/>
  <c r="AD159" i="15" s="1"/>
  <c r="AF159" i="15"/>
  <c r="AH159" i="15"/>
  <c r="AI159" i="15"/>
  <c r="AJ159" i="15"/>
  <c r="AK159" i="15"/>
  <c r="AL159" i="15" s="1"/>
  <c r="AN159" i="15"/>
  <c r="P160" i="15"/>
  <c r="R160" i="15" s="1"/>
  <c r="Q160" i="15" a="1"/>
  <c r="Q160" i="15"/>
  <c r="V160" i="15"/>
  <c r="W160" i="15" s="1"/>
  <c r="X160" i="15"/>
  <c r="Y160" i="15"/>
  <c r="Z160" i="15"/>
  <c r="AA160" i="15"/>
  <c r="AB160" i="15"/>
  <c r="AC160" i="15"/>
  <c r="AD160" i="15"/>
  <c r="AF160" i="15"/>
  <c r="AH160" i="15"/>
  <c r="AI160" i="15"/>
  <c r="AJ160" i="15"/>
  <c r="AK160" i="15"/>
  <c r="AL160" i="15"/>
  <c r="AN160" i="15"/>
  <c r="P161" i="15"/>
  <c r="R161" i="15" s="1"/>
  <c r="Q161" i="15" a="1"/>
  <c r="Q161" i="15"/>
  <c r="V161" i="15"/>
  <c r="W161" i="15"/>
  <c r="X161" i="15"/>
  <c r="Y161" i="15"/>
  <c r="Z161" i="15"/>
  <c r="AA161" i="15"/>
  <c r="AB161" i="15"/>
  <c r="AC161" i="15"/>
  <c r="AD161" i="15" s="1"/>
  <c r="AF161" i="15"/>
  <c r="AH161" i="15"/>
  <c r="AI161" i="15"/>
  <c r="AJ161" i="15"/>
  <c r="AK161" i="15"/>
  <c r="AL161" i="15" s="1"/>
  <c r="AN161" i="15"/>
  <c r="P162" i="15"/>
  <c r="R162" i="15" s="1"/>
  <c r="Q162" i="15" a="1"/>
  <c r="Q162" i="15"/>
  <c r="V162" i="15"/>
  <c r="W162" i="15" s="1"/>
  <c r="X162" i="15"/>
  <c r="Y162" i="15"/>
  <c r="Z162" i="15"/>
  <c r="AA162" i="15"/>
  <c r="AB162" i="15"/>
  <c r="AC162" i="15"/>
  <c r="AD162" i="15" s="1"/>
  <c r="AF162" i="15"/>
  <c r="AH162" i="15"/>
  <c r="AI162" i="15"/>
  <c r="AJ162" i="15"/>
  <c r="AK162" i="15"/>
  <c r="AL162" i="15" s="1"/>
  <c r="AN162" i="15"/>
  <c r="P163" i="15"/>
  <c r="R163" i="15" s="1"/>
  <c r="Q163" i="15" a="1"/>
  <c r="Q163" i="15" s="1"/>
  <c r="V163" i="15"/>
  <c r="W163" i="15" s="1"/>
  <c r="X163" i="15"/>
  <c r="Y163" i="15"/>
  <c r="Z163" i="15"/>
  <c r="AA163" i="15"/>
  <c r="AB163" i="15"/>
  <c r="AC163" i="15"/>
  <c r="AD163" i="15" s="1"/>
  <c r="AF163" i="15"/>
  <c r="AH163" i="15"/>
  <c r="AI163" i="15"/>
  <c r="AJ163" i="15"/>
  <c r="AK163" i="15"/>
  <c r="AL163" i="15"/>
  <c r="AN163" i="15"/>
  <c r="P164" i="15"/>
  <c r="R164" i="15" s="1"/>
  <c r="Q164" i="15" a="1"/>
  <c r="Q164" i="15" s="1"/>
  <c r="V164" i="15"/>
  <c r="W164" i="15" s="1"/>
  <c r="X164" i="15"/>
  <c r="Y164" i="15"/>
  <c r="Z164" i="15"/>
  <c r="AA164" i="15"/>
  <c r="AB164" i="15"/>
  <c r="AC164" i="15"/>
  <c r="AD164" i="15" s="1"/>
  <c r="AF164" i="15"/>
  <c r="AH164" i="15"/>
  <c r="AI164" i="15"/>
  <c r="AJ164" i="15"/>
  <c r="AK164" i="15"/>
  <c r="AL164" i="15" s="1"/>
  <c r="AN164" i="15"/>
  <c r="P165" i="15"/>
  <c r="R165" i="15" s="1"/>
  <c r="Q165" i="15" a="1"/>
  <c r="Q165" i="15" s="1"/>
  <c r="V165" i="15"/>
  <c r="W165" i="15" s="1"/>
  <c r="X165" i="15"/>
  <c r="Y165" i="15"/>
  <c r="Z165" i="15"/>
  <c r="AA165" i="15"/>
  <c r="AB165" i="15"/>
  <c r="AC165" i="15"/>
  <c r="AD165" i="15" s="1"/>
  <c r="AF165" i="15"/>
  <c r="AH165" i="15"/>
  <c r="AI165" i="15"/>
  <c r="AJ165" i="15"/>
  <c r="AK165" i="15"/>
  <c r="AL165" i="15" s="1"/>
  <c r="AN165" i="15"/>
  <c r="P166" i="15"/>
  <c r="R166" i="15" s="1"/>
  <c r="Q166" i="15" a="1"/>
  <c r="Q166" i="15" s="1"/>
  <c r="V166" i="15"/>
  <c r="W166" i="15" s="1"/>
  <c r="X166" i="15"/>
  <c r="Y166" i="15"/>
  <c r="Z166" i="15"/>
  <c r="AA166" i="15"/>
  <c r="AB166" i="15"/>
  <c r="AC166" i="15"/>
  <c r="AD166" i="15" s="1"/>
  <c r="AF166" i="15"/>
  <c r="AH166" i="15"/>
  <c r="AI166" i="15"/>
  <c r="AJ166" i="15"/>
  <c r="AK166" i="15"/>
  <c r="AL166" i="15" s="1"/>
  <c r="AN166" i="15"/>
  <c r="P167" i="15"/>
  <c r="R167" i="15" s="1"/>
  <c r="Q167" i="15" a="1"/>
  <c r="Q167" i="15" s="1"/>
  <c r="V167" i="15"/>
  <c r="W167" i="15"/>
  <c r="X167" i="15"/>
  <c r="Y167" i="15"/>
  <c r="Z167" i="15"/>
  <c r="AA167" i="15"/>
  <c r="AB167" i="15"/>
  <c r="AC167" i="15"/>
  <c r="AD167" i="15"/>
  <c r="AF167" i="15"/>
  <c r="AH167" i="15"/>
  <c r="AI167" i="15"/>
  <c r="AJ167" i="15"/>
  <c r="AK167" i="15"/>
  <c r="AL167" i="15" s="1"/>
  <c r="AN167" i="15"/>
  <c r="P168" i="15"/>
  <c r="Q168" i="15" a="1"/>
  <c r="Q168" i="15" s="1"/>
  <c r="R168" i="15"/>
  <c r="V168" i="15"/>
  <c r="W168" i="15" s="1"/>
  <c r="X168" i="15"/>
  <c r="Y168" i="15"/>
  <c r="Z168" i="15"/>
  <c r="AA168" i="15"/>
  <c r="AB168" i="15"/>
  <c r="AC168" i="15"/>
  <c r="AD168" i="15" s="1"/>
  <c r="AF168" i="15"/>
  <c r="AH168" i="15"/>
  <c r="AI168" i="15"/>
  <c r="AJ168" i="15"/>
  <c r="AK168" i="15"/>
  <c r="AL168" i="15" s="1"/>
  <c r="AN168" i="15"/>
  <c r="P169" i="15"/>
  <c r="R169" i="15" s="1"/>
  <c r="Q169" i="15" a="1"/>
  <c r="Q169" i="15" s="1"/>
  <c r="V169" i="15"/>
  <c r="W169" i="15" s="1"/>
  <c r="X169" i="15"/>
  <c r="Y169" i="15"/>
  <c r="Z169" i="15"/>
  <c r="AA169" i="15"/>
  <c r="AB169" i="15"/>
  <c r="AC169" i="15"/>
  <c r="AD169" i="15"/>
  <c r="AF169" i="15"/>
  <c r="AH169" i="15"/>
  <c r="AI169" i="15"/>
  <c r="AJ169" i="15"/>
  <c r="AK169" i="15"/>
  <c r="AL169" i="15"/>
  <c r="AN169" i="15"/>
  <c r="P170" i="15"/>
  <c r="Q170" i="15" a="1"/>
  <c r="Q170" i="15"/>
  <c r="R170" i="15"/>
  <c r="V170" i="15"/>
  <c r="W170" i="15"/>
  <c r="X170" i="15"/>
  <c r="Y170" i="15"/>
  <c r="Z170" i="15"/>
  <c r="AA170" i="15"/>
  <c r="AB170" i="15"/>
  <c r="AC170" i="15"/>
  <c r="AD170" i="15"/>
  <c r="AF170" i="15"/>
  <c r="AH170" i="15"/>
  <c r="AI170" i="15"/>
  <c r="AJ170" i="15"/>
  <c r="AK170" i="15"/>
  <c r="AL170" i="15" s="1"/>
  <c r="AN170" i="15"/>
  <c r="P171" i="15"/>
  <c r="R171" i="15" s="1"/>
  <c r="Q171" i="15" a="1"/>
  <c r="Q171" i="15" s="1"/>
  <c r="V171" i="15"/>
  <c r="W171" i="15"/>
  <c r="X171" i="15"/>
  <c r="Y171" i="15"/>
  <c r="Z171" i="15"/>
  <c r="AA171" i="15"/>
  <c r="AB171" i="15"/>
  <c r="AC171" i="15"/>
  <c r="AD171" i="15" s="1"/>
  <c r="AF171" i="15"/>
  <c r="AH171" i="15"/>
  <c r="AI171" i="15"/>
  <c r="AJ171" i="15"/>
  <c r="AK171" i="15"/>
  <c r="AL171" i="15" s="1"/>
  <c r="AN171" i="15"/>
  <c r="P172" i="15"/>
  <c r="R172" i="15" s="1"/>
  <c r="Q172" i="15" a="1"/>
  <c r="Q172" i="15" s="1"/>
  <c r="V172" i="15"/>
  <c r="W172" i="15" s="1"/>
  <c r="X172" i="15"/>
  <c r="Y172" i="15"/>
  <c r="Z172" i="15"/>
  <c r="AA172" i="15"/>
  <c r="AB172" i="15"/>
  <c r="AC172" i="15"/>
  <c r="AD172" i="15" s="1"/>
  <c r="AF172" i="15"/>
  <c r="AH172" i="15"/>
  <c r="AI172" i="15"/>
  <c r="AJ172" i="15"/>
  <c r="AK172" i="15"/>
  <c r="AL172" i="15" s="1"/>
  <c r="AN172" i="15"/>
  <c r="P173" i="15"/>
  <c r="R173" i="15" s="1"/>
  <c r="Q173" i="15" a="1"/>
  <c r="Q173" i="15" s="1"/>
  <c r="V173" i="15"/>
  <c r="W173" i="15" s="1"/>
  <c r="X173" i="15"/>
  <c r="Y173" i="15"/>
  <c r="Z173" i="15"/>
  <c r="AA173" i="15"/>
  <c r="AB173" i="15"/>
  <c r="AC173" i="15"/>
  <c r="AD173" i="15" s="1"/>
  <c r="AF173" i="15"/>
  <c r="AH173" i="15"/>
  <c r="AI173" i="15"/>
  <c r="AJ173" i="15"/>
  <c r="AK173" i="15"/>
  <c r="AL173" i="15" s="1"/>
  <c r="AN173" i="15"/>
  <c r="P174" i="15"/>
  <c r="R174" i="15" s="1"/>
  <c r="Q174" i="15" a="1"/>
  <c r="Q174" i="15" s="1"/>
  <c r="V174" i="15"/>
  <c r="W174" i="15" s="1"/>
  <c r="X174" i="15"/>
  <c r="Y174" i="15"/>
  <c r="Z174" i="15"/>
  <c r="AA174" i="15"/>
  <c r="AB174" i="15"/>
  <c r="AC174" i="15"/>
  <c r="AD174" i="15"/>
  <c r="AF174" i="15"/>
  <c r="AH174" i="15"/>
  <c r="AI174" i="15"/>
  <c r="AJ174" i="15"/>
  <c r="AK174" i="15"/>
  <c r="AL174" i="15"/>
  <c r="AN174" i="15"/>
  <c r="P175" i="15"/>
  <c r="R175" i="15" s="1"/>
  <c r="Q175" i="15" a="1"/>
  <c r="Q175" i="15"/>
  <c r="V175" i="15"/>
  <c r="W175" i="15" s="1"/>
  <c r="X175" i="15"/>
  <c r="Y175" i="15"/>
  <c r="Z175" i="15"/>
  <c r="AA175" i="15"/>
  <c r="AB175" i="15"/>
  <c r="AC175" i="15"/>
  <c r="AD175" i="15" s="1"/>
  <c r="AF175" i="15"/>
  <c r="AH175" i="15"/>
  <c r="AI175" i="15"/>
  <c r="AJ175" i="15"/>
  <c r="AK175" i="15"/>
  <c r="AL175" i="15"/>
  <c r="AN175" i="15"/>
  <c r="P176" i="15"/>
  <c r="R176" i="15" s="1"/>
  <c r="Q176" i="15" a="1"/>
  <c r="Q176" i="15" s="1"/>
  <c r="V176" i="15"/>
  <c r="W176" i="15" s="1"/>
  <c r="X176" i="15"/>
  <c r="Y176" i="15"/>
  <c r="Z176" i="15"/>
  <c r="AA176" i="15"/>
  <c r="AB176" i="15"/>
  <c r="AC176" i="15"/>
  <c r="AD176" i="15" s="1"/>
  <c r="AF176" i="15"/>
  <c r="AH176" i="15"/>
  <c r="AI176" i="15"/>
  <c r="AJ176" i="15"/>
  <c r="AK176" i="15"/>
  <c r="AL176" i="15" s="1"/>
  <c r="AN176" i="15"/>
  <c r="P177" i="15"/>
  <c r="R177" i="15" s="1"/>
  <c r="Q177" i="15" a="1"/>
  <c r="Q177" i="15" s="1"/>
  <c r="V177" i="15"/>
  <c r="W177" i="15" s="1"/>
  <c r="X177" i="15"/>
  <c r="Y177" i="15"/>
  <c r="Z177" i="15"/>
  <c r="AA177" i="15"/>
  <c r="AB177" i="15"/>
  <c r="AC177" i="15"/>
  <c r="AD177" i="15" s="1"/>
  <c r="AF177" i="15"/>
  <c r="AH177" i="15"/>
  <c r="AI177" i="15"/>
  <c r="AJ177" i="15"/>
  <c r="AK177" i="15"/>
  <c r="AL177" i="15" s="1"/>
  <c r="AN177" i="15"/>
  <c r="P178" i="15"/>
  <c r="R178" i="15" s="1"/>
  <c r="Q178" i="15" a="1"/>
  <c r="Q178" i="15" s="1"/>
  <c r="V178" i="15"/>
  <c r="W178" i="15" s="1"/>
  <c r="X178" i="15"/>
  <c r="Y178" i="15"/>
  <c r="Z178" i="15"/>
  <c r="AA178" i="15"/>
  <c r="AB178" i="15"/>
  <c r="AC178" i="15"/>
  <c r="AD178" i="15" s="1"/>
  <c r="AF178" i="15"/>
  <c r="AH178" i="15"/>
  <c r="AI178" i="15"/>
  <c r="AJ178" i="15"/>
  <c r="AK178" i="15"/>
  <c r="AL178" i="15" s="1"/>
  <c r="AN178" i="15"/>
  <c r="P179" i="15"/>
  <c r="R179" i="15" s="1"/>
  <c r="Q179" i="15" a="1"/>
  <c r="Q179" i="15"/>
  <c r="V179" i="15"/>
  <c r="W179" i="15" s="1"/>
  <c r="X179" i="15"/>
  <c r="Y179" i="15"/>
  <c r="Z179" i="15"/>
  <c r="AA179" i="15"/>
  <c r="AB179" i="15"/>
  <c r="AC179" i="15"/>
  <c r="AD179" i="15" s="1"/>
  <c r="AF179" i="15"/>
  <c r="AH179" i="15"/>
  <c r="AI179" i="15"/>
  <c r="AJ179" i="15"/>
  <c r="AK179" i="15"/>
  <c r="AL179" i="15" s="1"/>
  <c r="AN179" i="15"/>
  <c r="P180" i="15"/>
  <c r="R180" i="15" s="1"/>
  <c r="Q180" i="15" a="1"/>
  <c r="Q180" i="15" s="1"/>
  <c r="V180" i="15"/>
  <c r="W180" i="15" s="1"/>
  <c r="X180" i="15"/>
  <c r="Y180" i="15"/>
  <c r="Z180" i="15"/>
  <c r="AA180" i="15"/>
  <c r="AB180" i="15"/>
  <c r="AC180" i="15"/>
  <c r="AD180" i="15"/>
  <c r="AF180" i="15"/>
  <c r="AH180" i="15"/>
  <c r="AI180" i="15"/>
  <c r="AJ180" i="15"/>
  <c r="AK180" i="15"/>
  <c r="AL180" i="15" s="1"/>
  <c r="AN180" i="15"/>
  <c r="P181" i="15"/>
  <c r="R181" i="15" s="1"/>
  <c r="Q181" i="15" a="1"/>
  <c r="Q181" i="15"/>
  <c r="V181" i="15"/>
  <c r="W181" i="15" s="1"/>
  <c r="X181" i="15"/>
  <c r="Y181" i="15"/>
  <c r="Z181" i="15"/>
  <c r="AA181" i="15"/>
  <c r="AB181" i="15"/>
  <c r="AC181" i="15"/>
  <c r="AD181" i="15" s="1"/>
  <c r="AF181" i="15"/>
  <c r="AH181" i="15"/>
  <c r="AI181" i="15"/>
  <c r="AJ181" i="15"/>
  <c r="AK181" i="15"/>
  <c r="AL181" i="15" s="1"/>
  <c r="AN181" i="15"/>
  <c r="P182" i="15"/>
  <c r="R182" i="15" s="1"/>
  <c r="Q182" i="15" a="1"/>
  <c r="Q182" i="15"/>
  <c r="V182" i="15"/>
  <c r="W182" i="15" s="1"/>
  <c r="X182" i="15"/>
  <c r="Y182" i="15"/>
  <c r="Z182" i="15"/>
  <c r="AA182" i="15"/>
  <c r="AB182" i="15"/>
  <c r="AC182" i="15"/>
  <c r="AD182" i="15" s="1"/>
  <c r="AF182" i="15"/>
  <c r="AH182" i="15"/>
  <c r="AI182" i="15"/>
  <c r="AJ182" i="15"/>
  <c r="AK182" i="15"/>
  <c r="AL182" i="15" s="1"/>
  <c r="AN182" i="15"/>
  <c r="P183" i="15"/>
  <c r="Q183" i="15" a="1"/>
  <c r="Q183" i="15" s="1"/>
  <c r="R183" i="15"/>
  <c r="V183" i="15"/>
  <c r="W183" i="15" s="1"/>
  <c r="X183" i="15"/>
  <c r="Y183" i="15"/>
  <c r="Z183" i="15"/>
  <c r="AA183" i="15"/>
  <c r="AB183" i="15"/>
  <c r="AC183" i="15"/>
  <c r="AD183" i="15" s="1"/>
  <c r="AF183" i="15"/>
  <c r="AH183" i="15"/>
  <c r="AI183" i="15"/>
  <c r="AJ183" i="15"/>
  <c r="AK183" i="15"/>
  <c r="AL183" i="15" s="1"/>
  <c r="AN183" i="15"/>
  <c r="P184" i="15"/>
  <c r="R184" i="15" s="1"/>
  <c r="Q184" i="15" a="1"/>
  <c r="Q184" i="15" s="1"/>
  <c r="V184" i="15"/>
  <c r="W184" i="15" s="1"/>
  <c r="X184" i="15"/>
  <c r="Y184" i="15"/>
  <c r="Z184" i="15"/>
  <c r="AA184" i="15"/>
  <c r="AB184" i="15"/>
  <c r="AC184" i="15"/>
  <c r="AD184" i="15" s="1"/>
  <c r="AF184" i="15"/>
  <c r="AH184" i="15"/>
  <c r="AI184" i="15"/>
  <c r="AJ184" i="15"/>
  <c r="AK184" i="15"/>
  <c r="AL184" i="15"/>
  <c r="AN184" i="15"/>
  <c r="P185" i="15"/>
  <c r="R185" i="15" s="1"/>
  <c r="Q185" i="15" a="1"/>
  <c r="Q185" i="15" s="1"/>
  <c r="V185" i="15"/>
  <c r="W185" i="15" s="1"/>
  <c r="X185" i="15"/>
  <c r="Y185" i="15"/>
  <c r="Z185" i="15"/>
  <c r="AA185" i="15"/>
  <c r="AB185" i="15"/>
  <c r="AC185" i="15"/>
  <c r="AD185" i="15" s="1"/>
  <c r="AF185" i="15"/>
  <c r="AH185" i="15"/>
  <c r="AI185" i="15"/>
  <c r="AJ185" i="15"/>
  <c r="AK185" i="15"/>
  <c r="AL185" i="15"/>
  <c r="AN185" i="15"/>
  <c r="P186" i="15"/>
  <c r="R186" i="15" s="1"/>
  <c r="Q186" i="15" a="1"/>
  <c r="Q186" i="15" s="1"/>
  <c r="V186" i="15"/>
  <c r="W186" i="15" s="1"/>
  <c r="X186" i="15"/>
  <c r="Y186" i="15"/>
  <c r="Z186" i="15"/>
  <c r="AA186" i="15"/>
  <c r="AB186" i="15"/>
  <c r="AC186" i="15"/>
  <c r="AD186" i="15" s="1"/>
  <c r="AF186" i="15"/>
  <c r="AH186" i="15"/>
  <c r="AI186" i="15"/>
  <c r="AJ186" i="15"/>
  <c r="AK186" i="15"/>
  <c r="AL186" i="15" s="1"/>
  <c r="AN186" i="15"/>
  <c r="P187" i="15"/>
  <c r="R187" i="15" s="1"/>
  <c r="Q187" i="15" a="1"/>
  <c r="Q187" i="15" s="1"/>
  <c r="V187" i="15"/>
  <c r="W187" i="15" s="1"/>
  <c r="X187" i="15"/>
  <c r="Y187" i="15"/>
  <c r="Z187" i="15"/>
  <c r="AA187" i="15"/>
  <c r="AB187" i="15"/>
  <c r="AC187" i="15"/>
  <c r="AD187" i="15"/>
  <c r="AF187" i="15"/>
  <c r="AH187" i="15"/>
  <c r="AI187" i="15"/>
  <c r="AJ187" i="15"/>
  <c r="AK187" i="15"/>
  <c r="AL187" i="15" s="1"/>
  <c r="AN187" i="15"/>
  <c r="P188" i="15"/>
  <c r="R188" i="15" s="1"/>
  <c r="Q188" i="15" a="1"/>
  <c r="Q188" i="15"/>
  <c r="V188" i="15"/>
  <c r="W188" i="15" s="1"/>
  <c r="X188" i="15"/>
  <c r="Y188" i="15"/>
  <c r="Z188" i="15"/>
  <c r="AA188" i="15"/>
  <c r="AB188" i="15"/>
  <c r="AC188" i="15"/>
  <c r="AD188" i="15" s="1"/>
  <c r="AF188" i="15"/>
  <c r="AH188" i="15"/>
  <c r="AI188" i="15"/>
  <c r="AJ188" i="15"/>
  <c r="AK188" i="15"/>
  <c r="AL188" i="15" s="1"/>
  <c r="AN188" i="15"/>
  <c r="P189" i="15"/>
  <c r="R189" i="15" s="1"/>
  <c r="Q189" i="15" a="1"/>
  <c r="Q189" i="15" s="1"/>
  <c r="V189" i="15"/>
  <c r="W189" i="15" s="1"/>
  <c r="X189" i="15"/>
  <c r="Y189" i="15"/>
  <c r="Z189" i="15"/>
  <c r="AA189" i="15"/>
  <c r="AB189" i="15"/>
  <c r="AC189" i="15"/>
  <c r="AD189" i="15" s="1"/>
  <c r="AF189" i="15"/>
  <c r="AH189" i="15"/>
  <c r="AI189" i="15"/>
  <c r="AJ189" i="15"/>
  <c r="AK189" i="15"/>
  <c r="AL189" i="15" s="1"/>
  <c r="AN189" i="15"/>
  <c r="P190" i="15"/>
  <c r="Q190" i="15" a="1"/>
  <c r="Q190" i="15" s="1"/>
  <c r="R190" i="15"/>
  <c r="V190" i="15"/>
  <c r="W190" i="15" s="1"/>
  <c r="X190" i="15"/>
  <c r="Y190" i="15"/>
  <c r="Z190" i="15"/>
  <c r="AA190" i="15"/>
  <c r="AB190" i="15"/>
  <c r="AC190" i="15"/>
  <c r="AD190" i="15"/>
  <c r="AF190" i="15"/>
  <c r="AH190" i="15"/>
  <c r="AI190" i="15"/>
  <c r="AJ190" i="15"/>
  <c r="AK190" i="15"/>
  <c r="AL190" i="15" s="1"/>
  <c r="AN190" i="15"/>
  <c r="P191" i="15"/>
  <c r="Q191" i="15" a="1"/>
  <c r="Q191" i="15"/>
  <c r="R191" i="15"/>
  <c r="V191" i="15"/>
  <c r="W191" i="15" s="1"/>
  <c r="X191" i="15"/>
  <c r="Y191" i="15"/>
  <c r="Z191" i="15"/>
  <c r="AA191" i="15"/>
  <c r="AB191" i="15"/>
  <c r="AC191" i="15"/>
  <c r="AD191" i="15"/>
  <c r="AF191" i="15"/>
  <c r="AH191" i="15"/>
  <c r="AI191" i="15"/>
  <c r="AJ191" i="15"/>
  <c r="AK191" i="15"/>
  <c r="AL191" i="15"/>
  <c r="AN191" i="15"/>
  <c r="P192" i="15"/>
  <c r="R192" i="15" s="1"/>
  <c r="Q192" i="15" a="1"/>
  <c r="Q192" i="15" s="1"/>
  <c r="V192" i="15"/>
  <c r="W192" i="15"/>
  <c r="X192" i="15"/>
  <c r="Y192" i="15"/>
  <c r="Z192" i="15"/>
  <c r="AA192" i="15"/>
  <c r="AB192" i="15"/>
  <c r="AC192" i="15"/>
  <c r="AD192" i="15"/>
  <c r="AF192" i="15"/>
  <c r="AH192" i="15"/>
  <c r="AI192" i="15"/>
  <c r="AJ192" i="15"/>
  <c r="AK192" i="15"/>
  <c r="AL192" i="15" s="1"/>
  <c r="AN192" i="15"/>
  <c r="P193" i="15"/>
  <c r="R193" i="15" s="1"/>
  <c r="Q193" i="15" a="1"/>
  <c r="Q193" i="15"/>
  <c r="V193" i="15"/>
  <c r="W193" i="15" s="1"/>
  <c r="X193" i="15"/>
  <c r="Y193" i="15"/>
  <c r="Z193" i="15"/>
  <c r="AA193" i="15"/>
  <c r="AB193" i="15"/>
  <c r="AC193" i="15"/>
  <c r="AD193" i="15" s="1"/>
  <c r="AF193" i="15"/>
  <c r="AH193" i="15"/>
  <c r="AI193" i="15"/>
  <c r="AJ193" i="15"/>
  <c r="AK193" i="15"/>
  <c r="AL193" i="15" s="1"/>
  <c r="AN193" i="15"/>
  <c r="P194" i="15"/>
  <c r="Q194" i="15" a="1"/>
  <c r="Q194" i="15" s="1"/>
  <c r="R194" i="15"/>
  <c r="V194" i="15"/>
  <c r="W194" i="15" s="1"/>
  <c r="X194" i="15"/>
  <c r="Y194" i="15"/>
  <c r="Z194" i="15"/>
  <c r="AA194" i="15"/>
  <c r="AB194" i="15"/>
  <c r="AC194" i="15"/>
  <c r="AD194" i="15" s="1"/>
  <c r="AF194" i="15"/>
  <c r="AH194" i="15"/>
  <c r="AI194" i="15"/>
  <c r="AJ194" i="15"/>
  <c r="AK194" i="15"/>
  <c r="AL194" i="15" s="1"/>
  <c r="AN194" i="15"/>
  <c r="P195" i="15"/>
  <c r="R195" i="15" s="1"/>
  <c r="Q195" i="15" a="1"/>
  <c r="Q195" i="15" s="1"/>
  <c r="V195" i="15"/>
  <c r="W195" i="15" s="1"/>
  <c r="X195" i="15"/>
  <c r="Y195" i="15"/>
  <c r="Z195" i="15"/>
  <c r="AA195" i="15"/>
  <c r="AB195" i="15"/>
  <c r="AC195" i="15"/>
  <c r="AD195" i="15" s="1"/>
  <c r="AF195" i="15"/>
  <c r="AH195" i="15"/>
  <c r="AI195" i="15"/>
  <c r="AJ195" i="15"/>
  <c r="AK195" i="15"/>
  <c r="AL195" i="15" s="1"/>
  <c r="AN195" i="15"/>
  <c r="P196" i="15"/>
  <c r="R196" i="15" s="1"/>
  <c r="Q196" i="15" a="1"/>
  <c r="Q196" i="15" s="1"/>
  <c r="V196" i="15"/>
  <c r="W196" i="15" s="1"/>
  <c r="X196" i="15"/>
  <c r="Y196" i="15"/>
  <c r="Z196" i="15"/>
  <c r="AA196" i="15"/>
  <c r="AB196" i="15"/>
  <c r="AC196" i="15"/>
  <c r="AD196" i="15"/>
  <c r="AF196" i="15"/>
  <c r="AH196" i="15"/>
  <c r="AI196" i="15"/>
  <c r="AJ196" i="15"/>
  <c r="AK196" i="15"/>
  <c r="AL196" i="15"/>
  <c r="AN196" i="15"/>
  <c r="P197" i="15"/>
  <c r="R197" i="15" s="1"/>
  <c r="Q197" i="15" a="1"/>
  <c r="Q197" i="15"/>
  <c r="V197" i="15"/>
  <c r="W197" i="15" s="1"/>
  <c r="X197" i="15"/>
  <c r="Y197" i="15"/>
  <c r="Z197" i="15"/>
  <c r="AA197" i="15"/>
  <c r="AB197" i="15"/>
  <c r="AC197" i="15"/>
  <c r="AD197" i="15" s="1"/>
  <c r="AF197" i="15"/>
  <c r="AH197" i="15"/>
  <c r="AI197" i="15"/>
  <c r="AJ197" i="15"/>
  <c r="AK197" i="15"/>
  <c r="AL197" i="15"/>
  <c r="AN197" i="15"/>
  <c r="P198" i="15"/>
  <c r="R198" i="15" s="1"/>
  <c r="Q198" i="15" a="1"/>
  <c r="Q198" i="15" s="1"/>
  <c r="V198" i="15"/>
  <c r="W198" i="15" s="1"/>
  <c r="X198" i="15"/>
  <c r="Y198" i="15"/>
  <c r="Z198" i="15"/>
  <c r="AA198" i="15"/>
  <c r="AB198" i="15"/>
  <c r="AC198" i="15"/>
  <c r="AD198" i="15" s="1"/>
  <c r="AF198" i="15"/>
  <c r="AH198" i="15"/>
  <c r="AI198" i="15"/>
  <c r="AJ198" i="15"/>
  <c r="AK198" i="15"/>
  <c r="AL198" i="15"/>
  <c r="AN198" i="15"/>
  <c r="P199" i="15"/>
  <c r="R199" i="15" s="1"/>
  <c r="Q199" i="15" a="1"/>
  <c r="Q199" i="15" s="1"/>
  <c r="V199" i="15"/>
  <c r="W199" i="15" s="1"/>
  <c r="X199" i="15"/>
  <c r="Y199" i="15"/>
  <c r="Z199" i="15"/>
  <c r="AA199" i="15"/>
  <c r="AB199" i="15"/>
  <c r="AC199" i="15"/>
  <c r="AD199" i="15" s="1"/>
  <c r="AF199" i="15"/>
  <c r="AH199" i="15"/>
  <c r="AI199" i="15"/>
  <c r="AJ199" i="15"/>
  <c r="AK199" i="15"/>
  <c r="AL199" i="15" s="1"/>
  <c r="AN199" i="15"/>
  <c r="P200" i="15"/>
  <c r="R200" i="15" s="1"/>
  <c r="Q200" i="15" a="1"/>
  <c r="Q200" i="15" s="1"/>
  <c r="V200" i="15"/>
  <c r="W200" i="15" s="1"/>
  <c r="X200" i="15"/>
  <c r="Y200" i="15"/>
  <c r="Z200" i="15"/>
  <c r="AA200" i="15"/>
  <c r="AB200" i="15"/>
  <c r="AC200" i="15"/>
  <c r="AD200" i="15" s="1"/>
  <c r="AF200" i="15"/>
  <c r="AH200" i="15"/>
  <c r="AI200" i="15"/>
  <c r="AJ200" i="15"/>
  <c r="AK200" i="15"/>
  <c r="AL200" i="15" s="1"/>
  <c r="AN200" i="15"/>
  <c r="P201" i="15"/>
  <c r="R201" i="15" s="1"/>
  <c r="Q201" i="15" a="1"/>
  <c r="Q201" i="15"/>
  <c r="V201" i="15"/>
  <c r="W201" i="15" s="1"/>
  <c r="X201" i="15"/>
  <c r="Y201" i="15"/>
  <c r="Z201" i="15"/>
  <c r="AA201" i="15"/>
  <c r="AB201" i="15"/>
  <c r="AC201" i="15"/>
  <c r="AD201" i="15"/>
  <c r="AF201" i="15"/>
  <c r="AH201" i="15"/>
  <c r="AI201" i="15"/>
  <c r="AJ201" i="15"/>
  <c r="AK201" i="15"/>
  <c r="AL201" i="15" s="1"/>
  <c r="AN201" i="15"/>
  <c r="P202" i="15"/>
  <c r="Q202" i="15" a="1"/>
  <c r="Q202" i="15" s="1"/>
  <c r="R202" i="15"/>
  <c r="V202" i="15"/>
  <c r="W202" i="15" s="1"/>
  <c r="X202" i="15"/>
  <c r="Y202" i="15"/>
  <c r="Z202" i="15"/>
  <c r="AA202" i="15"/>
  <c r="AB202" i="15"/>
  <c r="AC202" i="15"/>
  <c r="AD202" i="15"/>
  <c r="AF202" i="15"/>
  <c r="AH202" i="15"/>
  <c r="AI202" i="15"/>
  <c r="AJ202" i="15"/>
  <c r="AK202" i="15"/>
  <c r="AL202" i="15" s="1"/>
  <c r="AN202" i="15"/>
  <c r="P203" i="15"/>
  <c r="R203" i="15" s="1"/>
  <c r="Q203" i="15" a="1"/>
  <c r="Q203" i="15"/>
  <c r="V203" i="15"/>
  <c r="W203" i="15" s="1"/>
  <c r="X203" i="15"/>
  <c r="Y203" i="15"/>
  <c r="Z203" i="15"/>
  <c r="AA203" i="15"/>
  <c r="AB203" i="15"/>
  <c r="AC203" i="15"/>
  <c r="AD203" i="15"/>
  <c r="AF203" i="15"/>
  <c r="AH203" i="15"/>
  <c r="AI203" i="15"/>
  <c r="AJ203" i="15"/>
  <c r="AK203" i="15"/>
  <c r="AL203" i="15" s="1"/>
  <c r="AN203" i="15"/>
  <c r="P204" i="15"/>
  <c r="R204" i="15" s="1"/>
  <c r="Q204" i="15" a="1"/>
  <c r="Q204" i="15" s="1"/>
  <c r="V204" i="15"/>
  <c r="W204" i="15"/>
  <c r="X204" i="15"/>
  <c r="Y204" i="15"/>
  <c r="Z204" i="15"/>
  <c r="AA204" i="15"/>
  <c r="AB204" i="15"/>
  <c r="AC204" i="15"/>
  <c r="AD204" i="15" s="1"/>
  <c r="AF204" i="15"/>
  <c r="AH204" i="15"/>
  <c r="AI204" i="15"/>
  <c r="AJ204" i="15"/>
  <c r="AK204" i="15"/>
  <c r="AL204" i="15" s="1"/>
  <c r="AN204" i="15"/>
  <c r="P205" i="15"/>
  <c r="Q205" i="15" a="1"/>
  <c r="Q205" i="15" s="1"/>
  <c r="R205" i="15"/>
  <c r="V205" i="15"/>
  <c r="W205" i="15" s="1"/>
  <c r="X205" i="15"/>
  <c r="Y205" i="15"/>
  <c r="Z205" i="15"/>
  <c r="AA205" i="15"/>
  <c r="AB205" i="15"/>
  <c r="AC205" i="15"/>
  <c r="AD205" i="15" s="1"/>
  <c r="AF205" i="15"/>
  <c r="AH205" i="15"/>
  <c r="AI205" i="15"/>
  <c r="AJ205" i="15"/>
  <c r="AK205" i="15"/>
  <c r="AL205" i="15" s="1"/>
  <c r="AN205" i="15"/>
  <c r="P206" i="15"/>
  <c r="R206" i="15" s="1"/>
  <c r="Q206" i="15" a="1"/>
  <c r="Q206" i="15" s="1"/>
  <c r="V206" i="15"/>
  <c r="W206" i="15" s="1"/>
  <c r="X206" i="15"/>
  <c r="Y206" i="15"/>
  <c r="Z206" i="15"/>
  <c r="AA206" i="15"/>
  <c r="AB206" i="15"/>
  <c r="AC206" i="15"/>
  <c r="AD206" i="15"/>
  <c r="AF206" i="15"/>
  <c r="AH206" i="15"/>
  <c r="AI206" i="15"/>
  <c r="AJ206" i="15"/>
  <c r="AK206" i="15"/>
  <c r="AL206" i="15" s="1"/>
  <c r="AN206" i="15"/>
  <c r="P207" i="15"/>
  <c r="R207" i="15" s="1"/>
  <c r="Q207" i="15" a="1"/>
  <c r="Q207" i="15" s="1"/>
  <c r="V207" i="15"/>
  <c r="W207" i="15" s="1"/>
  <c r="X207" i="15"/>
  <c r="Y207" i="15"/>
  <c r="Z207" i="15"/>
  <c r="AA207" i="15"/>
  <c r="AB207" i="15"/>
  <c r="AC207" i="15"/>
  <c r="AD207" i="15"/>
  <c r="AF207" i="15"/>
  <c r="AH207" i="15"/>
  <c r="AI207" i="15"/>
  <c r="AJ207" i="15"/>
  <c r="AK207" i="15"/>
  <c r="AL207" i="15" s="1"/>
  <c r="AN207" i="15"/>
  <c r="P208" i="15"/>
  <c r="R208" i="15" s="1"/>
  <c r="Q208" i="15" a="1"/>
  <c r="Q208" i="15"/>
  <c r="V208" i="15"/>
  <c r="W208" i="15" s="1"/>
  <c r="X208" i="15"/>
  <c r="Y208" i="15"/>
  <c r="Z208" i="15"/>
  <c r="AA208" i="15"/>
  <c r="AB208" i="15"/>
  <c r="AC208" i="15"/>
  <c r="AD208" i="15" s="1"/>
  <c r="AF208" i="15"/>
  <c r="AH208" i="15"/>
  <c r="AI208" i="15"/>
  <c r="AJ208" i="15"/>
  <c r="AK208" i="15"/>
  <c r="AL208" i="15" s="1"/>
  <c r="AN208" i="15"/>
  <c r="P209" i="15"/>
  <c r="R209" i="15" s="1"/>
  <c r="Q209" i="15" a="1"/>
  <c r="Q209" i="15" s="1"/>
  <c r="V209" i="15"/>
  <c r="W209" i="15" s="1"/>
  <c r="X209" i="15"/>
  <c r="Y209" i="15"/>
  <c r="Z209" i="15"/>
  <c r="AA209" i="15"/>
  <c r="AB209" i="15"/>
  <c r="AC209" i="15"/>
  <c r="AD209" i="15" s="1"/>
  <c r="AF209" i="15"/>
  <c r="AH209" i="15"/>
  <c r="AI209" i="15"/>
  <c r="AJ209" i="15"/>
  <c r="AK209" i="15"/>
  <c r="AL209" i="15"/>
  <c r="AN209" i="15"/>
  <c r="P210" i="15"/>
  <c r="R210" i="15" s="1"/>
  <c r="Q210" i="15" a="1"/>
  <c r="Q210" i="15" s="1"/>
  <c r="V210" i="15"/>
  <c r="W210" i="15" s="1"/>
  <c r="X210" i="15"/>
  <c r="Y210" i="15"/>
  <c r="Z210" i="15"/>
  <c r="AA210" i="15"/>
  <c r="AB210" i="15"/>
  <c r="AC210" i="15"/>
  <c r="AD210" i="15"/>
  <c r="AF210" i="15"/>
  <c r="AH210" i="15"/>
  <c r="AI210" i="15"/>
  <c r="AJ210" i="15"/>
  <c r="AK210" i="15"/>
  <c r="AL210" i="15" s="1"/>
  <c r="AN210" i="15"/>
  <c r="P211" i="15"/>
  <c r="Q211" i="15" a="1"/>
  <c r="Q211" i="15" s="1"/>
  <c r="R211" i="15"/>
  <c r="V211" i="15"/>
  <c r="W211" i="15" s="1"/>
  <c r="X211" i="15"/>
  <c r="Y211" i="15"/>
  <c r="Z211" i="15"/>
  <c r="AA211" i="15"/>
  <c r="AB211" i="15"/>
  <c r="AC211" i="15"/>
  <c r="AD211" i="15"/>
  <c r="AF211" i="15"/>
  <c r="AH211" i="15"/>
  <c r="AI211" i="15"/>
  <c r="AJ211" i="15"/>
  <c r="AK211" i="15"/>
  <c r="AL211" i="15" s="1"/>
  <c r="AN211" i="15"/>
  <c r="P212" i="15"/>
  <c r="R212" i="15" s="1"/>
  <c r="Q212" i="15" a="1"/>
  <c r="Q212" i="15" s="1"/>
  <c r="V212" i="15"/>
  <c r="W212" i="15" s="1"/>
  <c r="X212" i="15"/>
  <c r="Y212" i="15"/>
  <c r="Z212" i="15"/>
  <c r="AA212" i="15"/>
  <c r="AB212" i="15"/>
  <c r="AC212" i="15"/>
  <c r="AD212" i="15"/>
  <c r="AF212" i="15"/>
  <c r="AH212" i="15"/>
  <c r="AI212" i="15"/>
  <c r="AJ212" i="15"/>
  <c r="AK212" i="15"/>
  <c r="AL212" i="15"/>
  <c r="AN212" i="15"/>
  <c r="P213" i="15"/>
  <c r="R213" i="15" s="1"/>
  <c r="Q213" i="15" a="1"/>
  <c r="Q213" i="15"/>
  <c r="V213" i="15"/>
  <c r="W213" i="15" s="1"/>
  <c r="X213" i="15"/>
  <c r="Y213" i="15"/>
  <c r="Z213" i="15"/>
  <c r="AA213" i="15"/>
  <c r="AB213" i="15"/>
  <c r="AC213" i="15"/>
  <c r="AD213" i="15" s="1"/>
  <c r="AF213" i="15"/>
  <c r="AH213" i="15"/>
  <c r="AI213" i="15"/>
  <c r="AJ213" i="15"/>
  <c r="AK213" i="15"/>
  <c r="AL213" i="15"/>
  <c r="AN213" i="15"/>
  <c r="P214" i="15"/>
  <c r="R214" i="15" s="1"/>
  <c r="Q214" i="15" a="1"/>
  <c r="Q214" i="15" s="1"/>
  <c r="V214" i="15"/>
  <c r="W214" i="15" s="1"/>
  <c r="X214" i="15"/>
  <c r="Y214" i="15"/>
  <c r="Z214" i="15"/>
  <c r="AA214" i="15"/>
  <c r="AB214" i="15"/>
  <c r="AC214" i="15"/>
  <c r="AD214" i="15"/>
  <c r="AF214" i="15"/>
  <c r="AH214" i="15"/>
  <c r="AI214" i="15"/>
  <c r="AJ214" i="15"/>
  <c r="AK214" i="15"/>
  <c r="AL214" i="15" s="1"/>
  <c r="AN214" i="15"/>
  <c r="P215" i="15"/>
  <c r="Q215" i="15" a="1"/>
  <c r="Q215" i="15"/>
  <c r="R215" i="15"/>
  <c r="V215" i="15"/>
  <c r="W215" i="15" s="1"/>
  <c r="X215" i="15"/>
  <c r="Y215" i="15"/>
  <c r="Z215" i="15"/>
  <c r="AA215" i="15"/>
  <c r="AB215" i="15"/>
  <c r="AC215" i="15"/>
  <c r="AD215" i="15" s="1"/>
  <c r="AF215" i="15"/>
  <c r="AH215" i="15"/>
  <c r="AI215" i="15"/>
  <c r="AJ215" i="15"/>
  <c r="AK215" i="15"/>
  <c r="AL215" i="15" s="1"/>
  <c r="AN215" i="15"/>
  <c r="P216" i="15"/>
  <c r="R216" i="15" s="1"/>
  <c r="Q216" i="15" a="1"/>
  <c r="Q216" i="15" s="1"/>
  <c r="V216" i="15"/>
  <c r="W216" i="15" s="1"/>
  <c r="X216" i="15"/>
  <c r="Y216" i="15"/>
  <c r="Z216" i="15"/>
  <c r="AA216" i="15"/>
  <c r="AB216" i="15"/>
  <c r="AC216" i="15"/>
  <c r="AD216" i="15" s="1"/>
  <c r="AF216" i="15"/>
  <c r="AH216" i="15"/>
  <c r="AI216" i="15"/>
  <c r="AJ216" i="15"/>
  <c r="AK216" i="15"/>
  <c r="AL216" i="15"/>
  <c r="AN216" i="15"/>
  <c r="P217" i="15"/>
  <c r="R217" i="15" s="1"/>
  <c r="Q217" i="15" a="1"/>
  <c r="Q217" i="15" s="1"/>
  <c r="V217" i="15"/>
  <c r="W217" i="15" s="1"/>
  <c r="X217" i="15"/>
  <c r="Y217" i="15"/>
  <c r="Z217" i="15"/>
  <c r="AA217" i="15"/>
  <c r="AB217" i="15"/>
  <c r="AC217" i="15"/>
  <c r="AD217" i="15"/>
  <c r="AF217" i="15"/>
  <c r="AH217" i="15"/>
  <c r="AI217" i="15"/>
  <c r="AJ217" i="15"/>
  <c r="AK217" i="15"/>
  <c r="AL217" i="15" s="1"/>
  <c r="AN217" i="15"/>
  <c r="P218" i="15"/>
  <c r="R218" i="15" s="1"/>
  <c r="Q218" i="15" a="1"/>
  <c r="Q218" i="15"/>
  <c r="V218" i="15"/>
  <c r="W218" i="15" s="1"/>
  <c r="X218" i="15"/>
  <c r="Y218" i="15"/>
  <c r="Z218" i="15"/>
  <c r="AA218" i="15"/>
  <c r="AB218" i="15"/>
  <c r="AC218" i="15"/>
  <c r="AD218" i="15" s="1"/>
  <c r="AF218" i="15"/>
  <c r="AH218" i="15"/>
  <c r="AI218" i="15"/>
  <c r="AJ218" i="15"/>
  <c r="AK218" i="15"/>
  <c r="AL218" i="15" s="1"/>
  <c r="AN218" i="15"/>
  <c r="P219" i="15"/>
  <c r="R219" i="15" s="1"/>
  <c r="Q219" i="15" a="1"/>
  <c r="Q219" i="15"/>
  <c r="V219" i="15"/>
  <c r="W219" i="15" s="1"/>
  <c r="X219" i="15"/>
  <c r="Y219" i="15"/>
  <c r="Z219" i="15"/>
  <c r="AA219" i="15"/>
  <c r="AB219" i="15"/>
  <c r="AC219" i="15"/>
  <c r="AD219" i="15" s="1"/>
  <c r="AF219" i="15"/>
  <c r="AH219" i="15"/>
  <c r="AI219" i="15"/>
  <c r="AJ219" i="15"/>
  <c r="AK219" i="15"/>
  <c r="AL219" i="15"/>
  <c r="AN219" i="15"/>
  <c r="P220" i="15"/>
  <c r="R220" i="15" s="1"/>
  <c r="Q220" i="15" a="1"/>
  <c r="Q220" i="15" s="1"/>
  <c r="V220" i="15"/>
  <c r="W220" i="15" s="1"/>
  <c r="X220" i="15"/>
  <c r="Y220" i="15"/>
  <c r="Z220" i="15"/>
  <c r="AA220" i="15"/>
  <c r="AB220" i="15"/>
  <c r="AC220" i="15"/>
  <c r="AD220" i="15" s="1"/>
  <c r="AF220" i="15"/>
  <c r="AH220" i="15"/>
  <c r="AI220" i="15"/>
  <c r="AJ220" i="15"/>
  <c r="AK220" i="15"/>
  <c r="AL220" i="15" s="1"/>
  <c r="AN220" i="15"/>
  <c r="P221" i="15"/>
  <c r="R221" i="15" s="1"/>
  <c r="Q221" i="15" a="1"/>
  <c r="Q221" i="15" s="1"/>
  <c r="V221" i="15"/>
  <c r="W221" i="15" s="1"/>
  <c r="X221" i="15"/>
  <c r="Y221" i="15"/>
  <c r="Z221" i="15"/>
  <c r="AA221" i="15"/>
  <c r="AB221" i="15"/>
  <c r="AC221" i="15"/>
  <c r="AD221" i="15" s="1"/>
  <c r="AF221" i="15"/>
  <c r="AH221" i="15"/>
  <c r="AI221" i="15"/>
  <c r="AJ221" i="15"/>
  <c r="AK221" i="15"/>
  <c r="AL221" i="15" s="1"/>
  <c r="AN221" i="15"/>
  <c r="P222" i="15"/>
  <c r="R222" i="15" s="1"/>
  <c r="Q222" i="15" a="1"/>
  <c r="Q222" i="15" s="1"/>
  <c r="V222" i="15"/>
  <c r="W222" i="15"/>
  <c r="X222" i="15"/>
  <c r="Y222" i="15"/>
  <c r="Z222" i="15"/>
  <c r="AA222" i="15"/>
  <c r="AB222" i="15"/>
  <c r="AC222" i="15"/>
  <c r="AD222" i="15" s="1"/>
  <c r="AF222" i="15"/>
  <c r="AH222" i="15"/>
  <c r="AI222" i="15"/>
  <c r="AJ222" i="15"/>
  <c r="AK222" i="15"/>
  <c r="AL222" i="15" s="1"/>
  <c r="AN222" i="15"/>
  <c r="P223" i="15"/>
  <c r="Q223" i="15" a="1"/>
  <c r="Q223" i="15"/>
  <c r="R223" i="15"/>
  <c r="V223" i="15"/>
  <c r="W223" i="15" s="1"/>
  <c r="X223" i="15"/>
  <c r="Y223" i="15"/>
  <c r="Z223" i="15"/>
  <c r="AA223" i="15"/>
  <c r="AB223" i="15"/>
  <c r="AC223" i="15"/>
  <c r="AD223" i="15" s="1"/>
  <c r="AF223" i="15"/>
  <c r="AH223" i="15"/>
  <c r="AI223" i="15"/>
  <c r="AJ223" i="15"/>
  <c r="AK223" i="15"/>
  <c r="AL223" i="15" s="1"/>
  <c r="AN223" i="15"/>
  <c r="P224" i="15"/>
  <c r="Q224" i="15" a="1"/>
  <c r="Q224" i="15" s="1"/>
  <c r="R224" i="15"/>
  <c r="V224" i="15"/>
  <c r="W224" i="15" s="1"/>
  <c r="X224" i="15"/>
  <c r="Y224" i="15"/>
  <c r="Z224" i="15"/>
  <c r="AA224" i="15"/>
  <c r="AB224" i="15"/>
  <c r="AC224" i="15"/>
  <c r="AD224" i="15" s="1"/>
  <c r="AF224" i="15"/>
  <c r="AH224" i="15"/>
  <c r="AI224" i="15"/>
  <c r="AJ224" i="15"/>
  <c r="AK224" i="15"/>
  <c r="AL224" i="15"/>
  <c r="AN224" i="15"/>
  <c r="P225" i="15"/>
  <c r="Q225" i="15" a="1"/>
  <c r="Q225" i="15" s="1"/>
  <c r="R225" i="15"/>
  <c r="V225" i="15"/>
  <c r="W225" i="15" s="1"/>
  <c r="X225" i="15"/>
  <c r="Y225" i="15"/>
  <c r="Z225" i="15"/>
  <c r="AA225" i="15"/>
  <c r="AB225" i="15"/>
  <c r="AC225" i="15"/>
  <c r="AD225" i="15" s="1"/>
  <c r="AF225" i="15"/>
  <c r="AH225" i="15"/>
  <c r="AI225" i="15"/>
  <c r="AJ225" i="15"/>
  <c r="AK225" i="15"/>
  <c r="AL225" i="15" s="1"/>
  <c r="AN225" i="15"/>
  <c r="P226" i="15"/>
  <c r="R226" i="15" s="1"/>
  <c r="Q226" i="15" a="1"/>
  <c r="Q226" i="15" s="1"/>
  <c r="V226" i="15"/>
  <c r="W226" i="15" s="1"/>
  <c r="X226" i="15"/>
  <c r="Y226" i="15"/>
  <c r="Z226" i="15"/>
  <c r="AA226" i="15"/>
  <c r="AB226" i="15"/>
  <c r="AC226" i="15"/>
  <c r="AD226" i="15" s="1"/>
  <c r="AF226" i="15"/>
  <c r="AH226" i="15"/>
  <c r="AI226" i="15"/>
  <c r="AJ226" i="15"/>
  <c r="AK226" i="15"/>
  <c r="AL226" i="15"/>
  <c r="AN226" i="15"/>
  <c r="P227" i="15"/>
  <c r="Q227" i="15" a="1"/>
  <c r="Q227" i="15" s="1"/>
  <c r="R227" i="15"/>
  <c r="V227" i="15"/>
  <c r="W227" i="15" s="1"/>
  <c r="X227" i="15"/>
  <c r="Y227" i="15"/>
  <c r="Z227" i="15"/>
  <c r="AA227" i="15"/>
  <c r="AB227" i="15"/>
  <c r="AC227" i="15"/>
  <c r="AD227" i="15" s="1"/>
  <c r="AF227" i="15"/>
  <c r="AH227" i="15"/>
  <c r="AI227" i="15"/>
  <c r="AJ227" i="15"/>
  <c r="AK227" i="15"/>
  <c r="AL227" i="15" s="1"/>
  <c r="AN227" i="15"/>
  <c r="P228" i="15"/>
  <c r="R228" i="15" s="1"/>
  <c r="Q228" i="15" a="1"/>
  <c r="Q228" i="15" s="1"/>
  <c r="V228" i="15"/>
  <c r="W228" i="15" s="1"/>
  <c r="X228" i="15"/>
  <c r="Y228" i="15"/>
  <c r="Z228" i="15"/>
  <c r="AA228" i="15"/>
  <c r="AB228" i="15"/>
  <c r="AC228" i="15"/>
  <c r="AD228" i="15" s="1"/>
  <c r="AF228" i="15"/>
  <c r="AH228" i="15"/>
  <c r="AI228" i="15"/>
  <c r="AJ228" i="15"/>
  <c r="AK228" i="15"/>
  <c r="AL228" i="15"/>
  <c r="AN228" i="15"/>
  <c r="P229" i="15"/>
  <c r="R229" i="15" s="1"/>
  <c r="Q229" i="15" a="1"/>
  <c r="Q229" i="15" s="1"/>
  <c r="V229" i="15"/>
  <c r="W229" i="15" s="1"/>
  <c r="X229" i="15"/>
  <c r="Y229" i="15"/>
  <c r="Z229" i="15"/>
  <c r="AA229" i="15"/>
  <c r="AB229" i="15"/>
  <c r="AC229" i="15"/>
  <c r="AD229" i="15" s="1"/>
  <c r="AF229" i="15"/>
  <c r="AH229" i="15"/>
  <c r="AI229" i="15"/>
  <c r="AJ229" i="15"/>
  <c r="AK229" i="15"/>
  <c r="AL229" i="15" s="1"/>
  <c r="AN229" i="15"/>
  <c r="P230" i="15"/>
  <c r="R230" i="15" s="1"/>
  <c r="Q230" i="15" a="1"/>
  <c r="Q230" i="15"/>
  <c r="V230" i="15"/>
  <c r="W230" i="15" s="1"/>
  <c r="X230" i="15"/>
  <c r="Y230" i="15"/>
  <c r="Z230" i="15"/>
  <c r="AA230" i="15"/>
  <c r="AB230" i="15"/>
  <c r="AC230" i="15"/>
  <c r="AD230" i="15" s="1"/>
  <c r="AF230" i="15"/>
  <c r="AH230" i="15"/>
  <c r="AI230" i="15"/>
  <c r="AJ230" i="15"/>
  <c r="AK230" i="15"/>
  <c r="AL230" i="15" s="1"/>
  <c r="AN230" i="15"/>
  <c r="P231" i="15"/>
  <c r="R231" i="15" s="1"/>
  <c r="Q231" i="15" a="1"/>
  <c r="Q231" i="15" s="1"/>
  <c r="V231" i="15"/>
  <c r="W231" i="15" s="1"/>
  <c r="X231" i="15"/>
  <c r="Y231" i="15"/>
  <c r="Z231" i="15"/>
  <c r="AA231" i="15"/>
  <c r="AB231" i="15"/>
  <c r="AC231" i="15"/>
  <c r="AD231" i="15"/>
  <c r="AF231" i="15"/>
  <c r="AH231" i="15"/>
  <c r="AI231" i="15"/>
  <c r="AJ231" i="15"/>
  <c r="AK231" i="15"/>
  <c r="AL231" i="15"/>
  <c r="AN231" i="15"/>
  <c r="P232" i="15"/>
  <c r="R232" i="15" s="1"/>
  <c r="Q232" i="15" a="1"/>
  <c r="Q232" i="15"/>
  <c r="V232" i="15"/>
  <c r="W232" i="15"/>
  <c r="X232" i="15"/>
  <c r="Y232" i="15"/>
  <c r="Z232" i="15"/>
  <c r="AA232" i="15"/>
  <c r="AB232" i="15"/>
  <c r="AC232" i="15"/>
  <c r="AD232" i="15" s="1"/>
  <c r="AF232" i="15"/>
  <c r="AH232" i="15"/>
  <c r="AI232" i="15"/>
  <c r="AJ232" i="15"/>
  <c r="AK232" i="15"/>
  <c r="AL232" i="15" s="1"/>
  <c r="AN232" i="15"/>
  <c r="P233" i="15"/>
  <c r="R233" i="15" s="1"/>
  <c r="Q233" i="15" a="1"/>
  <c r="Q233" i="15"/>
  <c r="V233" i="15"/>
  <c r="W233" i="15" s="1"/>
  <c r="X233" i="15"/>
  <c r="Y233" i="15"/>
  <c r="Z233" i="15"/>
  <c r="AA233" i="15"/>
  <c r="AB233" i="15"/>
  <c r="AC233" i="15"/>
  <c r="AD233" i="15" s="1"/>
  <c r="AF233" i="15"/>
  <c r="AH233" i="15"/>
  <c r="AI233" i="15"/>
  <c r="AJ233" i="15"/>
  <c r="AK233" i="15"/>
  <c r="AL233" i="15" s="1"/>
  <c r="AN233" i="15"/>
  <c r="P234" i="15"/>
  <c r="R234" i="15" s="1"/>
  <c r="Q234" i="15" a="1"/>
  <c r="Q234" i="15" s="1"/>
  <c r="V234" i="15"/>
  <c r="W234" i="15" s="1"/>
  <c r="X234" i="15"/>
  <c r="Y234" i="15"/>
  <c r="Z234" i="15"/>
  <c r="AA234" i="15"/>
  <c r="AB234" i="15"/>
  <c r="AC234" i="15"/>
  <c r="AD234" i="15" s="1"/>
  <c r="AF234" i="15"/>
  <c r="AH234" i="15"/>
  <c r="AI234" i="15"/>
  <c r="AJ234" i="15"/>
  <c r="AK234" i="15"/>
  <c r="AL234" i="15"/>
  <c r="AN234" i="15"/>
  <c r="P235" i="15"/>
  <c r="R235" i="15" s="1"/>
  <c r="Q235" i="15" a="1"/>
  <c r="Q235" i="15" s="1"/>
  <c r="V235" i="15"/>
  <c r="W235" i="15" s="1"/>
  <c r="X235" i="15"/>
  <c r="Y235" i="15"/>
  <c r="Z235" i="15"/>
  <c r="AA235" i="15"/>
  <c r="AB235" i="15"/>
  <c r="AC235" i="15"/>
  <c r="AD235" i="15"/>
  <c r="AF235" i="15"/>
  <c r="AH235" i="15"/>
  <c r="AI235" i="15"/>
  <c r="AJ235" i="15"/>
  <c r="AK235" i="15"/>
  <c r="AL235" i="15" s="1"/>
  <c r="AN235" i="15"/>
  <c r="P236" i="15"/>
  <c r="Q236" i="15" a="1"/>
  <c r="Q236" i="15"/>
  <c r="R236" i="15"/>
  <c r="V236" i="15"/>
  <c r="W236" i="15" s="1"/>
  <c r="X236" i="15"/>
  <c r="Y236" i="15"/>
  <c r="Z236" i="15"/>
  <c r="AA236" i="15"/>
  <c r="AB236" i="15"/>
  <c r="AC236" i="15"/>
  <c r="AD236" i="15"/>
  <c r="AF236" i="15"/>
  <c r="AH236" i="15"/>
  <c r="AI236" i="15"/>
  <c r="AJ236" i="15"/>
  <c r="AK236" i="15"/>
  <c r="AL236" i="15" s="1"/>
  <c r="AN236" i="15"/>
  <c r="P237" i="15"/>
  <c r="Q237" i="15" a="1"/>
  <c r="Q237" i="15" s="1"/>
  <c r="R237" i="15"/>
  <c r="V237" i="15"/>
  <c r="W237" i="15" s="1"/>
  <c r="X237" i="15"/>
  <c r="Y237" i="15"/>
  <c r="Z237" i="15"/>
  <c r="AA237" i="15"/>
  <c r="AB237" i="15"/>
  <c r="AC237" i="15"/>
  <c r="AD237" i="15" s="1"/>
  <c r="AF237" i="15"/>
  <c r="AH237" i="15"/>
  <c r="AI237" i="15"/>
  <c r="AJ237" i="15"/>
  <c r="AK237" i="15"/>
  <c r="AL237" i="15"/>
  <c r="AN237" i="15"/>
  <c r="P238" i="15"/>
  <c r="R238" i="15" s="1"/>
  <c r="Q238" i="15" a="1"/>
  <c r="Q238" i="15" s="1"/>
  <c r="V238" i="15"/>
  <c r="W238" i="15" s="1"/>
  <c r="X238" i="15"/>
  <c r="Y238" i="15"/>
  <c r="Z238" i="15"/>
  <c r="AA238" i="15"/>
  <c r="AB238" i="15"/>
  <c r="AC238" i="15"/>
  <c r="AD238" i="15" s="1"/>
  <c r="AF238" i="15"/>
  <c r="AH238" i="15"/>
  <c r="AI238" i="15"/>
  <c r="AJ238" i="15"/>
  <c r="AK238" i="15"/>
  <c r="AL238" i="15" s="1"/>
  <c r="AN238" i="15"/>
  <c r="P239" i="15"/>
  <c r="R239" i="15" s="1"/>
  <c r="Q239" i="15" a="1"/>
  <c r="Q239" i="15" s="1"/>
  <c r="V239" i="15"/>
  <c r="W239" i="15" s="1"/>
  <c r="X239" i="15"/>
  <c r="Y239" i="15"/>
  <c r="Z239" i="15"/>
  <c r="AA239" i="15"/>
  <c r="AB239" i="15"/>
  <c r="AC239" i="15"/>
  <c r="AD239" i="15" s="1"/>
  <c r="AF239" i="15"/>
  <c r="AH239" i="15"/>
  <c r="AI239" i="15"/>
  <c r="AJ239" i="15"/>
  <c r="AK239" i="15"/>
  <c r="AL239" i="15" s="1"/>
  <c r="AN239" i="15"/>
  <c r="P240" i="15"/>
  <c r="R240" i="15" s="1"/>
  <c r="Q240" i="15" a="1"/>
  <c r="Q240" i="15" s="1"/>
  <c r="V240" i="15"/>
  <c r="W240" i="15"/>
  <c r="X240" i="15"/>
  <c r="Y240" i="15"/>
  <c r="Z240" i="15"/>
  <c r="AA240" i="15"/>
  <c r="AB240" i="15"/>
  <c r="AC240" i="15"/>
  <c r="AD240" i="15" s="1"/>
  <c r="AF240" i="15"/>
  <c r="AH240" i="15"/>
  <c r="AI240" i="15"/>
  <c r="AJ240" i="15"/>
  <c r="AK240" i="15"/>
  <c r="AL240" i="15"/>
  <c r="AN240" i="15"/>
  <c r="P241" i="15"/>
  <c r="R241" i="15" s="1"/>
  <c r="Q241" i="15" a="1"/>
  <c r="Q241" i="15" s="1"/>
  <c r="V241" i="15"/>
  <c r="W241" i="15" s="1"/>
  <c r="X241" i="15"/>
  <c r="Y241" i="15"/>
  <c r="Z241" i="15"/>
  <c r="AA241" i="15"/>
  <c r="AB241" i="15"/>
  <c r="AC241" i="15"/>
  <c r="AD241" i="15" s="1"/>
  <c r="AF241" i="15"/>
  <c r="AH241" i="15"/>
  <c r="AI241" i="15"/>
  <c r="AJ241" i="15"/>
  <c r="AK241" i="15"/>
  <c r="AL241" i="15" s="1"/>
  <c r="AN241" i="15"/>
  <c r="P242" i="15"/>
  <c r="R242" i="15" s="1"/>
  <c r="Q242" i="15" a="1"/>
  <c r="Q242" i="15" s="1"/>
  <c r="V242" i="15"/>
  <c r="W242" i="15" s="1"/>
  <c r="X242" i="15"/>
  <c r="Y242" i="15"/>
  <c r="Z242" i="15"/>
  <c r="AA242" i="15"/>
  <c r="AB242" i="15"/>
  <c r="AC242" i="15"/>
  <c r="AD242" i="15"/>
  <c r="AF242" i="15"/>
  <c r="AH242" i="15"/>
  <c r="AI242" i="15"/>
  <c r="AJ242" i="15"/>
  <c r="AK242" i="15"/>
  <c r="AL242" i="15" s="1"/>
  <c r="AN242" i="15"/>
  <c r="P243" i="15"/>
  <c r="R243" i="15" s="1"/>
  <c r="Q243" i="15" a="1"/>
  <c r="Q243" i="15"/>
  <c r="V243" i="15"/>
  <c r="W243" i="15" s="1"/>
  <c r="X243" i="15"/>
  <c r="Y243" i="15"/>
  <c r="Z243" i="15"/>
  <c r="AA243" i="15"/>
  <c r="AB243" i="15"/>
  <c r="AC243" i="15"/>
  <c r="AD243" i="15" s="1"/>
  <c r="AF243" i="15"/>
  <c r="AH243" i="15"/>
  <c r="AI243" i="15"/>
  <c r="AJ243" i="15"/>
  <c r="AK243" i="15"/>
  <c r="AL243" i="15" s="1"/>
  <c r="AN243" i="15"/>
  <c r="P244" i="15"/>
  <c r="R244" i="15" s="1"/>
  <c r="Q244" i="15" a="1"/>
  <c r="Q244" i="15" s="1"/>
  <c r="V244" i="15"/>
  <c r="W244" i="15" s="1"/>
  <c r="X244" i="15"/>
  <c r="Y244" i="15"/>
  <c r="Z244" i="15"/>
  <c r="AA244" i="15"/>
  <c r="AB244" i="15"/>
  <c r="AC244" i="15"/>
  <c r="AD244" i="15" s="1"/>
  <c r="AF244" i="15"/>
  <c r="AH244" i="15"/>
  <c r="AI244" i="15"/>
  <c r="AJ244" i="15"/>
  <c r="AK244" i="15"/>
  <c r="AL244" i="15" s="1"/>
  <c r="AN244" i="15"/>
  <c r="P245" i="15"/>
  <c r="Q245" i="15" a="1"/>
  <c r="Q245" i="15"/>
  <c r="R245" i="15"/>
  <c r="V245" i="15"/>
  <c r="W245" i="15" s="1"/>
  <c r="X245" i="15"/>
  <c r="Y245" i="15"/>
  <c r="Z245" i="15"/>
  <c r="AA245" i="15"/>
  <c r="AB245" i="15"/>
  <c r="AC245" i="15"/>
  <c r="AD245" i="15" s="1"/>
  <c r="AF245" i="15"/>
  <c r="AH245" i="15"/>
  <c r="AI245" i="15"/>
  <c r="AJ245" i="15"/>
  <c r="AK245" i="15"/>
  <c r="AL245" i="15"/>
  <c r="AN245" i="15"/>
  <c r="P246" i="15"/>
  <c r="Q246" i="15" a="1"/>
  <c r="Q246" i="15" s="1"/>
  <c r="R246" i="15"/>
  <c r="V246" i="15"/>
  <c r="W246" i="15" s="1"/>
  <c r="X246" i="15"/>
  <c r="Y246" i="15"/>
  <c r="Z246" i="15"/>
  <c r="AA246" i="15"/>
  <c r="AB246" i="15"/>
  <c r="AC246" i="15"/>
  <c r="AD246" i="15"/>
  <c r="AF246" i="15"/>
  <c r="AH246" i="15"/>
  <c r="AI246" i="15"/>
  <c r="AJ246" i="15"/>
  <c r="AK246" i="15"/>
  <c r="AL246" i="15"/>
  <c r="AN246" i="15"/>
  <c r="P247" i="15"/>
  <c r="R247" i="15" s="1"/>
  <c r="Q247" i="15" a="1"/>
  <c r="Q247" i="15"/>
  <c r="V247" i="15"/>
  <c r="W247" i="15" s="1"/>
  <c r="X247" i="15"/>
  <c r="Y247" i="15"/>
  <c r="Z247" i="15"/>
  <c r="AA247" i="15"/>
  <c r="AB247" i="15"/>
  <c r="AC247" i="15"/>
  <c r="AD247" i="15" s="1"/>
  <c r="AF247" i="15"/>
  <c r="AH247" i="15"/>
  <c r="AI247" i="15"/>
  <c r="AJ247" i="15"/>
  <c r="AK247" i="15"/>
  <c r="AL247" i="15" s="1"/>
  <c r="AN247" i="15"/>
  <c r="P248" i="15"/>
  <c r="R248" i="15" s="1"/>
  <c r="Q248" i="15" a="1"/>
  <c r="Q248" i="15"/>
  <c r="V248" i="15"/>
  <c r="W248" i="15" s="1"/>
  <c r="X248" i="15"/>
  <c r="Y248" i="15"/>
  <c r="Z248" i="15"/>
  <c r="AA248" i="15"/>
  <c r="AB248" i="15"/>
  <c r="AC248" i="15"/>
  <c r="AD248" i="15" s="1"/>
  <c r="AF248" i="15"/>
  <c r="AH248" i="15"/>
  <c r="AI248" i="15"/>
  <c r="AJ248" i="15"/>
  <c r="AK248" i="15"/>
  <c r="AL248" i="15" s="1"/>
  <c r="AN248" i="15"/>
  <c r="P249" i="15"/>
  <c r="Q249" i="15" a="1"/>
  <c r="Q249" i="15" s="1"/>
  <c r="R249" i="15"/>
  <c r="V249" i="15"/>
  <c r="W249" i="15" s="1"/>
  <c r="X249" i="15"/>
  <c r="Y249" i="15"/>
  <c r="Z249" i="15"/>
  <c r="AA249" i="15"/>
  <c r="AB249" i="15"/>
  <c r="AC249" i="15"/>
  <c r="AD249" i="15" s="1"/>
  <c r="AF249" i="15"/>
  <c r="AH249" i="15"/>
  <c r="AI249" i="15"/>
  <c r="AJ249" i="15"/>
  <c r="AK249" i="15"/>
  <c r="AL249" i="15" s="1"/>
  <c r="AN249" i="15"/>
  <c r="P250" i="15"/>
  <c r="R250" i="15" s="1"/>
  <c r="Q250" i="15" a="1"/>
  <c r="Q250" i="15" s="1"/>
  <c r="V250" i="15"/>
  <c r="W250" i="15" s="1"/>
  <c r="X250" i="15"/>
  <c r="Y250" i="15"/>
  <c r="Z250" i="15"/>
  <c r="AA250" i="15"/>
  <c r="AB250" i="15"/>
  <c r="AC250" i="15"/>
  <c r="AD250" i="15" s="1"/>
  <c r="AF250" i="15"/>
  <c r="AH250" i="15"/>
  <c r="AI250" i="15"/>
  <c r="AJ250" i="15"/>
  <c r="AK250" i="15"/>
  <c r="AL250" i="15" s="1"/>
  <c r="AN250" i="15"/>
  <c r="P251" i="15"/>
  <c r="R251" i="15" s="1"/>
  <c r="Q251" i="15" a="1"/>
  <c r="Q251" i="15" s="1"/>
  <c r="V251" i="15"/>
  <c r="W251" i="15" s="1"/>
  <c r="X251" i="15"/>
  <c r="Y251" i="15"/>
  <c r="Z251" i="15"/>
  <c r="AA251" i="15"/>
  <c r="AB251" i="15"/>
  <c r="AC251" i="15"/>
  <c r="AD251" i="15"/>
  <c r="AF251" i="15"/>
  <c r="AH251" i="15"/>
  <c r="AI251" i="15"/>
  <c r="AJ251" i="15"/>
  <c r="AK251" i="15"/>
  <c r="AL251" i="15" s="1"/>
  <c r="AN251" i="15"/>
  <c r="P252" i="15"/>
  <c r="R252" i="15" s="1"/>
  <c r="Q252" i="15" a="1"/>
  <c r="Q252" i="15"/>
  <c r="V252" i="15"/>
  <c r="W252" i="15" s="1"/>
  <c r="X252" i="15"/>
  <c r="Y252" i="15"/>
  <c r="Z252" i="15"/>
  <c r="AA252" i="15"/>
  <c r="AB252" i="15"/>
  <c r="AC252" i="15"/>
  <c r="AD252" i="15" s="1"/>
  <c r="AF252" i="15"/>
  <c r="AH252" i="15"/>
  <c r="AI252" i="15"/>
  <c r="AJ252" i="15"/>
  <c r="AK252" i="15"/>
  <c r="AL252" i="15" s="1"/>
  <c r="AN252" i="15"/>
  <c r="P253" i="15"/>
  <c r="R253" i="15" s="1"/>
  <c r="Q253" i="15" a="1"/>
  <c r="Q253" i="15" s="1"/>
  <c r="V253" i="15"/>
  <c r="W253" i="15" s="1"/>
  <c r="X253" i="15"/>
  <c r="Y253" i="15"/>
  <c r="Z253" i="15"/>
  <c r="AA253" i="15"/>
  <c r="AB253" i="15"/>
  <c r="AC253" i="15"/>
  <c r="AD253" i="15"/>
  <c r="AF253" i="15"/>
  <c r="AH253" i="15"/>
  <c r="AI253" i="15"/>
  <c r="AJ253" i="15"/>
  <c r="AK253" i="15"/>
  <c r="AL253" i="15" s="1"/>
  <c r="AN253" i="15"/>
  <c r="E6" i="23"/>
  <c r="H18" i="23" l="1"/>
  <c r="B12" i="23"/>
  <c r="AY2" i="15"/>
  <c r="AZ2" i="15"/>
  <c r="E18" i="23"/>
  <c r="B18" i="23"/>
  <c r="K12" i="23"/>
  <c r="E12" i="23"/>
  <c r="K18" i="23"/>
  <c r="AQ2" i="15"/>
  <c r="AR2" i="15" l="1"/>
  <c r="H12" i="23"/>
  <c r="E49" i="23" a="1"/>
  <c r="E49" i="23" s="1"/>
  <c r="D49" i="23" a="1"/>
  <c r="D49" i="23" s="1"/>
  <c r="D41" i="23" a="1"/>
  <c r="D41" i="23" s="1"/>
  <c r="B49" i="23" a="1"/>
  <c r="B49" i="23" s="1"/>
  <c r="C49" i="23" a="1"/>
  <c r="C49" i="23" s="1"/>
  <c r="E41" i="23" a="1"/>
  <c r="E41" i="23" s="1"/>
  <c r="B41" i="23" a="1"/>
  <c r="B41" i="23" s="1"/>
  <c r="C41" i="23" a="1"/>
  <c r="C41" i="23" s="1"/>
  <c r="N17" i="19" l="1" a="1"/>
  <c r="N17" i="19" s="1"/>
  <c r="N18" i="19" a="1"/>
  <c r="N18" i="19" s="1"/>
  <c r="N19" i="19" a="1"/>
  <c r="N19" i="19" s="1"/>
  <c r="D19" i="19" a="1"/>
  <c r="D19" i="19" s="1"/>
  <c r="D18" i="19" a="1"/>
  <c r="D18" i="19" s="1"/>
  <c r="D17" i="19" a="1"/>
  <c r="D17" i="19" s="1"/>
  <c r="K2" i="12" a="1"/>
  <c r="K2" i="12" s="1"/>
  <c r="M2" i="12" a="1"/>
  <c r="M2" i="12" s="1"/>
  <c r="C8" i="14"/>
  <c r="I20" i="12" l="1"/>
  <c r="I21" i="12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3" i="12"/>
  <c r="K6" i="23" l="1"/>
  <c r="B6" i="23"/>
  <c r="D8" i="14"/>
  <c r="J12" i="17"/>
  <c r="J11" i="17"/>
  <c r="J10" i="17"/>
  <c r="J9" i="17"/>
  <c r="J8" i="17"/>
  <c r="E8" i="17" a="1"/>
  <c r="E8" i="17" s="1"/>
  <c r="D49" i="11"/>
  <c r="D50" i="11"/>
  <c r="D51" i="11"/>
  <c r="D52" i="11"/>
  <c r="D53" i="11"/>
  <c r="D54" i="11"/>
  <c r="D55" i="11"/>
  <c r="D56" i="11"/>
  <c r="D57" i="11"/>
  <c r="D58" i="11"/>
  <c r="D59" i="11"/>
  <c r="D48" i="11"/>
  <c r="D47" i="11"/>
  <c r="D46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" i="11"/>
  <c r="B8" i="11"/>
  <c r="B11" i="11" s="1"/>
  <c r="B14" i="11" s="1"/>
  <c r="B17" i="11" s="1"/>
  <c r="B20" i="11" s="1"/>
  <c r="B23" i="11" s="1"/>
  <c r="B26" i="11" s="1"/>
  <c r="B29" i="11" s="1"/>
  <c r="B32" i="11" s="1"/>
  <c r="B35" i="11" s="1"/>
  <c r="B38" i="11" s="1"/>
  <c r="B41" i="11" s="1"/>
  <c r="B44" i="11" s="1"/>
  <c r="B9" i="11"/>
  <c r="B12" i="11" s="1"/>
  <c r="B15" i="11" s="1"/>
  <c r="B18" i="11" s="1"/>
  <c r="B21" i="11" s="1"/>
  <c r="B24" i="11" s="1"/>
  <c r="B27" i="11" s="1"/>
  <c r="B30" i="11" s="1"/>
  <c r="B33" i="11" s="1"/>
  <c r="B36" i="11" s="1"/>
  <c r="B39" i="11" s="1"/>
  <c r="B42" i="11" s="1"/>
  <c r="B45" i="11" s="1"/>
  <c r="B7" i="11"/>
  <c r="B10" i="11" s="1"/>
  <c r="B13" i="11" s="1"/>
  <c r="B16" i="11" s="1"/>
  <c r="B19" i="11" s="1"/>
  <c r="B22" i="11" s="1"/>
  <c r="B25" i="11" s="1"/>
  <c r="B28" i="11" s="1"/>
  <c r="B31" i="11" s="1"/>
  <c r="B34" i="11" s="1"/>
  <c r="B37" i="11" s="1"/>
  <c r="B40" i="11" s="1"/>
  <c r="B43" i="11" s="1"/>
  <c r="K16" i="1"/>
  <c r="E36" i="1"/>
  <c r="N29" i="1"/>
  <c r="N28" i="1"/>
  <c r="N27" i="1"/>
  <c r="N26" i="1"/>
  <c r="F37" i="1"/>
  <c r="F38" i="1" s="1"/>
  <c r="F39" i="1" s="1"/>
  <c r="F40" i="1" s="1"/>
  <c r="C32" i="1"/>
  <c r="D37" i="1"/>
  <c r="D38" i="1"/>
  <c r="D39" i="1"/>
  <c r="D40" i="1"/>
  <c r="D36" i="1"/>
  <c r="D49" i="1"/>
  <c r="D50" i="1"/>
  <c r="D51" i="1"/>
  <c r="D52" i="1"/>
  <c r="D53" i="1"/>
  <c r="D54" i="1"/>
  <c r="A37" i="1"/>
  <c r="A38" i="1" s="1"/>
  <c r="A39" i="1" s="1"/>
  <c r="A40" i="1" s="1"/>
  <c r="F41" i="1"/>
  <c r="F21" i="1"/>
  <c r="E21" i="1"/>
  <c r="E20" i="1"/>
  <c r="E19" i="1"/>
  <c r="E18" i="1"/>
  <c r="H18" i="1" s="1"/>
  <c r="I17" i="1"/>
  <c r="I18" i="1" s="1"/>
  <c r="I19" i="1" s="1"/>
  <c r="I20" i="1" s="1"/>
  <c r="E17" i="1"/>
  <c r="E16" i="1"/>
  <c r="H16" i="1" s="1"/>
  <c r="D16" i="1"/>
  <c r="D17" i="1" s="1"/>
  <c r="D18" i="1" s="1"/>
  <c r="C12" i="1"/>
  <c r="I10" i="1"/>
  <c r="C10" i="1"/>
  <c r="F52" i="1"/>
  <c r="F51" i="1"/>
  <c r="F50" i="1"/>
  <c r="F49" i="1"/>
  <c r="C16" i="5"/>
  <c r="C17" i="5" s="1"/>
  <c r="P13" i="5"/>
  <c r="E16" i="5" s="1"/>
  <c r="D13" i="5"/>
  <c r="D7" i="5"/>
  <c r="D6" i="5" s="1"/>
  <c r="C7" i="5"/>
  <c r="C6" i="5" s="1"/>
  <c r="E4" i="5"/>
  <c r="F7" i="5" s="1"/>
  <c r="D4" i="5"/>
  <c r="H6" i="23" l="1"/>
  <c r="D41" i="1"/>
  <c r="S26" i="1"/>
  <c r="R26" i="1"/>
  <c r="H21" i="1"/>
  <c r="F22" i="1" s="1"/>
  <c r="K49" i="1" s="1"/>
  <c r="D19" i="1"/>
  <c r="D20" i="1" s="1"/>
  <c r="D21" i="1"/>
  <c r="I21" i="1"/>
  <c r="F8" i="5"/>
  <c r="F6" i="5"/>
  <c r="E17" i="5"/>
  <c r="E15" i="5"/>
  <c r="C8" i="5"/>
  <c r="E13" i="5"/>
  <c r="D8" i="5"/>
  <c r="F4" i="5"/>
  <c r="D16" i="5"/>
  <c r="E7" i="5"/>
  <c r="C15" i="5"/>
  <c r="D22" i="1" l="1"/>
  <c r="E22" i="1"/>
  <c r="J49" i="1"/>
  <c r="F16" i="5"/>
  <c r="F13" i="5"/>
  <c r="E8" i="5"/>
  <c r="E6" i="5"/>
  <c r="G4" i="5"/>
  <c r="G7" i="5"/>
  <c r="D15" i="5"/>
  <c r="D17" i="5"/>
  <c r="H4" i="5" l="1"/>
  <c r="H7" i="5"/>
  <c r="G13" i="5"/>
  <c r="G16" i="5"/>
  <c r="G6" i="5"/>
  <c r="G8" i="5"/>
  <c r="F15" i="5"/>
  <c r="F17" i="5"/>
  <c r="G17" i="5" l="1"/>
  <c r="G15" i="5"/>
  <c r="H13" i="5"/>
  <c r="H16" i="5"/>
  <c r="H8" i="5"/>
  <c r="H6" i="5"/>
  <c r="I4" i="5"/>
  <c r="I7" i="5"/>
  <c r="J4" i="5" l="1"/>
  <c r="J7" i="5"/>
  <c r="I8" i="5"/>
  <c r="I6" i="5"/>
  <c r="H15" i="5"/>
  <c r="H17" i="5"/>
  <c r="I13" i="5"/>
  <c r="I16" i="5"/>
  <c r="I17" i="5" l="1"/>
  <c r="I15" i="5"/>
  <c r="J13" i="5"/>
  <c r="J16" i="5"/>
  <c r="J8" i="5"/>
  <c r="J6" i="5"/>
  <c r="K4" i="5"/>
  <c r="K7" i="5"/>
  <c r="L4" i="5" l="1"/>
  <c r="L7" i="5"/>
  <c r="K13" i="5"/>
  <c r="K16" i="5"/>
  <c r="K8" i="5"/>
  <c r="K6" i="5"/>
  <c r="J15" i="5"/>
  <c r="J17" i="5"/>
  <c r="L13" i="5" l="1"/>
  <c r="L16" i="5"/>
  <c r="K15" i="5"/>
  <c r="K17" i="5"/>
  <c r="L6" i="5"/>
  <c r="L8" i="5"/>
  <c r="M4" i="5"/>
  <c r="M7" i="5"/>
  <c r="M6" i="5" l="1"/>
  <c r="M8" i="5"/>
  <c r="L15" i="5"/>
  <c r="L17" i="5"/>
  <c r="N4" i="5"/>
  <c r="N7" i="5"/>
  <c r="M13" i="5"/>
  <c r="M16" i="5"/>
  <c r="N13" i="5" l="1"/>
  <c r="N16" i="5"/>
  <c r="N6" i="5"/>
  <c r="N8" i="5"/>
  <c r="M17" i="5"/>
  <c r="M15" i="5"/>
  <c r="O4" i="5"/>
  <c r="P7" i="5" s="1"/>
  <c r="O7" i="5"/>
  <c r="P8" i="5" l="1"/>
  <c r="P6" i="5"/>
  <c r="O6" i="5"/>
  <c r="O8" i="5"/>
  <c r="N17" i="5"/>
  <c r="N15" i="5"/>
  <c r="O13" i="5"/>
  <c r="P16" i="5" s="1"/>
  <c r="O16" i="5"/>
  <c r="P17" i="5" l="1"/>
  <c r="P15" i="5"/>
  <c r="O15" i="5"/>
  <c r="O17" i="5"/>
  <c r="G19" i="19"/>
  <c r="G18" i="19"/>
  <c r="G17" i="19"/>
  <c r="C7" i="19"/>
  <c r="C10" i="19" a="1"/>
  <c r="C10" i="19" s="1"/>
  <c r="B10" i="19" a="1"/>
  <c r="C6" i="19"/>
  <c r="E14" i="19" l="1" a="1"/>
  <c r="E14" i="19" s="1"/>
  <c r="F14" i="19" a="1"/>
  <c r="F14" i="19" s="1"/>
  <c r="E13" i="19" a="1"/>
  <c r="E13" i="19" s="1"/>
  <c r="F13" i="19" a="1"/>
  <c r="F13" i="19" s="1"/>
  <c r="E12" i="19" a="1"/>
  <c r="E12" i="19" s="1"/>
  <c r="F12" i="19" a="1"/>
  <c r="F12" i="19" s="1"/>
  <c r="E11" i="19" a="1"/>
  <c r="E11" i="19" s="1"/>
  <c r="F11" i="19" a="1"/>
  <c r="F11" i="19" s="1"/>
  <c r="N13" i="19" a="1"/>
  <c r="N13" i="19" s="1"/>
  <c r="D14" i="19" a="1"/>
  <c r="D14" i="19" s="1"/>
  <c r="N14" i="19" a="1"/>
  <c r="N14" i="19" s="1"/>
  <c r="D13" i="19" a="1"/>
  <c r="D13" i="19" s="1"/>
  <c r="D12" i="19" a="1"/>
  <c r="D12" i="19" s="1"/>
  <c r="D11" i="19" a="1"/>
  <c r="D11" i="19" s="1"/>
  <c r="N11" i="19" a="1"/>
  <c r="N11" i="19" s="1"/>
  <c r="D16" i="19" a="1"/>
  <c r="D16" i="19" s="1"/>
  <c r="G16" i="19" s="1"/>
  <c r="N12" i="19" a="1"/>
  <c r="N12" i="19" s="1"/>
  <c r="D15" i="19" a="1"/>
  <c r="D15" i="19" s="1"/>
  <c r="G15" i="19" s="1"/>
  <c r="N15" i="19" a="1"/>
  <c r="N15" i="19" s="1"/>
  <c r="N16" i="19" a="1"/>
  <c r="N16" i="19" s="1"/>
  <c r="B10" i="19"/>
  <c r="F10" i="19" s="1" a="1"/>
  <c r="F10" i="19" s="1"/>
  <c r="G13" i="19" l="1"/>
  <c r="G14" i="19"/>
  <c r="G11" i="19"/>
  <c r="G12" i="19"/>
  <c r="N4" i="19" a="1"/>
  <c r="N4" i="19" s="1"/>
  <c r="M4" i="19" a="1"/>
  <c r="M4" i="19" s="1"/>
  <c r="D10" i="19" a="1"/>
  <c r="D10" i="19" s="1"/>
  <c r="N10" i="19" a="1"/>
  <c r="N10" i="19" s="1"/>
  <c r="N7" i="19" l="1"/>
  <c r="N6" i="19"/>
  <c r="N20" i="19" a="1"/>
  <c r="N20" i="19" s="1"/>
  <c r="G10" i="19"/>
  <c r="G20" i="19" s="1"/>
  <c r="F7" i="19" s="1"/>
  <c r="D20" i="19"/>
  <c r="F6" i="19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<sst xmlns="http://schemas.openxmlformats.org/spreadsheetml/2006/main" count="941" uniqueCount="438">
  <si>
    <t>RESERVA</t>
  </si>
  <si>
    <t>- mail</t>
  </si>
  <si>
    <t>- telefono</t>
  </si>
  <si>
    <t>- nombre contacto</t>
  </si>
  <si>
    <t>- check in</t>
  </si>
  <si>
    <t>- check out</t>
  </si>
  <si>
    <t>ENVIO</t>
  </si>
  <si>
    <t>MONTO</t>
  </si>
  <si>
    <t>ADEUDADO</t>
  </si>
  <si>
    <t>- valor bruto programa</t>
  </si>
  <si>
    <t>GRUPO</t>
  </si>
  <si>
    <t>ABONO</t>
  </si>
  <si>
    <t>PAGO</t>
  </si>
  <si>
    <t>RESPUESTA</t>
  </si>
  <si>
    <t>Mail / Celular</t>
  </si>
  <si>
    <t>Noches</t>
  </si>
  <si>
    <t>FECHA</t>
  </si>
  <si>
    <t>BRUTO</t>
  </si>
  <si>
    <t>PASAJEROS</t>
  </si>
  <si>
    <t>- fecha reserva</t>
  </si>
  <si>
    <t>OBSERVACIONES</t>
  </si>
  <si>
    <t>reserva - 30</t>
  </si>
  <si>
    <t>reserva - 45</t>
  </si>
  <si>
    <t>reserva - 60</t>
  </si>
  <si>
    <t>reserva - 75</t>
  </si>
  <si>
    <t>reserva - 90</t>
  </si>
  <si>
    <t>reserva - 105</t>
  </si>
  <si>
    <t>llamar</t>
  </si>
  <si>
    <t>PLAZO</t>
  </si>
  <si>
    <t>check in - 45</t>
  </si>
  <si>
    <t>check in - 30</t>
  </si>
  <si>
    <t>check in - 15</t>
  </si>
  <si>
    <t>check in - 7</t>
  </si>
  <si>
    <t>MEDIO</t>
  </si>
  <si>
    <t>PAGO RESERVA (50%)</t>
  </si>
  <si>
    <t>PAGO SALDO (50%)</t>
  </si>
  <si>
    <t>TRANSACCIONES</t>
  </si>
  <si>
    <t>GREEN BAKER LODGE</t>
  </si>
  <si>
    <t>AREA PESCA</t>
  </si>
  <si>
    <t>V°B°</t>
  </si>
  <si>
    <t>Jorge Icaza Perez</t>
  </si>
  <si>
    <t>jicaza@vecta.cl</t>
  </si>
  <si>
    <t>9 9318 3704</t>
  </si>
  <si>
    <t>Alejandra Icaza Gana</t>
  </si>
  <si>
    <t>Javier Icaza Gana</t>
  </si>
  <si>
    <t>Anibal Icaza Gana</t>
  </si>
  <si>
    <t>FSN</t>
  </si>
  <si>
    <t>- numero de dias</t>
  </si>
  <si>
    <t>transbank</t>
  </si>
  <si>
    <t>TOTAL</t>
  </si>
  <si>
    <t>sin pago Alejandra Icaza. Es HOSTED</t>
  </si>
  <si>
    <t>TARIFA x PERSONA</t>
  </si>
  <si>
    <t>$</t>
  </si>
  <si>
    <t>Dia 1 traslado</t>
  </si>
  <si>
    <t>Dia 1 mediodia</t>
  </si>
  <si>
    <t>Día 2 full</t>
  </si>
  <si>
    <t>Día 3 full</t>
  </si>
  <si>
    <t>Día 4 full</t>
  </si>
  <si>
    <t>Día 5 full</t>
  </si>
  <si>
    <t>Día 6 full</t>
  </si>
  <si>
    <t>Día 7 full</t>
  </si>
  <si>
    <t>Día 8 full</t>
  </si>
  <si>
    <t>Día 9 full</t>
  </si>
  <si>
    <t>Día 10 full</t>
  </si>
  <si>
    <t>Día 11 full</t>
  </si>
  <si>
    <t>Día 12 full</t>
  </si>
  <si>
    <t>Día 13 full</t>
  </si>
  <si>
    <t>Día 14 full</t>
  </si>
  <si>
    <t>Día 15 traslado</t>
  </si>
  <si>
    <t>1 noche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</si>
  <si>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</si>
  <si>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</si>
  <si>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</si>
  <si>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</si>
  <si>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</si>
  <si>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</si>
  <si>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</si>
  <si>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</si>
  <si>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</si>
  <si>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</si>
  <si>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</si>
  <si>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</si>
  <si>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</si>
  <si>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Base single</t>
  </si>
  <si>
    <t>Base doble</t>
  </si>
  <si>
    <t>Non angler nacional</t>
  </si>
  <si>
    <t>USD</t>
  </si>
  <si>
    <t>Día 1 traslado</t>
  </si>
  <si>
    <t xml:space="preserve">Día 1; 1/2  dia </t>
  </si>
  <si>
    <t>Non angler</t>
  </si>
  <si>
    <t>TARIFAS DÍA DE PESCA (BASE DOBLE)</t>
  </si>
  <si>
    <t>1/2 DÍA</t>
  </si>
  <si>
    <t>* 4 HORAS DE PESCA. INCLUYE AGUA Y BEBIDAS NO ALCOHÓLICAS.</t>
  </si>
  <si>
    <t>DIA COMPLETO</t>
  </si>
  <si>
    <t>* 8 HORAS DE PESCA. INCLUYE BOX LUNCH.</t>
  </si>
  <si>
    <t>20% Comisión Venta Nacional</t>
  </si>
  <si>
    <t>20% Comisión Venta Internacional</t>
  </si>
  <si>
    <t>Hosted Trips</t>
  </si>
  <si>
    <t>Sobre 5 Clientes</t>
  </si>
  <si>
    <t>precio</t>
  </si>
  <si>
    <t>dcto</t>
  </si>
  <si>
    <t>a pagar</t>
  </si>
  <si>
    <t>Madi Vega</t>
  </si>
  <si>
    <t>Coni Osorio</t>
  </si>
  <si>
    <t>Madi Vega es non angler</t>
  </si>
  <si>
    <t>Total Cañas</t>
  </si>
  <si>
    <t>Non Angler</t>
  </si>
  <si>
    <t>NN</t>
  </si>
  <si>
    <t>NA</t>
  </si>
  <si>
    <t>VALOR DEL PROGRAMA NACIONAL</t>
  </si>
  <si>
    <t>CELDAS</t>
  </si>
  <si>
    <t>DEBEN SER LLENADAS MANUALMENTE</t>
  </si>
  <si>
    <t>Grupo</t>
  </si>
  <si>
    <t>Jose luis Rodriguez casanueva</t>
  </si>
  <si>
    <t>rafael.loyoladominguez@gmail.com</t>
  </si>
  <si>
    <t>Borja Rodriguez Rios</t>
  </si>
  <si>
    <t>Ignacio Rodiguez Rios</t>
  </si>
  <si>
    <t>Cristian Fabres Ruiz</t>
  </si>
  <si>
    <t>Rafael Loyola Dominguez</t>
  </si>
  <si>
    <t>Martin Icaza Gana</t>
  </si>
  <si>
    <t>nombre</t>
  </si>
  <si>
    <t>identificar NON ANGLER al final de lista de pasajeros</t>
  </si>
  <si>
    <t>Total</t>
  </si>
  <si>
    <t>dcto %</t>
  </si>
  <si>
    <t>VALOR DEL PROGRAMA NACIONAL (CON IVA)</t>
  </si>
  <si>
    <t>reserva + 30</t>
  </si>
  <si>
    <t>reserva + 45</t>
  </si>
  <si>
    <t>reserva + 60</t>
  </si>
  <si>
    <t>reserva + 75</t>
  </si>
  <si>
    <t>reserva + 90</t>
  </si>
  <si>
    <t>reserva + 105</t>
  </si>
  <si>
    <t>comision %</t>
  </si>
  <si>
    <t>precio lista</t>
  </si>
  <si>
    <r>
      <t xml:space="preserve">CODIGO                   </t>
    </r>
    <r>
      <rPr>
        <b/>
        <sz val="11"/>
        <color theme="1"/>
        <rFont val="Aptos Narrow"/>
        <family val="2"/>
        <scheme val="minor"/>
      </rPr>
      <t xml:space="preserve"> AA</t>
    </r>
  </si>
  <si>
    <t>Código interno</t>
  </si>
  <si>
    <t>Contacto</t>
  </si>
  <si>
    <t>Mail</t>
  </si>
  <si>
    <t>Tipo</t>
  </si>
  <si>
    <t>Base</t>
  </si>
  <si>
    <t>Pasajero</t>
  </si>
  <si>
    <t>Si</t>
  </si>
  <si>
    <t>No</t>
  </si>
  <si>
    <t>Pescador</t>
  </si>
  <si>
    <t>Single</t>
  </si>
  <si>
    <t>Doble</t>
  </si>
  <si>
    <t>N° Cliente</t>
  </si>
  <si>
    <t>Texto</t>
  </si>
  <si>
    <t>Host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</si>
  <si>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</si>
  <si>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</si>
  <si>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</si>
  <si>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</si>
  <si>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</si>
  <si>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</si>
  <si>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</si>
  <si>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</si>
  <si>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</si>
  <si>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</si>
  <si>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</si>
  <si>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</si>
  <si>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</si>
  <si>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Nombre completo</t>
  </si>
  <si>
    <t>Número de contacto</t>
  </si>
  <si>
    <t>Información de Grupo</t>
  </si>
  <si>
    <t>Pasajero N˚1</t>
  </si>
  <si>
    <t>Pasajero N˚2</t>
  </si>
  <si>
    <t>Pasajero N˚3</t>
  </si>
  <si>
    <t>Pasajero N˚4</t>
  </si>
  <si>
    <t>Pasajero N˚5</t>
  </si>
  <si>
    <t>Pasajero N˚6</t>
  </si>
  <si>
    <t>Pasajero N˚7</t>
  </si>
  <si>
    <t>Pasajero N˚8</t>
  </si>
  <si>
    <t>Pasajero N˚9</t>
  </si>
  <si>
    <t>Pasajero N˚10</t>
  </si>
  <si>
    <t>N° Días / Pasajero</t>
  </si>
  <si>
    <t>N˚ Noches</t>
  </si>
  <si>
    <t>Pescador/Non Angles</t>
  </si>
  <si>
    <t>Extranjero</t>
  </si>
  <si>
    <t>N˚ Pasajero</t>
  </si>
  <si>
    <t>Francisco frias</t>
  </si>
  <si>
    <t>Check-In</t>
  </si>
  <si>
    <t>Check-Out</t>
  </si>
  <si>
    <t>Género</t>
  </si>
  <si>
    <t>Información del Programa</t>
  </si>
  <si>
    <t>Información Personal</t>
  </si>
  <si>
    <t>N˚ Grupo</t>
  </si>
  <si>
    <t>N° Noches</t>
  </si>
  <si>
    <t>Encargado</t>
  </si>
  <si>
    <t>GESTION DE  COBRANZA</t>
  </si>
  <si>
    <t>GESTION DE RESERVA</t>
  </si>
  <si>
    <t>Descuento</t>
  </si>
  <si>
    <t>Reserva - Llamar</t>
  </si>
  <si>
    <t>Saldo - Llamar</t>
  </si>
  <si>
    <t>Reserva - Monto Bruto</t>
  </si>
  <si>
    <t>Reserva - Medio de Pago</t>
  </si>
  <si>
    <t>Reserva - Fecha de Pago</t>
  </si>
  <si>
    <t>Nombre Completo</t>
  </si>
  <si>
    <t>Fecha de Reserva</t>
  </si>
  <si>
    <t>Valor Bruto Programa</t>
  </si>
  <si>
    <t>Reserva - 105 Días</t>
  </si>
  <si>
    <t>Reserva - 90 Días</t>
  </si>
  <si>
    <t>Reserva - 75 Días</t>
  </si>
  <si>
    <t>Reserva - 60 Días</t>
  </si>
  <si>
    <t>Reserva - 45 Días</t>
  </si>
  <si>
    <t>Reserva - 30 Días</t>
  </si>
  <si>
    <t>Saldo - 45 Días</t>
  </si>
  <si>
    <t>Saldo - 30 Días</t>
  </si>
  <si>
    <t>Saldo - 15 Días</t>
  </si>
  <si>
    <t>Saldo - 7 Días</t>
  </si>
  <si>
    <t>Saldo - Fecha de Pago</t>
  </si>
  <si>
    <t>Saldo - Monto Bruto</t>
  </si>
  <si>
    <t>Saldo - Medio de Pago</t>
  </si>
  <si>
    <t>Observaciones</t>
  </si>
  <si>
    <t>¿Viene por primera vez?</t>
  </si>
  <si>
    <t>Grupo 1</t>
  </si>
  <si>
    <t>N˚ Contacto</t>
  </si>
  <si>
    <t>FECHA DE RESERVA</t>
  </si>
  <si>
    <t>CHECK-IN</t>
  </si>
  <si>
    <t>N˚ NOCHES</t>
  </si>
  <si>
    <t>CHECK-OUT</t>
  </si>
  <si>
    <t>NACIONAL/EXTRANJERO</t>
  </si>
  <si>
    <t>INFORMACIÓN PERSONAL</t>
  </si>
  <si>
    <t>INFORMACIÓN DE GRUPO</t>
  </si>
  <si>
    <t>INFORMACIÓN DE ESTADÍA</t>
  </si>
  <si>
    <t>INFORMACIÓN DE PROGRAMA (X PASAJERO)</t>
  </si>
  <si>
    <t>PASAJERO</t>
  </si>
  <si>
    <t>¿VIENE POR PRIMERA VEZ?</t>
  </si>
  <si>
    <t>NOMBRE COMPLETO</t>
  </si>
  <si>
    <t>MAIL</t>
  </si>
  <si>
    <t>N˚ CONTACTO</t>
  </si>
  <si>
    <t>GÉNERO</t>
  </si>
  <si>
    <t>BASE</t>
  </si>
  <si>
    <t>TIPO</t>
  </si>
  <si>
    <t>SÍ</t>
  </si>
  <si>
    <t>NO</t>
  </si>
  <si>
    <t>PESCADOR</t>
  </si>
  <si>
    <t>NON ANGLER</t>
  </si>
  <si>
    <t>SINGLE</t>
  </si>
  <si>
    <t>DOBLE</t>
  </si>
  <si>
    <t>HOST</t>
  </si>
  <si>
    <t>NACIONAL</t>
  </si>
  <si>
    <t>EXTRANJERO</t>
  </si>
  <si>
    <t>MASCULINO</t>
  </si>
  <si>
    <t>FEMENINO</t>
  </si>
  <si>
    <t>N˚ DÍAS</t>
  </si>
  <si>
    <t>TEXTO</t>
  </si>
  <si>
    <t>VALOR BRUTO (CLP)</t>
  </si>
  <si>
    <t>VALOR BRUTO (USD)</t>
  </si>
  <si>
    <t>Base single 1 noche</t>
  </si>
  <si>
    <t>Base doble 1 noche</t>
  </si>
  <si>
    <t>Non angler nacional 1 noche</t>
  </si>
  <si>
    <t>Base single 2 noches</t>
  </si>
  <si>
    <t>Base doble 2 noches</t>
  </si>
  <si>
    <t>Non angler nacional 2 noches</t>
  </si>
  <si>
    <t>Base single 3 noches</t>
  </si>
  <si>
    <t>Base doble 3 noches</t>
  </si>
  <si>
    <t>Non angler nacional 3 noches</t>
  </si>
  <si>
    <t>Base single 4 noches</t>
  </si>
  <si>
    <t>Base doble 4 noches</t>
  </si>
  <si>
    <t>Non angler nacional 4 noches</t>
  </si>
  <si>
    <t>Base single 5 noches</t>
  </si>
  <si>
    <t>Base doble 5 noches</t>
  </si>
  <si>
    <t>Non angler nacional 5 noches</t>
  </si>
  <si>
    <t>Base single 6 noches</t>
  </si>
  <si>
    <t>Base doble 6 noches</t>
  </si>
  <si>
    <t>Non angler nacional 6 noches</t>
  </si>
  <si>
    <t>Base single 7 noches</t>
  </si>
  <si>
    <t>Base doble 7 noches</t>
  </si>
  <si>
    <t>Non angler nacional 7 noches</t>
  </si>
  <si>
    <t>Base single 8 noches</t>
  </si>
  <si>
    <t>Base doble 8 noches</t>
  </si>
  <si>
    <t>Non angler nacional 8 noches</t>
  </si>
  <si>
    <t>Base single 9 noches</t>
  </si>
  <si>
    <t>Base doble 9 noches</t>
  </si>
  <si>
    <t>Non angler nacional 9 noches</t>
  </si>
  <si>
    <t>Base single 10 noches</t>
  </si>
  <si>
    <t>Base doble 10 noches</t>
  </si>
  <si>
    <t>Non angler nacional 10 noches</t>
  </si>
  <si>
    <t>Base single 11 noches</t>
  </si>
  <si>
    <t>Base doble 11 noches</t>
  </si>
  <si>
    <t>Non angler nacional 11 noches</t>
  </si>
  <si>
    <t>Base single 12 noches</t>
  </si>
  <si>
    <t>Base doble 12 noches</t>
  </si>
  <si>
    <t>Non angler nacional 12 noches</t>
  </si>
  <si>
    <t>Base single 13 noches</t>
  </si>
  <si>
    <t>Base doble 13 noches</t>
  </si>
  <si>
    <t>Non angler nacional 13 noches</t>
  </si>
  <si>
    <t>Base single 14 noches</t>
  </si>
  <si>
    <t>Base doble 14 noches</t>
  </si>
  <si>
    <t>Non angler nacional 14 noches</t>
  </si>
  <si>
    <t>Host 1 noche</t>
  </si>
  <si>
    <t>Host 2 Noches</t>
  </si>
  <si>
    <t>Host 3 Noches</t>
  </si>
  <si>
    <t>Host 4 Noches</t>
  </si>
  <si>
    <t>Host 5 Noches</t>
  </si>
  <si>
    <t>Host 6 Noches</t>
  </si>
  <si>
    <t>Host 7 Noches</t>
  </si>
  <si>
    <t>Host 8 Noches</t>
  </si>
  <si>
    <t>Host 9 Noches</t>
  </si>
  <si>
    <t>Host 10 Noches</t>
  </si>
  <si>
    <t>Host 11 Noches</t>
  </si>
  <si>
    <t>Host 12 Noches</t>
  </si>
  <si>
    <t>Host 13 Noches</t>
  </si>
  <si>
    <t>Host 14 Noches</t>
  </si>
  <si>
    <t>PRICING PESCA: NACIONAL</t>
  </si>
  <si>
    <t>PRICING PESCA: EXTRANJERO</t>
  </si>
  <si>
    <t>Moneda</t>
  </si>
  <si>
    <t>Valor Bruto Final</t>
  </si>
  <si>
    <t>VALOR BRUTO PROGRAMA</t>
  </si>
  <si>
    <t>VALOR BRUTO FINAL</t>
  </si>
  <si>
    <t>N˚4</t>
  </si>
  <si>
    <t>Aprobado por</t>
  </si>
  <si>
    <t>Aprobador por</t>
  </si>
  <si>
    <t>Estado de pago</t>
  </si>
  <si>
    <t>Sin pagar</t>
  </si>
  <si>
    <t>Reserva pagada</t>
  </si>
  <si>
    <t>Saldo pagado</t>
  </si>
  <si>
    <t>Grupos</t>
  </si>
  <si>
    <t>N˚ GRUPO</t>
  </si>
  <si>
    <t>DESCUENTO (%)</t>
  </si>
  <si>
    <t>APROBADO POR</t>
  </si>
  <si>
    <t>INFORMACIÓN DE PAGO</t>
  </si>
  <si>
    <t>SALDO</t>
  </si>
  <si>
    <t>MONTO TOTAL A PAGAR</t>
  </si>
  <si>
    <t>FECHA DE PAGO</t>
  </si>
  <si>
    <t>MEDIO DE PAGO</t>
  </si>
  <si>
    <t>N˚2</t>
  </si>
  <si>
    <t>N˚3</t>
  </si>
  <si>
    <t>N˚5</t>
  </si>
  <si>
    <t>E</t>
  </si>
  <si>
    <t>F</t>
  </si>
  <si>
    <t>Rene Acklin</t>
  </si>
  <si>
    <t>Francisca Pualuan</t>
  </si>
  <si>
    <t>Agregar si es HOST</t>
  </si>
  <si>
    <t>Agregar si es Angler o no Angler</t>
  </si>
  <si>
    <t>Grupo 2</t>
  </si>
  <si>
    <t>Jorge Icaza</t>
  </si>
  <si>
    <t>Sin descuento</t>
  </si>
  <si>
    <t>Grupo Nacional/
Extranjero</t>
  </si>
  <si>
    <t>VALOR BRUTO 
PROGRAMA</t>
  </si>
  <si>
    <t/>
  </si>
  <si>
    <t>% Reserva</t>
  </si>
  <si>
    <t>% Saldo</t>
  </si>
  <si>
    <r>
      <t>Reserva_Due</t>
    </r>
    <r>
      <rPr>
        <sz val="11"/>
        <color theme="1"/>
        <rFont val="Aptos Narrow"/>
        <family val="2"/>
        <scheme val="minor"/>
      </rPr>
      <t xml:space="preserve">  (compromiso: 30 días después de la </t>
    </r>
    <r>
      <rPr>
        <b/>
        <sz val="11"/>
        <color theme="1"/>
        <rFont val="Aptos Narrow"/>
        <family val="2"/>
        <scheme val="minor"/>
      </rPr>
      <t>fecha de reserva</t>
    </r>
    <r>
      <rPr>
        <sz val="11"/>
        <color theme="1"/>
        <rFont val="Aptos Narrow"/>
        <family val="2"/>
        <scheme val="minor"/>
      </rPr>
      <t>)</t>
    </r>
  </si>
  <si>
    <r>
      <t>Saldo_Due</t>
    </r>
    <r>
      <rPr>
        <sz val="11"/>
        <color theme="1"/>
        <rFont val="Aptos Narrow"/>
        <family val="2"/>
        <scheme val="minor"/>
      </rPr>
      <t xml:space="preserve">  (compromiso: 30 días antes del </t>
    </r>
    <r>
      <rPr>
        <b/>
        <sz val="11"/>
        <color theme="1"/>
        <rFont val="Aptos Narrow"/>
        <family val="2"/>
        <scheme val="minor"/>
      </rPr>
      <t>check-in</t>
    </r>
    <r>
      <rPr>
        <sz val="11"/>
        <color theme="1"/>
        <rFont val="Aptos Narrow"/>
        <family val="2"/>
        <scheme val="minor"/>
      </rPr>
      <t>)</t>
    </r>
  </si>
  <si>
    <t>Reserva_Pagada?</t>
  </si>
  <si>
    <t>Saldo_Pagado?</t>
  </si>
  <si>
    <t>Días_desde_reserva</t>
  </si>
  <si>
    <t>Días_para_checkin</t>
  </si>
  <si>
    <r>
      <t>Alerta_Reserva</t>
    </r>
    <r>
      <rPr>
        <sz val="11"/>
        <color theme="1"/>
        <rFont val="Aptos Narrow"/>
        <family val="2"/>
        <scheme val="minor"/>
      </rPr>
      <t>  (bucket con semáforo)</t>
    </r>
  </si>
  <si>
    <r>
      <t>Alerta_Saldo</t>
    </r>
    <r>
      <rPr>
        <sz val="11"/>
        <color theme="1"/>
        <rFont val="Aptos Narrow"/>
        <family val="2"/>
        <scheme val="minor"/>
      </rPr>
      <t>  (bucket por proximidad a check-in)</t>
    </r>
  </si>
  <si>
    <t>TC:</t>
  </si>
  <si>
    <t>Fecha:</t>
  </si>
  <si>
    <t>2.2 Flujo de caja (calendario)</t>
  </si>
  <si>
    <t>a) Flujo de Reservas (fechas compromiso)</t>
  </si>
  <si>
    <t>b) Flujo de Saldos</t>
  </si>
  <si>
    <t>3) Tablas de Alertas (listas accionables)</t>
  </si>
  <si>
    <t>3.1 Alertas de Reserva</t>
  </si>
  <si>
    <t xml:space="preserve">	•	Aplica Formato condicional según Alerta_Reserva:
	•	“Código ROJO &gt;90” → rojo
	•	“Reserva +60” → naranja
	•	“Reserva +45/+30/+10” → amarillo</t>
  </si>
  <si>
    <t>3.2 Alertas de Saldo</t>
  </si>
  <si>
    <t xml:space="preserve">	•	Formato condicional:
	•	“Código ROJO &lt; -10” → rojo
	•	“Saldo &lt;=15/25/30/45” → gradiente amarillo-naranja</t>
  </si>
  <si>
    <t>Si quieres agrupar por grupo en vez de por pasajero, crea primero una tabla auxiliar única por grupo (UNIQUE) y usa SUMAR.SI.CONJUNTO para sumar %Reserva/%Saldo pendientes y MIN/ MAX de fechas.</t>
  </si>
  <si>
    <t>4) Vista por Grupo (hoja opcional “Grupos”)</t>
  </si>
  <si>
    <t>Útil para la administración diaria:</t>
  </si>
  <si>
    <t>UNIQUE(tblBBDD[Grupo])</t>
  </si>
  <si>
    <t>Fecha de reserva (mín):</t>
  </si>
  <si>
    <r>
      <t>Check-in (mín)</t>
    </r>
    <r>
      <rPr>
        <sz val="11"/>
        <color theme="1"/>
        <rFont val="Aptos Narrow"/>
        <family val="2"/>
        <scheme val="minor"/>
      </rPr>
      <t>: </t>
    </r>
  </si>
  <si>
    <t>Vendido</t>
  </si>
  <si>
    <r>
      <t>Recaudado</t>
    </r>
    <r>
      <rPr>
        <sz val="11"/>
        <color theme="1"/>
        <rFont val="Aptos Narrow"/>
        <family val="2"/>
        <scheme val="minor"/>
      </rPr>
      <t>:</t>
    </r>
  </si>
  <si>
    <t>Por cobrar</t>
  </si>
  <si>
    <r>
      <t>Semáforo</t>
    </r>
    <r>
      <rPr>
        <sz val="11"/>
        <color theme="1"/>
        <rFont val="Aptos Narrow"/>
        <family val="2"/>
        <scheme val="minor"/>
      </rPr>
      <t>:</t>
    </r>
  </si>
  <si>
    <r>
      <t xml:space="preserve">Esta tabla puede alimentar </t>
    </r>
    <r>
      <rPr>
        <b/>
        <sz val="11"/>
        <color theme="1"/>
        <rFont val="Aptos Narrow"/>
        <family val="2"/>
        <scheme val="minor"/>
      </rPr>
      <t>gráficos de barras</t>
    </r>
    <r>
      <rPr>
        <sz val="11"/>
        <color theme="1"/>
        <rFont val="Aptos Narrow"/>
        <family val="2"/>
        <scheme val="minor"/>
      </rPr>
      <t xml:space="preserve"> por “Por Cobrar” y un </t>
    </r>
    <r>
      <rPr>
        <b/>
        <sz val="11"/>
        <color theme="1"/>
        <rFont val="Aptos Narrow"/>
        <family val="2"/>
        <scheme val="minor"/>
      </rPr>
      <t>mapa de calor</t>
    </r>
    <r>
      <rPr>
        <sz val="11"/>
        <color theme="1"/>
        <rFont val="Aptos Narrow"/>
        <family val="2"/>
        <scheme val="minor"/>
      </rPr>
      <t xml:space="preserve"> por color de alerta.</t>
    </r>
  </si>
  <si>
    <t>(monto por fecha):</t>
  </si>
  <si>
    <t>(fechas únicas):</t>
  </si>
  <si>
    <t>2.3 Alertas accionables</t>
  </si>
  <si>
    <t>Reserva (no pagadas y con alerta)</t>
  </si>
  <si>
    <t>“Código ROJO &gt;90” rojo; “Reserva +60” naranja; “Reserva +45/+30/+10” amarillo.</t>
  </si>
  <si>
    <t>Saldo (no pagados y con alerta)</t>
  </si>
  <si>
    <t>Días desde reserva</t>
  </si>
  <si>
    <t>Alerta</t>
  </si>
  <si>
    <t>Días para check in</t>
  </si>
  <si>
    <t>“Código ROJO &lt; -10” rojo; “Saldo &lt;=15/25/30/45” escala amarillo→naranja.</t>
  </si>
  <si>
    <t>a10</t>
  </si>
  <si>
    <t>d10</t>
  </si>
  <si>
    <t>el pago de la reserva se puede hacer en maximo cuantos pagos</t>
  </si>
  <si>
    <t>los pagos se hacen en distintas fechas</t>
  </si>
  <si>
    <t>que métodos de pago se aceptan</t>
  </si>
  <si>
    <t>ver el dash como total en pesos?</t>
  </si>
  <si>
    <t>que pasa si no hay fecha de reserva</t>
  </si>
  <si>
    <t>agregar liquido?</t>
  </si>
  <si>
    <t>javier icaza</t>
  </si>
  <si>
    <t>aada</t>
  </si>
  <si>
    <t>Pago 1
Fecha</t>
  </si>
  <si>
    <t>Pago 1
Monto</t>
  </si>
  <si>
    <t>Pago 1
Medio de pago</t>
  </si>
  <si>
    <t>Pago 2
Fecha</t>
  </si>
  <si>
    <t>Pago 2
Monto</t>
  </si>
  <si>
    <t>Pago 2
Medio de pago</t>
  </si>
  <si>
    <t>Pago 3
Fecha</t>
  </si>
  <si>
    <t>Pago 3
Monto</t>
  </si>
  <si>
    <t>Pago 3
Medio de pago</t>
  </si>
  <si>
    <t>Pago 4
Fecha</t>
  </si>
  <si>
    <t>Pago 4
Monto</t>
  </si>
  <si>
    <t>Pago 4
Medio de pago</t>
  </si>
  <si>
    <t>Pago 5
Fecha</t>
  </si>
  <si>
    <t>Pago 5
Monto</t>
  </si>
  <si>
    <t>Pago 5
Medio de pago</t>
  </si>
  <si>
    <t>% COBRADO</t>
  </si>
  <si>
    <t>*Total comprometido</t>
  </si>
  <si>
    <t>*Reserva y Saldo pagado</t>
  </si>
  <si>
    <t>*Pendiente de pago</t>
  </si>
  <si>
    <t>VENDIDO A LA FECHA</t>
  </si>
  <si>
    <t>RECAUDADO A LA FECHA</t>
  </si>
  <si>
    <t>POR COBRAR</t>
  </si>
  <si>
    <t>RECAUDADO</t>
  </si>
  <si>
    <r>
      <t xml:space="preserve">Esto lista </t>
    </r>
    <r>
      <rPr>
        <b/>
        <sz val="11"/>
        <color theme="1"/>
        <rFont val="Avenir Book"/>
        <family val="2"/>
      </rPr>
      <t>fechas futuras</t>
    </r>
    <r>
      <rPr>
        <sz val="11"/>
        <color theme="1"/>
        <rFont val="Avenir Book"/>
        <family val="2"/>
      </rPr>
      <t xml:space="preserve"> de reservas no pagadas aún y el monto esperado.</t>
    </r>
  </si>
  <si>
    <r>
      <t xml:space="preserve">Con A10:B y D10:E puedes crear </t>
    </r>
    <r>
      <rPr>
        <b/>
        <sz val="14"/>
        <color rgb="FF0E0E0E"/>
        <rFont val="Avenir Book"/>
        <family val="2"/>
      </rPr>
      <t>gráficos por mes/semana</t>
    </r>
    <r>
      <rPr>
        <sz val="14"/>
        <color rgb="FF0E0E0E"/>
        <rFont val="Avenir Book"/>
        <family val="2"/>
      </rPr>
      <t xml:space="preserve"> (columna o área) para ver el pipeline.</t>
    </r>
  </si>
  <si>
    <r>
      <t xml:space="preserve">Con estas dos tablas puedes crear </t>
    </r>
    <r>
      <rPr>
        <b/>
        <sz val="14"/>
        <color rgb="FF0E0E0E"/>
        <rFont val="Avenir Book"/>
        <family val="2"/>
      </rPr>
      <t>gráficos de columnas por mes</t>
    </r>
    <r>
      <rPr>
        <sz val="14"/>
        <color rgb="FF0E0E0E"/>
        <rFont val="Avenir Book"/>
        <family val="2"/>
      </rPr>
      <t xml:space="preserve"> (agrupa fechas a mes) para ver el </t>
    </r>
    <r>
      <rPr>
        <b/>
        <sz val="14"/>
        <color rgb="FF0E0E0E"/>
        <rFont val="Avenir Book"/>
        <family val="2"/>
      </rPr>
      <t>pipeline</t>
    </r>
    <r>
      <rPr>
        <sz val="14"/>
        <color rgb="FF0E0E0E"/>
        <rFont val="Avenir Book"/>
        <family val="2"/>
      </rPr>
      <t>.</t>
    </r>
  </si>
  <si>
    <r>
      <t>Formato condicional</t>
    </r>
    <r>
      <rPr>
        <sz val="14"/>
        <color rgb="FF0E0E0E"/>
        <rFont val="Avenir Book"/>
        <family val="2"/>
      </rPr>
      <t xml:space="preserve"> en D31:D para colorear:</t>
    </r>
  </si>
  <si>
    <r>
      <t>Formato condicional</t>
    </r>
    <r>
      <rPr>
        <sz val="14"/>
        <color rgb="FF0E0E0E"/>
        <rFont val="Avenir Book"/>
        <family val="2"/>
      </rPr>
      <t xml:space="preserve"> en I31:I:</t>
    </r>
  </si>
  <si>
    <t>KPI´S PRINCIPALES</t>
  </si>
  <si>
    <t>PAGO 1</t>
  </si>
  <si>
    <t>PAGO 2</t>
  </si>
  <si>
    <t>PAGO 3</t>
  </si>
  <si>
    <t>PAGO 4</t>
  </si>
  <si>
    <t>PAGO 5</t>
  </si>
  <si>
    <t>PAGO N˚1</t>
  </si>
  <si>
    <t>PAGO N˚2</t>
  </si>
  <si>
    <t>PAGO N˚3</t>
  </si>
  <si>
    <t>PAGO N˚4</t>
  </si>
  <si>
    <t>PAGO N˚5</t>
  </si>
  <si>
    <t>ACTUAL</t>
  </si>
  <si>
    <t>MODIFICADO</t>
  </si>
  <si>
    <t>Fecha de Registro</t>
  </si>
  <si>
    <t>Fecha de pago</t>
  </si>
  <si>
    <t>Monto</t>
  </si>
  <si>
    <t>Medio de pago</t>
  </si>
  <si>
    <t>Comentarios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</si>
</sst>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$&quot;* #,##0_-;\-&quot;$&quot;* #,##0_-;_-&quot;$&quot;* &quot;-&quot;??_-;_-@_-"/>
    <numFmt numFmtId="165" formatCode="0.0%"/>
    <numFmt numFmtId="166" formatCode="[$USD]\ #,##0"/>
    <numFmt numFmtId="167" formatCode="_ [$USD]\ * #,##0_ ;_ [$USD]\ * \-#,##0_ ;_ [$USD]\ * &quot;-&quot;_ ;_ @_ "/>
    <numFmt numFmtId="168" formatCode="_-&quot;CLP&quot;\ * #,##0_-;\-&quot;CLP&quot;\ * #,##0\-;_-&quot;CLP&quot;\ * &quot;-&quot;??_-;_-@_-\ "/>
    <numFmt numFmtId="171" formatCode="_-&quot;CLP&quot;\ * #,##0_-;\ \-&quot;CLP&quot;\ * #,##0\-;\ _-&quot;CLP&quot;\ * &quot;-&quot;??_-;_-@_-"/>
    <numFmt numFmtId="181" formatCode="_ [$CLP]\ * #,##0_ ;_ [$CLP]\ * \-#,##0_ ;_ [$CLP]\ * &quot;-&quot;_ ;_ @_ "/>
    <numFmt numFmtId="183" formatCode="&quot;$&quot;#,##0"/>
  </numFmts>
  <fonts count="4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1"/>
      <color theme="3"/>
      <name val="Aptos Narrow"/>
      <family val="2"/>
      <scheme val="minor"/>
    </font>
    <font>
      <b/>
      <sz val="12"/>
      <color theme="1"/>
      <name val="Aptos Narrow"/>
      <scheme val="minor"/>
    </font>
    <font>
      <b/>
      <sz val="36"/>
      <color theme="1"/>
      <name val="MS Reference Sans Serif"/>
      <family val="2"/>
    </font>
    <font>
      <b/>
      <sz val="16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4"/>
      <color theme="1"/>
      <name val="Aptos Narrow"/>
      <family val="2"/>
      <scheme val="minor"/>
    </font>
    <font>
      <sz val="12"/>
      <color theme="1"/>
      <name val="Avenir Book"/>
      <family val="2"/>
    </font>
    <font>
      <sz val="11"/>
      <color theme="1"/>
      <name val="Avenir Book"/>
      <family val="2"/>
    </font>
    <font>
      <b/>
      <sz val="36"/>
      <color theme="1"/>
      <name val="Avenir Book"/>
      <family val="2"/>
    </font>
    <font>
      <b/>
      <sz val="20"/>
      <color theme="1"/>
      <name val="Avenir Book"/>
      <family val="2"/>
    </font>
    <font>
      <b/>
      <sz val="12"/>
      <color theme="1"/>
      <name val="Avenir Book"/>
      <family val="2"/>
    </font>
    <font>
      <b/>
      <sz val="16"/>
      <color theme="1"/>
      <name val="Avenir Book"/>
      <family val="2"/>
    </font>
    <font>
      <u/>
      <sz val="11"/>
      <color theme="10"/>
      <name val="Avenir Book"/>
      <family val="2"/>
    </font>
    <font>
      <sz val="12"/>
      <color rgb="FF2454A9"/>
      <name val="Avenir Heavy"/>
      <family val="2"/>
    </font>
    <font>
      <b/>
      <sz val="16"/>
      <color rgb="FF2454A9"/>
      <name val="Avenir Book"/>
      <family val="2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24"/>
      <color theme="1"/>
      <name val="Avenir Book"/>
      <family val="2"/>
    </font>
    <font>
      <b/>
      <sz val="11"/>
      <color theme="1"/>
      <name val="Avenir Book"/>
      <family val="2"/>
    </font>
    <font>
      <sz val="16"/>
      <color theme="1"/>
      <name val="Avenir Book"/>
      <family val="2"/>
    </font>
    <font>
      <b/>
      <sz val="16"/>
      <color theme="5"/>
      <name val="Avenir Book"/>
      <family val="2"/>
    </font>
    <font>
      <b/>
      <sz val="12"/>
      <color theme="5"/>
      <name val="Avenir Heavy"/>
      <family val="2"/>
    </font>
    <font>
      <sz val="11"/>
      <color theme="5"/>
      <name val="Avenir Heavy"/>
      <family val="2"/>
    </font>
    <font>
      <b/>
      <sz val="11"/>
      <color theme="5"/>
      <name val="Avenir Heavy"/>
      <family val="2"/>
    </font>
    <font>
      <sz val="11"/>
      <color theme="1"/>
      <name val="Avenir Heavy"/>
      <family val="2"/>
    </font>
    <font>
      <b/>
      <sz val="12"/>
      <color theme="1"/>
      <name val="Avenir Heavy"/>
      <family val="2"/>
    </font>
    <font>
      <sz val="12"/>
      <color theme="10"/>
      <name val="Avenir Book"/>
      <family val="2"/>
    </font>
    <font>
      <sz val="12"/>
      <color theme="1"/>
      <name val="Avenir Heavy"/>
      <family val="2"/>
    </font>
    <font>
      <b/>
      <sz val="18"/>
      <color theme="1"/>
      <name val="Avenir Book"/>
      <family val="2"/>
    </font>
    <font>
      <sz val="14"/>
      <color rgb="FF0E0E0E"/>
      <name val="Avenir Book"/>
      <family val="2"/>
    </font>
    <font>
      <b/>
      <sz val="14"/>
      <color rgb="FF0E0E0E"/>
      <name val="Avenir Book"/>
      <family val="2"/>
    </font>
    <font>
      <sz val="9"/>
      <color theme="1"/>
      <name val="Avenir Heavy"/>
      <family val="2"/>
    </font>
    <font>
      <sz val="20"/>
      <color theme="1"/>
      <name val="Avenir Book"/>
      <family val="2"/>
    </font>
    <font>
      <b/>
      <sz val="22"/>
      <color theme="1"/>
      <name val="Avenir Book"/>
      <family val="2"/>
    </font>
    <font>
      <sz val="20"/>
      <color rgb="FF207346"/>
      <name val="Avenir Heavy"/>
      <family val="2"/>
    </font>
    <font>
      <sz val="20"/>
      <color theme="5"/>
      <name val="Avenir Heavy"/>
      <family val="2"/>
    </font>
    <font>
      <sz val="20"/>
      <color rgb="FF2454A9"/>
      <name val="Avenir Heavy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0C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BCB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07346"/>
        <bgColor indexed="64"/>
      </patternFill>
    </fill>
    <fill>
      <patternFill patternType="solid">
        <fgColor rgb="FF2454A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medium">
        <color rgb="FF2454A9"/>
      </left>
      <right/>
      <top style="medium">
        <color rgb="FF2454A9"/>
      </top>
      <bottom/>
      <diagonal/>
    </border>
    <border>
      <left/>
      <right style="medium">
        <color rgb="FF2454A9"/>
      </right>
      <top style="medium">
        <color rgb="FF2454A9"/>
      </top>
      <bottom/>
      <diagonal/>
    </border>
    <border>
      <left style="medium">
        <color rgb="FF2454A9"/>
      </left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rgb="FF2454A9"/>
      </left>
      <right/>
      <top/>
      <bottom style="medium">
        <color rgb="FF2454A9"/>
      </bottom>
      <diagonal/>
    </border>
    <border>
      <left/>
      <right style="medium">
        <color rgb="FF2454A9"/>
      </right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 style="medium">
        <color rgb="FF2454A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/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/>
      <bottom style="medium">
        <color rgb="FF2454A9"/>
      </bottom>
      <diagonal/>
    </border>
    <border>
      <left/>
      <right style="medium">
        <color rgb="FF2454A9"/>
      </right>
      <top/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/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thin">
        <color theme="0" tint="-0.14999847407452621"/>
      </bottom>
      <diagonal/>
    </border>
    <border>
      <left/>
      <right/>
      <top style="medium">
        <color rgb="FF2454A9"/>
      </top>
      <bottom/>
      <diagonal/>
    </border>
    <border>
      <left style="medium">
        <color rgb="FF2454A9"/>
      </left>
      <right/>
      <top/>
      <bottom/>
      <diagonal/>
    </border>
    <border>
      <left/>
      <right style="medium">
        <color rgb="FF2454A9"/>
      </right>
      <top/>
      <bottom/>
      <diagonal/>
    </border>
    <border>
      <left/>
      <right/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/>
      <bottom style="medium">
        <color rgb="FF2454A9"/>
      </bottom>
      <diagonal/>
    </border>
    <border>
      <left style="medium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theme="1"/>
      </bottom>
      <diagonal/>
    </border>
    <border>
      <left/>
      <right/>
      <top style="thin">
        <color theme="4" tint="0.39997558519241921"/>
      </top>
      <bottom style="medium">
        <color theme="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theme="5"/>
      </top>
      <bottom style="thin">
        <color theme="0" tint="-0.14999847407452621"/>
      </bottom>
      <diagonal/>
    </border>
    <border>
      <left/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thin">
        <color theme="0" tint="-0.14999847407452621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medium">
        <color theme="5"/>
      </right>
      <top/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1" fontId="5" fillId="0" borderId="0" applyFont="0" applyFill="0" applyBorder="0" applyAlignment="0" applyProtection="0"/>
  </cellStyleXfs>
  <cellXfs count="431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5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quotePrefix="1" applyBorder="1"/>
    <xf numFmtId="0" fontId="0" fillId="0" borderId="1" xfId="0" applyBorder="1"/>
    <xf numFmtId="0" fontId="0" fillId="0" borderId="22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0" fontId="0" fillId="0" borderId="12" xfId="0" applyBorder="1"/>
    <xf numFmtId="0" fontId="0" fillId="0" borderId="28" xfId="0" applyBorder="1"/>
    <xf numFmtId="0" fontId="0" fillId="0" borderId="30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7" xfId="0" applyBorder="1" applyAlignment="1">
      <alignment horizontal="center"/>
    </xf>
    <xf numFmtId="0" fontId="1" fillId="0" borderId="0" xfId="0" applyFont="1"/>
    <xf numFmtId="0" fontId="0" fillId="0" borderId="28" xfId="0" applyBorder="1" applyAlignment="1">
      <alignment horizontal="center"/>
    </xf>
    <xf numFmtId="0" fontId="0" fillId="0" borderId="25" xfId="0" quotePrefix="1" applyBorder="1"/>
    <xf numFmtId="0" fontId="0" fillId="0" borderId="1" xfId="0" applyBorder="1" applyAlignment="1">
      <alignment horizontal="center"/>
    </xf>
    <xf numFmtId="0" fontId="0" fillId="0" borderId="2" xfId="0" quotePrefix="1" applyBorder="1"/>
    <xf numFmtId="0" fontId="1" fillId="0" borderId="1" xfId="0" applyFont="1" applyBorder="1" applyAlignment="1">
      <alignment horizontal="center"/>
    </xf>
    <xf numFmtId="3" fontId="0" fillId="0" borderId="5" xfId="0" quotePrefix="1" applyNumberFormat="1" applyBorder="1"/>
    <xf numFmtId="3" fontId="0" fillId="0" borderId="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" xfId="0" quotePrefix="1" applyBorder="1"/>
    <xf numFmtId="0" fontId="0" fillId="0" borderId="40" xfId="0" applyBorder="1"/>
    <xf numFmtId="14" fontId="0" fillId="0" borderId="5" xfId="0" quotePrefix="1" applyNumberFormat="1" applyBorder="1"/>
    <xf numFmtId="0" fontId="0" fillId="2" borderId="5" xfId="0" quotePrefix="1" applyFill="1" applyBorder="1"/>
    <xf numFmtId="0" fontId="4" fillId="2" borderId="5" xfId="1" quotePrefix="1" applyFill="1" applyBorder="1"/>
    <xf numFmtId="14" fontId="0" fillId="2" borderId="16" xfId="0" quotePrefix="1" applyNumberFormat="1" applyFill="1" applyBorder="1"/>
    <xf numFmtId="0" fontId="0" fillId="2" borderId="11" xfId="0" applyFill="1" applyBorder="1"/>
    <xf numFmtId="3" fontId="0" fillId="2" borderId="5" xfId="0" quotePrefix="1" applyNumberFormat="1" applyFill="1" applyBorder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29" xfId="0" applyFill="1" applyBorder="1"/>
    <xf numFmtId="0" fontId="0" fillId="2" borderId="14" xfId="0" applyFill="1" applyBorder="1"/>
    <xf numFmtId="0" fontId="0" fillId="2" borderId="10" xfId="0" applyFill="1" applyBorder="1"/>
    <xf numFmtId="14" fontId="0" fillId="2" borderId="39" xfId="0" quotePrefix="1" applyNumberFormat="1" applyFill="1" applyBorder="1"/>
    <xf numFmtId="0" fontId="0" fillId="0" borderId="8" xfId="0" quotePrefix="1" applyBorder="1"/>
    <xf numFmtId="0" fontId="0" fillId="0" borderId="9" xfId="0" quotePrefix="1" applyBorder="1"/>
    <xf numFmtId="9" fontId="0" fillId="0" borderId="11" xfId="0" applyNumberFormat="1" applyBorder="1" applyAlignment="1">
      <alignment horizontal="center"/>
    </xf>
    <xf numFmtId="0" fontId="0" fillId="2" borderId="22" xfId="0" quotePrefix="1" applyFill="1" applyBorder="1"/>
    <xf numFmtId="14" fontId="0" fillId="2" borderId="31" xfId="0" applyNumberFormat="1" applyFill="1" applyBorder="1"/>
    <xf numFmtId="3" fontId="0" fillId="0" borderId="32" xfId="0" applyNumberFormat="1" applyBorder="1"/>
    <xf numFmtId="3" fontId="0" fillId="2" borderId="15" xfId="0" applyNumberFormat="1" applyFill="1" applyBorder="1"/>
    <xf numFmtId="3" fontId="0" fillId="2" borderId="5" xfId="0" applyNumberFormat="1" applyFill="1" applyBorder="1"/>
    <xf numFmtId="3" fontId="0" fillId="2" borderId="14" xfId="0" applyNumberFormat="1" applyFill="1" applyBorder="1"/>
    <xf numFmtId="3" fontId="0" fillId="2" borderId="11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38" xfId="0" applyFill="1" applyBorder="1"/>
    <xf numFmtId="3" fontId="0" fillId="3" borderId="18" xfId="0" applyNumberFormat="1" applyFill="1" applyBorder="1"/>
    <xf numFmtId="3" fontId="0" fillId="3" borderId="17" xfId="0" applyNumberFormat="1" applyFill="1" applyBorder="1"/>
    <xf numFmtId="3" fontId="0" fillId="0" borderId="23" xfId="0" applyNumberFormat="1" applyBorder="1"/>
    <xf numFmtId="3" fontId="0" fillId="3" borderId="19" xfId="0" applyNumberFormat="1" applyFill="1" applyBorder="1"/>
    <xf numFmtId="3" fontId="0" fillId="0" borderId="30" xfId="0" applyNumberFormat="1" applyBorder="1"/>
    <xf numFmtId="3" fontId="0" fillId="3" borderId="28" xfId="0" applyNumberFormat="1" applyFill="1" applyBorder="1"/>
    <xf numFmtId="3" fontId="0" fillId="0" borderId="12" xfId="0" applyNumberFormat="1" applyBorder="1"/>
    <xf numFmtId="0" fontId="0" fillId="0" borderId="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 applyAlignment="1">
      <alignment horizontal="center"/>
    </xf>
    <xf numFmtId="14" fontId="0" fillId="0" borderId="4" xfId="0" quotePrefix="1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4" borderId="32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5" xfId="2" applyNumberFormat="1" applyFont="1" applyBorder="1"/>
    <xf numFmtId="164" fontId="5" fillId="0" borderId="5" xfId="2" applyNumberFormat="1" applyFont="1" applyBorder="1"/>
    <xf numFmtId="164" fontId="0" fillId="0" borderId="5" xfId="2" applyNumberFormat="1" applyFont="1" applyFill="1" applyBorder="1"/>
    <xf numFmtId="164" fontId="1" fillId="0" borderId="5" xfId="2" applyNumberFormat="1" applyFont="1" applyFill="1" applyBorder="1"/>
    <xf numFmtId="164" fontId="5" fillId="0" borderId="5" xfId="2" applyNumberFormat="1" applyFont="1" applyFill="1" applyBorder="1"/>
    <xf numFmtId="164" fontId="0" fillId="0" borderId="0" xfId="2" applyNumberFormat="1" applyFont="1"/>
    <xf numFmtId="165" fontId="1" fillId="0" borderId="0" xfId="3" applyNumberFormat="1" applyFont="1" applyFill="1"/>
    <xf numFmtId="164" fontId="1" fillId="0" borderId="0" xfId="2" applyNumberFormat="1" applyFont="1"/>
    <xf numFmtId="164" fontId="0" fillId="0" borderId="5" xfId="2" applyNumberFormat="1" applyFont="1" applyFill="1" applyBorder="1" applyAlignment="1">
      <alignment horizontal="center"/>
    </xf>
    <xf numFmtId="166" fontId="0" fillId="0" borderId="5" xfId="2" applyNumberFormat="1" applyFont="1" applyFill="1" applyBorder="1"/>
    <xf numFmtId="166" fontId="5" fillId="0" borderId="5" xfId="2" applyNumberFormat="1" applyFont="1" applyFill="1" applyBorder="1"/>
    <xf numFmtId="166" fontId="1" fillId="0" borderId="5" xfId="2" applyNumberFormat="1" applyFont="1" applyFill="1" applyBorder="1"/>
    <xf numFmtId="164" fontId="1" fillId="0" borderId="0" xfId="2" applyNumberFormat="1" applyFont="1" applyAlignment="1">
      <alignment horizontal="center"/>
    </xf>
    <xf numFmtId="166" fontId="0" fillId="0" borderId="0" xfId="2" applyNumberFormat="1" applyFont="1" applyFill="1"/>
    <xf numFmtId="164" fontId="1" fillId="0" borderId="0" xfId="2" applyNumberFormat="1" applyFont="1" applyFill="1"/>
    <xf numFmtId="166" fontId="1" fillId="0" borderId="0" xfId="2" applyNumberFormat="1" applyFont="1" applyFill="1"/>
    <xf numFmtId="166" fontId="0" fillId="0" borderId="0" xfId="2" applyNumberFormat="1" applyFont="1"/>
    <xf numFmtId="166" fontId="1" fillId="0" borderId="0" xfId="2" applyNumberFormat="1" applyFont="1"/>
    <xf numFmtId="0" fontId="0" fillId="5" borderId="22" xfId="0" quotePrefix="1" applyFill="1" applyBorder="1"/>
    <xf numFmtId="0" fontId="0" fillId="5" borderId="5" xfId="0" quotePrefix="1" applyFill="1" applyBorder="1"/>
    <xf numFmtId="3" fontId="0" fillId="5" borderId="5" xfId="0" applyNumberFormat="1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4" xfId="0" applyFill="1" applyBorder="1"/>
    <xf numFmtId="0" fontId="0" fillId="6" borderId="22" xfId="0" quotePrefix="1" applyFill="1" applyBorder="1"/>
    <xf numFmtId="0" fontId="0" fillId="6" borderId="5" xfId="0" quotePrefix="1" applyFill="1" applyBorder="1"/>
    <xf numFmtId="3" fontId="0" fillId="6" borderId="5" xfId="0" applyNumberFormat="1" applyFill="1" applyBorder="1" applyAlignment="1">
      <alignment horizontal="center"/>
    </xf>
    <xf numFmtId="9" fontId="0" fillId="6" borderId="5" xfId="0" applyNumberFormat="1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17" xfId="0" quotePrefix="1" applyFill="1" applyBorder="1"/>
    <xf numFmtId="0" fontId="0" fillId="5" borderId="41" xfId="0" quotePrefix="1" applyFill="1" applyBorder="1"/>
    <xf numFmtId="0" fontId="0" fillId="5" borderId="42" xfId="0" applyFill="1" applyBorder="1"/>
    <xf numFmtId="14" fontId="1" fillId="7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  <xf numFmtId="0" fontId="8" fillId="0" borderId="43" xfId="0" applyFont="1" applyBorder="1" applyAlignment="1">
      <alignment wrapText="1"/>
    </xf>
    <xf numFmtId="0" fontId="7" fillId="8" borderId="43" xfId="0" applyFont="1" applyFill="1" applyBorder="1" applyAlignment="1">
      <alignment wrapText="1"/>
    </xf>
    <xf numFmtId="0" fontId="6" fillId="0" borderId="43" xfId="0" applyFont="1" applyBorder="1" applyAlignment="1">
      <alignment horizontal="center" wrapText="1"/>
    </xf>
    <xf numFmtId="14" fontId="6" fillId="8" borderId="43" xfId="0" applyNumberFormat="1" applyFont="1" applyFill="1" applyBorder="1" applyAlignment="1">
      <alignment horizontal="center" wrapText="1"/>
    </xf>
    <xf numFmtId="0" fontId="0" fillId="5" borderId="41" xfId="0" quotePrefix="1" applyFill="1" applyBorder="1" applyAlignment="1">
      <alignment horizontal="center"/>
    </xf>
    <xf numFmtId="0" fontId="0" fillId="5" borderId="0" xfId="0" quotePrefix="1" applyFill="1"/>
    <xf numFmtId="0" fontId="0" fillId="5" borderId="2" xfId="0" quotePrefix="1" applyFill="1" applyBorder="1"/>
    <xf numFmtId="0" fontId="0" fillId="5" borderId="5" xfId="0" applyFill="1" applyBorder="1" applyAlignment="1">
      <alignment horizontal="right" indent="1"/>
    </xf>
    <xf numFmtId="14" fontId="0" fillId="0" borderId="3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29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4" fontId="0" fillId="0" borderId="5" xfId="0" quotePrefix="1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5" borderId="48" xfId="0" quotePrefix="1" applyFont="1" applyFill="1" applyBorder="1" applyAlignment="1">
      <alignment horizontal="center"/>
    </xf>
    <xf numFmtId="0" fontId="0" fillId="5" borderId="23" xfId="0" applyFill="1" applyBorder="1"/>
    <xf numFmtId="0" fontId="8" fillId="0" borderId="49" xfId="0" applyFont="1" applyBorder="1" applyAlignment="1">
      <alignment wrapText="1"/>
    </xf>
    <xf numFmtId="0" fontId="8" fillId="0" borderId="50" xfId="0" applyFont="1" applyBorder="1" applyAlignment="1">
      <alignment wrapText="1"/>
    </xf>
    <xf numFmtId="0" fontId="0" fillId="3" borderId="36" xfId="0" applyFill="1" applyBorder="1" applyAlignment="1">
      <alignment horizontal="left"/>
    </xf>
    <xf numFmtId="14" fontId="0" fillId="2" borderId="4" xfId="0" quotePrefix="1" applyNumberFormat="1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11" borderId="13" xfId="0" applyFill="1" applyBorder="1"/>
    <xf numFmtId="0" fontId="0" fillId="11" borderId="24" xfId="0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Font="1"/>
    <xf numFmtId="0" fontId="0" fillId="11" borderId="1" xfId="0" applyFill="1" applyBorder="1"/>
    <xf numFmtId="0" fontId="0" fillId="11" borderId="0" xfId="0" applyFill="1"/>
    <xf numFmtId="0" fontId="0" fillId="10" borderId="0" xfId="0" applyFill="1"/>
    <xf numFmtId="0" fontId="0" fillId="10" borderId="2" xfId="0" applyFill="1" applyBorder="1"/>
    <xf numFmtId="0" fontId="0" fillId="10" borderId="13" xfId="0" applyFill="1" applyBorder="1"/>
    <xf numFmtId="0" fontId="0" fillId="10" borderId="38" xfId="0" applyFill="1" applyBorder="1"/>
    <xf numFmtId="0" fontId="0" fillId="10" borderId="1" xfId="0" applyFill="1" applyBorder="1"/>
    <xf numFmtId="0" fontId="0" fillId="10" borderId="24" xfId="0" applyFill="1" applyBorder="1"/>
    <xf numFmtId="0" fontId="13" fillId="11" borderId="1" xfId="0" applyFont="1" applyFill="1" applyBorder="1"/>
    <xf numFmtId="0" fontId="10" fillId="11" borderId="0" xfId="0" applyFont="1" applyFill="1"/>
    <xf numFmtId="0" fontId="0" fillId="11" borderId="7" xfId="0" applyFill="1" applyBorder="1"/>
    <xf numFmtId="0" fontId="0" fillId="11" borderId="8" xfId="0" applyFill="1" applyBorder="1"/>
    <xf numFmtId="0" fontId="10" fillId="10" borderId="1" xfId="0" applyFont="1" applyFill="1" applyBorder="1"/>
    <xf numFmtId="0" fontId="10" fillId="10" borderId="0" xfId="0" applyFont="1" applyFill="1"/>
    <xf numFmtId="0" fontId="10" fillId="10" borderId="2" xfId="0" applyFont="1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4" fillId="0" borderId="0" xfId="0" applyFont="1" applyAlignment="1">
      <alignment horizontal="left" vertical="center"/>
    </xf>
    <xf numFmtId="0" fontId="0" fillId="3" borderId="10" xfId="0" applyFill="1" applyBorder="1" applyAlignment="1">
      <alignment horizontal="left"/>
    </xf>
    <xf numFmtId="14" fontId="0" fillId="0" borderId="0" xfId="0" applyNumberFormat="1"/>
    <xf numFmtId="0" fontId="17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19" fillId="17" borderId="0" xfId="0" applyFont="1" applyFill="1"/>
    <xf numFmtId="0" fontId="16" fillId="17" borderId="0" xfId="0" applyFont="1" applyFill="1"/>
    <xf numFmtId="14" fontId="20" fillId="17" borderId="0" xfId="0" applyNumberFormat="1" applyFont="1" applyFill="1"/>
    <xf numFmtId="0" fontId="20" fillId="17" borderId="0" xfId="0" applyFont="1" applyFill="1"/>
    <xf numFmtId="0" fontId="21" fillId="17" borderId="0" xfId="0" applyFont="1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3" borderId="0" xfId="0" applyFont="1" applyFill="1"/>
    <xf numFmtId="0" fontId="19" fillId="3" borderId="55" xfId="0" applyFont="1" applyFill="1" applyBorder="1"/>
    <xf numFmtId="0" fontId="21" fillId="3" borderId="55" xfId="0" applyFont="1" applyFill="1" applyBorder="1" applyAlignment="1">
      <alignment vertical="center"/>
    </xf>
    <xf numFmtId="0" fontId="17" fillId="17" borderId="0" xfId="0" applyFont="1" applyFill="1"/>
    <xf numFmtId="0" fontId="16" fillId="9" borderId="58" xfId="0" applyFont="1" applyFill="1" applyBorder="1"/>
    <xf numFmtId="14" fontId="16" fillId="9" borderId="58" xfId="0" applyNumberFormat="1" applyFont="1" applyFill="1" applyBorder="1"/>
    <xf numFmtId="14" fontId="16" fillId="9" borderId="62" xfId="0" applyNumberFormat="1" applyFont="1" applyFill="1" applyBorder="1"/>
    <xf numFmtId="0" fontId="16" fillId="9" borderId="62" xfId="0" applyFont="1" applyFill="1" applyBorder="1"/>
    <xf numFmtId="0" fontId="16" fillId="13" borderId="59" xfId="0" applyFont="1" applyFill="1" applyBorder="1"/>
    <xf numFmtId="0" fontId="16" fillId="13" borderId="61" xfId="0" applyFont="1" applyFill="1" applyBorder="1"/>
    <xf numFmtId="0" fontId="20" fillId="13" borderId="64" xfId="0" applyFont="1" applyFill="1" applyBorder="1"/>
    <xf numFmtId="14" fontId="16" fillId="9" borderId="65" xfId="0" applyNumberFormat="1" applyFont="1" applyFill="1" applyBorder="1"/>
    <xf numFmtId="0" fontId="16" fillId="9" borderId="65" xfId="0" applyFont="1" applyFill="1" applyBorder="1"/>
    <xf numFmtId="0" fontId="16" fillId="3" borderId="69" xfId="0" applyFont="1" applyFill="1" applyBorder="1"/>
    <xf numFmtId="14" fontId="16" fillId="3" borderId="70" xfId="0" applyNumberFormat="1" applyFont="1" applyFill="1" applyBorder="1"/>
    <xf numFmtId="0" fontId="16" fillId="3" borderId="72" xfId="0" applyFont="1" applyFill="1" applyBorder="1"/>
    <xf numFmtId="0" fontId="16" fillId="3" borderId="70" xfId="0" applyFont="1" applyFill="1" applyBorder="1"/>
    <xf numFmtId="0" fontId="17" fillId="3" borderId="52" xfId="0" applyFont="1" applyFill="1" applyBorder="1"/>
    <xf numFmtId="0" fontId="17" fillId="3" borderId="73" xfId="0" applyFont="1" applyFill="1" applyBorder="1"/>
    <xf numFmtId="0" fontId="18" fillId="3" borderId="73" xfId="0" applyFont="1" applyFill="1" applyBorder="1" applyAlignment="1">
      <alignment horizontal="center" vertical="center"/>
    </xf>
    <xf numFmtId="0" fontId="18" fillId="3" borderId="73" xfId="0" applyFont="1" applyFill="1" applyBorder="1" applyAlignment="1">
      <alignment vertical="center"/>
    </xf>
    <xf numFmtId="0" fontId="17" fillId="3" borderId="53" xfId="0" applyFont="1" applyFill="1" applyBorder="1"/>
    <xf numFmtId="0" fontId="17" fillId="17" borderId="74" xfId="0" applyFont="1" applyFill="1" applyBorder="1"/>
    <xf numFmtId="0" fontId="17" fillId="17" borderId="75" xfId="0" applyFont="1" applyFill="1" applyBorder="1"/>
    <xf numFmtId="0" fontId="16" fillId="17" borderId="74" xfId="0" applyFont="1" applyFill="1" applyBorder="1"/>
    <xf numFmtId="0" fontId="16" fillId="17" borderId="75" xfId="0" applyFont="1" applyFill="1" applyBorder="1"/>
    <xf numFmtId="0" fontId="17" fillId="17" borderId="74" xfId="0" applyFont="1" applyFill="1" applyBorder="1" applyAlignment="1">
      <alignment vertical="center"/>
    </xf>
    <xf numFmtId="0" fontId="17" fillId="17" borderId="75" xfId="0" applyFont="1" applyFill="1" applyBorder="1" applyAlignment="1">
      <alignment vertical="center"/>
    </xf>
    <xf numFmtId="0" fontId="17" fillId="17" borderId="56" xfId="0" applyFont="1" applyFill="1" applyBorder="1"/>
    <xf numFmtId="0" fontId="17" fillId="17" borderId="76" xfId="0" applyFont="1" applyFill="1" applyBorder="1"/>
    <xf numFmtId="0" fontId="17" fillId="17" borderId="57" xfId="0" applyFont="1" applyFill="1" applyBorder="1"/>
    <xf numFmtId="0" fontId="17" fillId="18" borderId="56" xfId="0" applyFont="1" applyFill="1" applyBorder="1"/>
    <xf numFmtId="0" fontId="17" fillId="18" borderId="76" xfId="0" applyFont="1" applyFill="1" applyBorder="1"/>
    <xf numFmtId="0" fontId="17" fillId="18" borderId="57" xfId="0" applyFont="1" applyFill="1" applyBorder="1"/>
    <xf numFmtId="0" fontId="17" fillId="18" borderId="0" xfId="0" applyFont="1" applyFill="1"/>
    <xf numFmtId="0" fontId="16" fillId="18" borderId="0" xfId="0" applyFont="1" applyFill="1"/>
    <xf numFmtId="0" fontId="24" fillId="3" borderId="71" xfId="0" applyFont="1" applyFill="1" applyBorder="1"/>
    <xf numFmtId="0" fontId="24" fillId="3" borderId="54" xfId="0" applyFont="1" applyFill="1" applyBorder="1" applyAlignment="1">
      <alignment vertical="center"/>
    </xf>
    <xf numFmtId="0" fontId="23" fillId="13" borderId="67" xfId="0" applyFont="1" applyFill="1" applyBorder="1"/>
    <xf numFmtId="0" fontId="23" fillId="13" borderId="77" xfId="0" applyFont="1" applyFill="1" applyBorder="1"/>
    <xf numFmtId="0" fontId="23" fillId="13" borderId="78" xfId="0" applyFont="1" applyFill="1" applyBorder="1"/>
    <xf numFmtId="0" fontId="23" fillId="9" borderId="67" xfId="0" applyFont="1" applyFill="1" applyBorder="1"/>
    <xf numFmtId="0" fontId="23" fillId="9" borderId="77" xfId="0" applyFont="1" applyFill="1" applyBorder="1"/>
    <xf numFmtId="0" fontId="23" fillId="9" borderId="78" xfId="0" applyFont="1" applyFill="1" applyBorder="1"/>
    <xf numFmtId="0" fontId="0" fillId="0" borderId="74" xfId="0" applyBorder="1"/>
    <xf numFmtId="42" fontId="0" fillId="0" borderId="0" xfId="4" applyFont="1" applyBorder="1"/>
    <xf numFmtId="42" fontId="0" fillId="0" borderId="75" xfId="4" applyFont="1" applyBorder="1"/>
    <xf numFmtId="0" fontId="0" fillId="0" borderId="56" xfId="0" applyBorder="1"/>
    <xf numFmtId="0" fontId="0" fillId="0" borderId="76" xfId="0" applyBorder="1" applyAlignment="1">
      <alignment horizontal="center"/>
    </xf>
    <xf numFmtId="42" fontId="0" fillId="0" borderId="76" xfId="4" applyFont="1" applyBorder="1"/>
    <xf numFmtId="42" fontId="0" fillId="0" borderId="57" xfId="4" applyFont="1" applyBorder="1"/>
    <xf numFmtId="167" fontId="25" fillId="0" borderId="75" xfId="2" applyNumberFormat="1" applyFont="1" applyFill="1" applyBorder="1"/>
    <xf numFmtId="0" fontId="0" fillId="0" borderId="76" xfId="0" applyBorder="1"/>
    <xf numFmtId="167" fontId="25" fillId="0" borderId="57" xfId="2" applyNumberFormat="1" applyFont="1" applyFill="1" applyBorder="1"/>
    <xf numFmtId="0" fontId="1" fillId="0" borderId="57" xfId="0" applyFont="1" applyBorder="1"/>
    <xf numFmtId="0" fontId="1" fillId="0" borderId="56" xfId="0" applyFont="1" applyBorder="1"/>
    <xf numFmtId="0" fontId="1" fillId="0" borderId="76" xfId="0" applyFont="1" applyBorder="1"/>
    <xf numFmtId="9" fontId="0" fillId="0" borderId="0" xfId="3" applyFont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8" fillId="3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7" fillId="19" borderId="0" xfId="0" applyFont="1" applyFill="1"/>
    <xf numFmtId="0" fontId="28" fillId="17" borderId="0" xfId="0" applyFont="1" applyFill="1" applyAlignment="1">
      <alignment horizontal="left" vertical="center"/>
    </xf>
    <xf numFmtId="0" fontId="19" fillId="0" borderId="0" xfId="0" applyFont="1"/>
    <xf numFmtId="0" fontId="28" fillId="0" borderId="0" xfId="0" applyFont="1"/>
    <xf numFmtId="14" fontId="17" fillId="0" borderId="0" xfId="0" applyNumberFormat="1" applyFont="1"/>
    <xf numFmtId="0" fontId="21" fillId="0" borderId="0" xfId="0" applyFont="1"/>
    <xf numFmtId="0" fontId="29" fillId="0" borderId="0" xfId="0" applyFont="1"/>
    <xf numFmtId="14" fontId="17" fillId="0" borderId="0" xfId="0" applyNumberFormat="1" applyFont="1" applyAlignment="1">
      <alignment horizontal="right"/>
    </xf>
    <xf numFmtId="0" fontId="16" fillId="3" borderId="67" xfId="0" applyFont="1" applyFill="1" applyBorder="1" applyAlignment="1">
      <alignment vertical="center"/>
    </xf>
    <xf numFmtId="0" fontId="17" fillId="3" borderId="107" xfId="0" applyFont="1" applyFill="1" applyBorder="1"/>
    <xf numFmtId="0" fontId="35" fillId="3" borderId="109" xfId="0" applyFont="1" applyFill="1" applyBorder="1" applyAlignment="1">
      <alignment vertical="center"/>
    </xf>
    <xf numFmtId="0" fontId="36" fillId="3" borderId="112" xfId="1" applyFont="1" applyFill="1" applyBorder="1" applyAlignment="1">
      <alignment vertical="center"/>
    </xf>
    <xf numFmtId="0" fontId="27" fillId="17" borderId="0" xfId="0" applyFont="1" applyFill="1" applyAlignment="1">
      <alignment vertical="center"/>
    </xf>
    <xf numFmtId="0" fontId="35" fillId="3" borderId="91" xfId="0" applyFont="1" applyFill="1" applyBorder="1" applyAlignment="1">
      <alignment vertical="center"/>
    </xf>
    <xf numFmtId="0" fontId="35" fillId="3" borderId="100" xfId="0" applyFont="1" applyFill="1" applyBorder="1" applyAlignment="1">
      <alignment vertical="center"/>
    </xf>
    <xf numFmtId="0" fontId="35" fillId="3" borderId="110" xfId="0" applyFont="1" applyFill="1" applyBorder="1" applyAlignment="1">
      <alignment vertical="center"/>
    </xf>
    <xf numFmtId="14" fontId="36" fillId="3" borderId="113" xfId="1" applyNumberFormat="1" applyFont="1" applyFill="1" applyBorder="1" applyAlignment="1">
      <alignment vertical="center"/>
    </xf>
    <xf numFmtId="0" fontId="35" fillId="3" borderId="120" xfId="0" applyFont="1" applyFill="1" applyBorder="1" applyAlignment="1">
      <alignment vertical="center"/>
    </xf>
    <xf numFmtId="42" fontId="16" fillId="3" borderId="118" xfId="4" applyFont="1" applyFill="1" applyBorder="1" applyAlignment="1">
      <alignment vertical="center"/>
    </xf>
    <xf numFmtId="14" fontId="16" fillId="3" borderId="65" xfId="0" applyNumberFormat="1" applyFont="1" applyFill="1" applyBorder="1" applyAlignment="1">
      <alignment vertical="center"/>
    </xf>
    <xf numFmtId="0" fontId="16" fillId="3" borderId="116" xfId="1" applyFont="1" applyFill="1" applyBorder="1" applyAlignment="1">
      <alignment vertical="center"/>
    </xf>
    <xf numFmtId="0" fontId="35" fillId="3" borderId="111" xfId="0" applyFont="1" applyFill="1" applyBorder="1" applyAlignment="1">
      <alignment vertical="center"/>
    </xf>
    <xf numFmtId="14" fontId="36" fillId="3" borderId="114" xfId="1" applyNumberFormat="1" applyFont="1" applyFill="1" applyBorder="1" applyAlignment="1">
      <alignment vertical="center"/>
    </xf>
    <xf numFmtId="0" fontId="35" fillId="3" borderId="114" xfId="0" applyFont="1" applyFill="1" applyBorder="1" applyAlignment="1">
      <alignment vertical="center"/>
    </xf>
    <xf numFmtId="42" fontId="16" fillId="3" borderId="119" xfId="4" applyFont="1" applyFill="1" applyBorder="1" applyAlignment="1">
      <alignment vertical="center"/>
    </xf>
    <xf numFmtId="14" fontId="16" fillId="3" borderId="98" xfId="0" applyNumberFormat="1" applyFont="1" applyFill="1" applyBorder="1" applyAlignment="1">
      <alignment vertical="center"/>
    </xf>
    <xf numFmtId="0" fontId="16" fillId="3" borderId="108" xfId="1" applyFont="1" applyFill="1" applyBorder="1" applyAlignment="1">
      <alignment vertical="center"/>
    </xf>
    <xf numFmtId="0" fontId="35" fillId="3" borderId="117" xfId="1" applyFont="1" applyFill="1" applyBorder="1" applyAlignment="1">
      <alignment vertical="center"/>
    </xf>
    <xf numFmtId="0" fontId="35" fillId="3" borderId="104" xfId="1" applyFont="1" applyFill="1" applyBorder="1" applyAlignment="1">
      <alignment vertical="center"/>
    </xf>
    <xf numFmtId="0" fontId="31" fillId="20" borderId="99" xfId="0" applyFont="1" applyFill="1" applyBorder="1"/>
    <xf numFmtId="0" fontId="32" fillId="20" borderId="100" xfId="1" applyFont="1" applyFill="1" applyBorder="1"/>
    <xf numFmtId="0" fontId="31" fillId="20" borderId="100" xfId="0" applyFont="1" applyFill="1" applyBorder="1"/>
    <xf numFmtId="0" fontId="33" fillId="20" borderId="100" xfId="1" applyFont="1" applyFill="1" applyBorder="1"/>
    <xf numFmtId="0" fontId="31" fillId="20" borderId="101" xfId="0" applyFont="1" applyFill="1" applyBorder="1"/>
    <xf numFmtId="0" fontId="33" fillId="20" borderId="101" xfId="1" applyFont="1" applyFill="1" applyBorder="1"/>
    <xf numFmtId="0" fontId="34" fillId="20" borderId="102" xfId="0" applyFont="1" applyFill="1" applyBorder="1"/>
    <xf numFmtId="0" fontId="16" fillId="20" borderId="92" xfId="0" applyFont="1" applyFill="1" applyBorder="1"/>
    <xf numFmtId="0" fontId="16" fillId="20" borderId="93" xfId="1" applyFont="1" applyFill="1" applyBorder="1"/>
    <xf numFmtId="9" fontId="16" fillId="20" borderId="93" xfId="3" applyFont="1" applyFill="1" applyBorder="1" applyAlignment="1">
      <alignment horizontal="center"/>
    </xf>
    <xf numFmtId="42" fontId="16" fillId="20" borderId="94" xfId="4" applyFont="1" applyFill="1" applyBorder="1"/>
    <xf numFmtId="42" fontId="16" fillId="20" borderId="95" xfId="4" applyFont="1" applyFill="1" applyBorder="1"/>
    <xf numFmtId="0" fontId="16" fillId="20" borderId="96" xfId="0" applyFont="1" applyFill="1" applyBorder="1"/>
    <xf numFmtId="0" fontId="16" fillId="20" borderId="58" xfId="1" applyFont="1" applyFill="1" applyBorder="1"/>
    <xf numFmtId="9" fontId="16" fillId="20" borderId="58" xfId="3" applyFont="1" applyFill="1" applyBorder="1" applyAlignment="1">
      <alignment horizontal="center"/>
    </xf>
    <xf numFmtId="42" fontId="16" fillId="20" borderId="88" xfId="4" applyFont="1" applyFill="1" applyBorder="1"/>
    <xf numFmtId="42" fontId="16" fillId="20" borderId="97" xfId="4" applyFont="1" applyFill="1" applyBorder="1"/>
    <xf numFmtId="0" fontId="16" fillId="20" borderId="121" xfId="0" applyFont="1" applyFill="1" applyBorder="1"/>
    <xf numFmtId="0" fontId="16" fillId="20" borderId="89" xfId="1" applyFont="1" applyFill="1" applyBorder="1"/>
    <xf numFmtId="9" fontId="16" fillId="20" borderId="89" xfId="3" applyFont="1" applyFill="1" applyBorder="1" applyAlignment="1">
      <alignment horizontal="center"/>
    </xf>
    <xf numFmtId="42" fontId="16" fillId="20" borderId="90" xfId="4" applyFont="1" applyFill="1" applyBorder="1"/>
    <xf numFmtId="42" fontId="16" fillId="20" borderId="105" xfId="4" applyFont="1" applyFill="1" applyBorder="1"/>
    <xf numFmtId="0" fontId="37" fillId="20" borderId="103" xfId="0" applyFont="1" applyFill="1" applyBorder="1"/>
    <xf numFmtId="0" fontId="35" fillId="20" borderId="122" xfId="0" applyFont="1" applyFill="1" applyBorder="1"/>
    <xf numFmtId="42" fontId="35" fillId="20" borderId="122" xfId="0" applyNumberFormat="1" applyFont="1" applyFill="1" applyBorder="1"/>
    <xf numFmtId="0" fontId="37" fillId="20" borderId="122" xfId="0" applyFont="1" applyFill="1" applyBorder="1"/>
    <xf numFmtId="0" fontId="35" fillId="20" borderId="122" xfId="0" applyFont="1" applyFill="1" applyBorder="1" applyAlignment="1">
      <alignment horizontal="right"/>
    </xf>
    <xf numFmtId="0" fontId="37" fillId="20" borderId="102" xfId="0" applyFont="1" applyFill="1" applyBorder="1"/>
    <xf numFmtId="41" fontId="16" fillId="20" borderId="93" xfId="5" applyFont="1" applyFill="1" applyBorder="1"/>
    <xf numFmtId="41" fontId="16" fillId="20" borderId="58" xfId="5" applyFont="1" applyFill="1" applyBorder="1"/>
    <xf numFmtId="41" fontId="16" fillId="20" borderId="89" xfId="5" applyFont="1" applyFill="1" applyBorder="1"/>
    <xf numFmtId="41" fontId="35" fillId="20" borderId="122" xfId="5" applyFont="1" applyFill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9" fontId="0" fillId="0" borderId="0" xfId="3" applyFont="1" applyProtection="1">
      <protection locked="0"/>
    </xf>
    <xf numFmtId="168" fontId="0" fillId="0" borderId="0" xfId="0" applyNumberFormat="1" applyProtection="1"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16" fillId="3" borderId="68" xfId="0" applyNumberFormat="1" applyFont="1" applyFill="1" applyBorder="1" applyProtection="1">
      <protection locked="0"/>
    </xf>
    <xf numFmtId="14" fontId="16" fillId="3" borderId="69" xfId="0" applyNumberFormat="1" applyFont="1" applyFill="1" applyBorder="1" applyProtection="1">
      <protection locked="0"/>
    </xf>
    <xf numFmtId="0" fontId="16" fillId="3" borderId="69" xfId="0" applyFont="1" applyFill="1" applyBorder="1" applyProtection="1">
      <protection locked="0"/>
    </xf>
    <xf numFmtId="0" fontId="16" fillId="3" borderId="57" xfId="0" applyFont="1" applyFill="1" applyBorder="1" applyAlignment="1" applyProtection="1">
      <alignment horizontal="center" vertical="center"/>
      <protection locked="0"/>
    </xf>
    <xf numFmtId="0" fontId="16" fillId="13" borderId="65" xfId="0" applyFont="1" applyFill="1" applyBorder="1" applyProtection="1">
      <protection locked="0"/>
    </xf>
    <xf numFmtId="0" fontId="4" fillId="13" borderId="65" xfId="1" applyFill="1" applyBorder="1" applyProtection="1">
      <protection locked="0"/>
    </xf>
    <xf numFmtId="0" fontId="16" fillId="13" borderId="66" xfId="0" applyFont="1" applyFill="1" applyBorder="1" applyProtection="1">
      <protection locked="0"/>
    </xf>
    <xf numFmtId="0" fontId="16" fillId="9" borderId="64" xfId="0" applyFont="1" applyFill="1" applyBorder="1" applyProtection="1">
      <protection locked="0"/>
    </xf>
    <xf numFmtId="0" fontId="16" fillId="13" borderId="58" xfId="0" applyFont="1" applyFill="1" applyBorder="1" applyProtection="1">
      <protection locked="0"/>
    </xf>
    <xf numFmtId="0" fontId="4" fillId="13" borderId="58" xfId="1" applyFill="1" applyBorder="1" applyProtection="1">
      <protection locked="0"/>
    </xf>
    <xf numFmtId="0" fontId="16" fillId="13" borderId="60" xfId="0" applyFont="1" applyFill="1" applyBorder="1" applyProtection="1">
      <protection locked="0"/>
    </xf>
    <xf numFmtId="0" fontId="16" fillId="9" borderId="59" xfId="0" applyFont="1" applyFill="1" applyBorder="1" applyProtection="1">
      <protection locked="0"/>
    </xf>
    <xf numFmtId="0" fontId="22" fillId="13" borderId="58" xfId="1" applyFont="1" applyFill="1" applyBorder="1" applyProtection="1">
      <protection locked="0"/>
    </xf>
    <xf numFmtId="0" fontId="16" fillId="13" borderId="62" xfId="0" applyFont="1" applyFill="1" applyBorder="1" applyProtection="1">
      <protection locked="0"/>
    </xf>
    <xf numFmtId="0" fontId="16" fillId="13" borderId="63" xfId="0" applyFont="1" applyFill="1" applyBorder="1" applyProtection="1">
      <protection locked="0"/>
    </xf>
    <xf numFmtId="0" fontId="16" fillId="9" borderId="61" xfId="0" applyFont="1" applyFill="1" applyBorder="1" applyProtection="1">
      <protection locked="0"/>
    </xf>
    <xf numFmtId="0" fontId="16" fillId="9" borderId="65" xfId="0" applyFont="1" applyFill="1" applyBorder="1" applyProtection="1">
      <protection locked="0"/>
    </xf>
    <xf numFmtId="0" fontId="16" fillId="9" borderId="58" xfId="0" applyFont="1" applyFill="1" applyBorder="1" applyProtection="1">
      <protection locked="0"/>
    </xf>
    <xf numFmtId="0" fontId="16" fillId="9" borderId="62" xfId="0" applyFont="1" applyFill="1" applyBorder="1" applyProtection="1">
      <protection locked="0"/>
    </xf>
    <xf numFmtId="0" fontId="16" fillId="9" borderId="66" xfId="0" applyFont="1" applyFill="1" applyBorder="1" applyProtection="1">
      <protection locked="0"/>
    </xf>
    <xf numFmtId="0" fontId="16" fillId="9" borderId="60" xfId="0" applyFont="1" applyFill="1" applyBorder="1" applyProtection="1">
      <protection locked="0"/>
    </xf>
    <xf numFmtId="0" fontId="16" fillId="9" borderId="63" xfId="0" applyFont="1" applyFill="1" applyBorder="1" applyProtection="1">
      <protection locked="0"/>
    </xf>
    <xf numFmtId="41" fontId="16" fillId="20" borderId="94" xfId="5" applyFont="1" applyFill="1" applyBorder="1"/>
    <xf numFmtId="41" fontId="16" fillId="20" borderId="88" xfId="5" applyFont="1" applyFill="1" applyBorder="1"/>
    <xf numFmtId="41" fontId="16" fillId="20" borderId="90" xfId="5" applyFont="1" applyFill="1" applyBorder="1"/>
    <xf numFmtId="0" fontId="24" fillId="13" borderId="79" xfId="0" applyFont="1" applyFill="1" applyBorder="1" applyAlignment="1">
      <alignment horizontal="center"/>
    </xf>
    <xf numFmtId="0" fontId="24" fillId="13" borderId="80" xfId="0" applyFont="1" applyFill="1" applyBorder="1" applyAlignment="1">
      <alignment horizontal="center"/>
    </xf>
    <xf numFmtId="0" fontId="24" fillId="13" borderId="81" xfId="0" applyFont="1" applyFill="1" applyBorder="1" applyAlignment="1">
      <alignment horizontal="center"/>
    </xf>
    <xf numFmtId="0" fontId="24" fillId="9" borderId="79" xfId="0" applyFont="1" applyFill="1" applyBorder="1" applyAlignment="1">
      <alignment horizontal="center"/>
    </xf>
    <xf numFmtId="0" fontId="24" fillId="9" borderId="80" xfId="0" applyFont="1" applyFill="1" applyBorder="1" applyAlignment="1">
      <alignment horizontal="center"/>
    </xf>
    <xf numFmtId="0" fontId="24" fillId="9" borderId="81" xfId="0" applyFont="1" applyFill="1" applyBorder="1" applyAlignment="1">
      <alignment horizontal="center"/>
    </xf>
    <xf numFmtId="0" fontId="18" fillId="3" borderId="73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30" fillId="3" borderId="106" xfId="0" applyFont="1" applyFill="1" applyBorder="1" applyAlignment="1">
      <alignment horizontal="left"/>
    </xf>
    <xf numFmtId="0" fontId="30" fillId="3" borderId="107" xfId="0" applyFont="1" applyFill="1" applyBorder="1" applyAlignment="1">
      <alignment horizontal="left"/>
    </xf>
    <xf numFmtId="0" fontId="30" fillId="3" borderId="115" xfId="0" applyFont="1" applyFill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9" xfId="0" applyFont="1" applyBorder="1" applyAlignment="1">
      <alignment horizontal="left"/>
    </xf>
    <xf numFmtId="0" fontId="12" fillId="11" borderId="1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2" fillId="10" borderId="8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9" fillId="12" borderId="85" xfId="0" applyFont="1" applyFill="1" applyBorder="1" applyAlignment="1" applyProtection="1">
      <alignment vertical="center" wrapText="1"/>
    </xf>
    <xf numFmtId="0" fontId="9" fillId="9" borderId="86" xfId="0" applyFont="1" applyFill="1" applyBorder="1" applyAlignment="1" applyProtection="1">
      <alignment horizontal="center" vertical="center"/>
    </xf>
    <xf numFmtId="0" fontId="9" fillId="9" borderId="87" xfId="0" applyFont="1" applyFill="1" applyBorder="1" applyAlignment="1" applyProtection="1">
      <alignment horizontal="center" vertical="center"/>
    </xf>
    <xf numFmtId="0" fontId="9" fillId="9" borderId="87" xfId="0" applyFont="1" applyFill="1" applyBorder="1" applyAlignment="1" applyProtection="1">
      <alignment horizontal="center" vertical="center" wrapText="1"/>
    </xf>
    <xf numFmtId="0" fontId="9" fillId="10" borderId="86" xfId="0" applyFont="1" applyFill="1" applyBorder="1" applyAlignment="1" applyProtection="1">
      <alignment horizontal="center" vertical="center"/>
    </xf>
    <xf numFmtId="0" fontId="9" fillId="10" borderId="87" xfId="0" applyFont="1" applyFill="1" applyBorder="1" applyAlignment="1" applyProtection="1">
      <alignment horizontal="center" vertical="center"/>
    </xf>
    <xf numFmtId="0" fontId="9" fillId="11" borderId="82" xfId="0" applyFont="1" applyFill="1" applyBorder="1" applyAlignment="1" applyProtection="1">
      <alignment horizontal="center" vertical="center"/>
    </xf>
    <xf numFmtId="0" fontId="9" fillId="11" borderId="83" xfId="0" applyFont="1" applyFill="1" applyBorder="1" applyAlignment="1" applyProtection="1">
      <alignment horizontal="center" vertical="center"/>
    </xf>
    <xf numFmtId="0" fontId="9" fillId="11" borderId="83" xfId="0" applyFont="1" applyFill="1" applyBorder="1" applyAlignment="1" applyProtection="1">
      <alignment horizontal="center" vertical="center" wrapText="1"/>
    </xf>
    <xf numFmtId="0" fontId="9" fillId="11" borderId="84" xfId="0" applyFont="1" applyFill="1" applyBorder="1" applyAlignment="1" applyProtection="1">
      <alignment horizontal="center" vertical="center" wrapText="1"/>
    </xf>
    <xf numFmtId="0" fontId="0" fillId="14" borderId="13" xfId="0" applyFill="1" applyBorder="1" applyAlignment="1" applyProtection="1">
      <alignment horizontal="center" vertical="center"/>
    </xf>
    <xf numFmtId="0" fontId="0" fillId="15" borderId="24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15" fillId="16" borderId="21" xfId="0" applyFont="1" applyFill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14" fontId="0" fillId="2" borderId="0" xfId="0" applyNumberFormat="1" applyFill="1" applyProtection="1"/>
    <xf numFmtId="0" fontId="0" fillId="0" borderId="0" xfId="0" applyProtection="1"/>
    <xf numFmtId="14" fontId="0" fillId="0" borderId="0" xfId="0" applyNumberFormat="1" applyProtection="1"/>
    <xf numFmtId="42" fontId="0" fillId="2" borderId="0" xfId="4" applyFont="1" applyFill="1" applyProtection="1"/>
    <xf numFmtId="42" fontId="0" fillId="0" borderId="0" xfId="4" applyFont="1" applyProtection="1"/>
    <xf numFmtId="0" fontId="0" fillId="2" borderId="0" xfId="0" applyFill="1" applyProtection="1"/>
    <xf numFmtId="41" fontId="0" fillId="2" borderId="0" xfId="5" applyFont="1" applyFill="1" applyProtection="1"/>
    <xf numFmtId="168" fontId="0" fillId="2" borderId="0" xfId="5" applyNumberFormat="1" applyFont="1" applyFill="1" applyProtection="1"/>
    <xf numFmtId="0" fontId="0" fillId="2" borderId="0" xfId="0" applyFill="1" applyAlignment="1" applyProtection="1">
      <alignment horizontal="center" vertical="center"/>
    </xf>
    <xf numFmtId="171" fontId="0" fillId="0" borderId="0" xfId="0" applyNumberFormat="1"/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24" xfId="0" applyFont="1" applyBorder="1"/>
    <xf numFmtId="14" fontId="17" fillId="0" borderId="38" xfId="0" applyNumberFormat="1" applyFont="1" applyBorder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 applyAlignment="1">
      <alignment horizontal="center" vertical="center"/>
    </xf>
    <xf numFmtId="183" fontId="42" fillId="0" borderId="0" xfId="5" applyNumberFormat="1" applyFont="1" applyAlignment="1">
      <alignment horizontal="center" vertical="center"/>
    </xf>
    <xf numFmtId="0" fontId="42" fillId="0" borderId="0" xfId="0" applyFont="1"/>
    <xf numFmtId="9" fontId="42" fillId="0" borderId="0" xfId="3" applyFont="1" applyAlignment="1">
      <alignment horizontal="center" vertical="center" wrapText="1"/>
    </xf>
    <xf numFmtId="181" fontId="42" fillId="0" borderId="0" xfId="0" applyNumberFormat="1" applyFont="1" applyAlignment="1">
      <alignment horizontal="center" vertical="center"/>
    </xf>
    <xf numFmtId="181" fontId="42" fillId="0" borderId="0" xfId="0" applyNumberFormat="1" applyFont="1" applyAlignment="1">
      <alignment horizontal="center" vertical="center" wrapText="1"/>
    </xf>
    <xf numFmtId="167" fontId="42" fillId="0" borderId="0" xfId="0" applyNumberFormat="1" applyFont="1" applyAlignment="1">
      <alignment horizontal="center" vertical="center"/>
    </xf>
    <xf numFmtId="167" fontId="42" fillId="0" borderId="0" xfId="0" applyNumberFormat="1" applyFont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2" fontId="16" fillId="0" borderId="124" xfId="4" applyFont="1" applyFill="1" applyBorder="1" applyAlignment="1">
      <alignment vertical="center"/>
    </xf>
    <xf numFmtId="14" fontId="16" fillId="0" borderId="125" xfId="0" applyNumberFormat="1" applyFont="1" applyFill="1" applyBorder="1" applyAlignment="1">
      <alignment vertical="center"/>
    </xf>
    <xf numFmtId="0" fontId="16" fillId="0" borderId="126" xfId="1" applyFont="1" applyFill="1" applyBorder="1" applyAlignment="1">
      <alignment vertical="center"/>
    </xf>
    <xf numFmtId="0" fontId="35" fillId="0" borderId="120" xfId="0" applyFont="1" applyFill="1" applyBorder="1" applyAlignment="1">
      <alignment vertical="center"/>
    </xf>
    <xf numFmtId="0" fontId="35" fillId="0" borderId="123" xfId="0" applyFont="1" applyFill="1" applyBorder="1" applyAlignment="1">
      <alignment vertical="center"/>
    </xf>
    <xf numFmtId="0" fontId="35" fillId="0" borderId="127" xfId="0" applyFont="1" applyFill="1" applyBorder="1" applyAlignment="1">
      <alignment vertical="center"/>
    </xf>
  </cellXfs>
  <cellStyles count="6">
    <cellStyle name="Hipervínculo" xfId="1" builtinId="8"/>
    <cellStyle name="Millares [0]" xfId="5" builtinId="6"/>
    <cellStyle name="Moneda" xfId="2" builtinId="4"/>
    <cellStyle name="Moneda [0]" xfId="4" builtinId="7"/>
    <cellStyle name="Normal" xfId="0" builtinId="0"/>
    <cellStyle name="Porcentaje" xfId="3" builtinId="5"/>
  </cellStyles>
  <dxfs count="12"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</dxfs>
  <tableStyles count="2" defaultTableStyle="TableStyleMedium2" defaultPivotStyle="PivotStyleLight16">
    <tableStyle name="tblExt" pivot="0" count="0" xr9:uid="{61AC4EEC-B621-FA46-BFFB-C3F3F7E809F7}"/>
    <tableStyle name="tblNac" pivot="0" count="0" xr9:uid="{A54CB06A-B124-2C40-96A3-DEBA128854C5}"/>
  </tableStyles>
  <colors>
    <mruColors>
      <color rgb="FF2454A9"/>
      <color rgb="FF207346"/>
      <color rgb="FFEFBCBA"/>
      <color rgb="FFEFF0C1"/>
      <color rgb="FFEBE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image" Target="../media/image2.jpeg"/><Relationship Id="rId5" Type="http://schemas.openxmlformats.org/officeDocument/2006/relationships/image" Target="../media/image7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475265</xdr:colOff>
      <xdr:row>0</xdr:row>
      <xdr:rowOff>976622</xdr:rowOff>
    </xdr:from>
    <xdr:to>
      <xdr:col>5</xdr:col>
      <xdr:colOff>1514511</xdr:colOff>
      <xdr:row>0</xdr:row>
      <xdr:rowOff>1430223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ECBFD1-DBC0-554C-83F0-9912E112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4265" y="976622"/>
          <a:ext cx="2271146" cy="453601"/>
        </a:xfrm>
        <a:prstGeom prst="rect">
          <a:avLst/>
        </a:prstGeom>
      </xdr:spPr>
    </xdr:pic>
    <xdr:clientData/>
  </xdr:twoCellAnchor>
  <xdr:twoCellAnchor editAs="oneCell">
    <xdr:from>
      <xdr:col>1</xdr:col>
      <xdr:colOff>247886</xdr:colOff>
      <xdr:row>0</xdr:row>
      <xdr:rowOff>225072</xdr:rowOff>
    </xdr:from>
    <xdr:to>
      <xdr:col>2</xdr:col>
      <xdr:colOff>98387</xdr:colOff>
      <xdr:row>0</xdr:row>
      <xdr:rowOff>791332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C6393D-17AC-4D45-ADCC-9E9AA0C88C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692386" y="225072"/>
          <a:ext cx="1450701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253002</xdr:colOff>
      <xdr:row>0</xdr:row>
      <xdr:rowOff>139700</xdr:rowOff>
    </xdr:from>
    <xdr:to>
      <xdr:col>5</xdr:col>
      <xdr:colOff>1618390</xdr:colOff>
      <xdr:row>0</xdr:row>
      <xdr:rowOff>915731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B86D15C-66E8-B74A-9A3D-68B80D9E6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37602" y="139700"/>
          <a:ext cx="4781688" cy="776031"/>
        </a:xfrm>
        <a:prstGeom prst="rect">
          <a:avLst/>
        </a:prstGeom>
      </xdr:spPr>
    </xdr:pic>
    <xdr:clientData/>
  </xdr:twoCellAnchor>
  <xdr:twoCellAnchor>
    <xdr:from>
      <xdr:col>5</xdr:col>
      <xdr:colOff>1526854</xdr:colOff>
      <xdr:row>20</xdr:row>
      <xdr:rowOff>432393</xdr:rowOff>
    </xdr:from>
    <xdr:to>
      <xdr:col>8</xdr:col>
      <xdr:colOff>1410</xdr:colOff>
      <xdr:row>20</xdr:row>
      <xdr:rowOff>1383365</xdr:rowOff>
    </xdr:to>
    <xdr:sp macro="[0]!GuardarDescuentosCobranza" textlink="">
      <xdr:nvSpPr>
        <xdr:cNvPr id="5" name="Bisel 4">
          <a:extLst>
            <a:ext uri="{FF2B5EF4-FFF2-40B4-BE49-F238E27FC236}">
              <a16:creationId xmlns:a16="http://schemas.microsoft.com/office/drawing/2014/main" id="{FAEDDDCE-64F7-2145-964C-D2C78A420D6D}"/>
            </a:ext>
          </a:extLst>
        </xdr:cNvPr>
        <xdr:cNvSpPr/>
      </xdr:nvSpPr>
      <xdr:spPr>
        <a:xfrm>
          <a:off x="8727754" y="6337893"/>
          <a:ext cx="3694256" cy="9509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0" baseline="0">
              <a:latin typeface="Avenir Heavy" panose="02000503020000020003" pitchFamily="2" charset="0"/>
            </a:rPr>
            <a:t>GUARDAR OPERACIÓN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4</xdr:row>
      <xdr:rowOff>12701</xdr:rowOff>
    </xdr:from>
    <xdr:to>
      <xdr:col>3</xdr:col>
      <xdr:colOff>12700</xdr:colOff>
      <xdr:row>7</xdr:row>
      <xdr:rowOff>1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590D7FCC-3CBF-F751-8372-1928D24E144F}"/>
            </a:ext>
          </a:extLst>
        </xdr:cNvPr>
        <xdr:cNvSpPr/>
      </xdr:nvSpPr>
      <xdr:spPr>
        <a:xfrm>
          <a:off x="1158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15875</xdr:colOff>
      <xdr:row>4</xdr:row>
      <xdr:rowOff>12701</xdr:rowOff>
    </xdr:from>
    <xdr:to>
      <xdr:col>6</xdr:col>
      <xdr:colOff>12700</xdr:colOff>
      <xdr:row>7</xdr:row>
      <xdr:rowOff>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CB732599-2A2C-5E45-B1D6-10CF68AD1BC4}"/>
            </a:ext>
          </a:extLst>
        </xdr:cNvPr>
        <xdr:cNvSpPr/>
      </xdr:nvSpPr>
      <xdr:spPr>
        <a:xfrm>
          <a:off x="4587875" y="431801"/>
          <a:ext cx="2282825" cy="1574799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15875</xdr:colOff>
      <xdr:row>4</xdr:row>
      <xdr:rowOff>12701</xdr:rowOff>
    </xdr:from>
    <xdr:to>
      <xdr:col>9</xdr:col>
      <xdr:colOff>12700</xdr:colOff>
      <xdr:row>7</xdr:row>
      <xdr:rowOff>1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AC956912-9366-5248-AC72-326432FB4D7F}"/>
            </a:ext>
          </a:extLst>
        </xdr:cNvPr>
        <xdr:cNvSpPr/>
      </xdr:nvSpPr>
      <xdr:spPr>
        <a:xfrm>
          <a:off x="8016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15875</xdr:colOff>
      <xdr:row>4</xdr:row>
      <xdr:rowOff>12701</xdr:rowOff>
    </xdr:from>
    <xdr:to>
      <xdr:col>12</xdr:col>
      <xdr:colOff>12700</xdr:colOff>
      <xdr:row>7</xdr:row>
      <xdr:rowOff>1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C9B385D0-2A89-E641-9193-D0A521332132}"/>
            </a:ext>
          </a:extLst>
        </xdr:cNvPr>
        <xdr:cNvSpPr/>
      </xdr:nvSpPr>
      <xdr:spPr>
        <a:xfrm>
          <a:off x="11445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6148</xdr:colOff>
      <xdr:row>10</xdr:row>
      <xdr:rowOff>16483</xdr:rowOff>
    </xdr:from>
    <xdr:to>
      <xdr:col>3</xdr:col>
      <xdr:colOff>0</xdr:colOff>
      <xdr:row>13</xdr:row>
      <xdr:rowOff>0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C3B4AFCF-91B5-634D-90FF-C5924C6F0774}"/>
            </a:ext>
          </a:extLst>
        </xdr:cNvPr>
        <xdr:cNvSpPr/>
      </xdr:nvSpPr>
      <xdr:spPr>
        <a:xfrm>
          <a:off x="1149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6148</xdr:colOff>
      <xdr:row>10</xdr:row>
      <xdr:rowOff>16483</xdr:rowOff>
    </xdr:from>
    <xdr:to>
      <xdr:col>6</xdr:col>
      <xdr:colOff>0</xdr:colOff>
      <xdr:row>13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8B34110A-0EA6-6345-8573-5340282DB44E}"/>
            </a:ext>
          </a:extLst>
        </xdr:cNvPr>
        <xdr:cNvSpPr/>
      </xdr:nvSpPr>
      <xdr:spPr>
        <a:xfrm>
          <a:off x="4578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6148</xdr:colOff>
      <xdr:row>10</xdr:row>
      <xdr:rowOff>16483</xdr:rowOff>
    </xdr:from>
    <xdr:to>
      <xdr:col>9</xdr:col>
      <xdr:colOff>0</xdr:colOff>
      <xdr:row>13</xdr:row>
      <xdr:rowOff>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13C91DB7-2AF3-B748-9A56-BC6259E6BF58}"/>
            </a:ext>
          </a:extLst>
        </xdr:cNvPr>
        <xdr:cNvSpPr/>
      </xdr:nvSpPr>
      <xdr:spPr>
        <a:xfrm>
          <a:off x="8007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6148</xdr:colOff>
      <xdr:row>10</xdr:row>
      <xdr:rowOff>16483</xdr:rowOff>
    </xdr:from>
    <xdr:to>
      <xdr:col>12</xdr:col>
      <xdr:colOff>0</xdr:colOff>
      <xdr:row>13</xdr:row>
      <xdr:rowOff>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A8218F37-3DEE-3346-B2AB-8E8EDA8DBCB5}"/>
            </a:ext>
          </a:extLst>
        </xdr:cNvPr>
        <xdr:cNvSpPr/>
      </xdr:nvSpPr>
      <xdr:spPr>
        <a:xfrm>
          <a:off x="11436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23442</xdr:colOff>
      <xdr:row>16</xdr:row>
      <xdr:rowOff>6757</xdr:rowOff>
    </xdr:from>
    <xdr:to>
      <xdr:col>3</xdr:col>
      <xdr:colOff>2568</xdr:colOff>
      <xdr:row>19</xdr:row>
      <xdr:rowOff>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AFA93CF5-F53F-0046-B347-A9F79DD4F57E}"/>
            </a:ext>
          </a:extLst>
        </xdr:cNvPr>
        <xdr:cNvSpPr/>
      </xdr:nvSpPr>
      <xdr:spPr>
        <a:xfrm>
          <a:off x="1166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23442</xdr:colOff>
      <xdr:row>16</xdr:row>
      <xdr:rowOff>6757</xdr:rowOff>
    </xdr:from>
    <xdr:to>
      <xdr:col>6</xdr:col>
      <xdr:colOff>2568</xdr:colOff>
      <xdr:row>19</xdr:row>
      <xdr:rowOff>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7C38B159-4C75-9341-87F9-6CB7EDD48059}"/>
            </a:ext>
          </a:extLst>
        </xdr:cNvPr>
        <xdr:cNvSpPr/>
      </xdr:nvSpPr>
      <xdr:spPr>
        <a:xfrm>
          <a:off x="4595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23442</xdr:colOff>
      <xdr:row>16</xdr:row>
      <xdr:rowOff>6757</xdr:rowOff>
    </xdr:from>
    <xdr:to>
      <xdr:col>9</xdr:col>
      <xdr:colOff>2568</xdr:colOff>
      <xdr:row>19</xdr:row>
      <xdr:rowOff>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F5F26F55-F747-5A4F-9B3D-2C7820887604}"/>
            </a:ext>
          </a:extLst>
        </xdr:cNvPr>
        <xdr:cNvSpPr/>
      </xdr:nvSpPr>
      <xdr:spPr>
        <a:xfrm>
          <a:off x="8024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23442</xdr:colOff>
      <xdr:row>16</xdr:row>
      <xdr:rowOff>6757</xdr:rowOff>
    </xdr:from>
    <xdr:to>
      <xdr:col>12</xdr:col>
      <xdr:colOff>2568</xdr:colOff>
      <xdr:row>19</xdr:row>
      <xdr:rowOff>0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4250FB1D-E6C5-2047-BE96-A2792B122110}"/>
            </a:ext>
          </a:extLst>
        </xdr:cNvPr>
        <xdr:cNvSpPr/>
      </xdr:nvSpPr>
      <xdr:spPr>
        <a:xfrm>
          <a:off x="11453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229681</xdr:colOff>
      <xdr:row>21</xdr:row>
      <xdr:rowOff>27021</xdr:rowOff>
    </xdr:from>
    <xdr:to>
      <xdr:col>13</xdr:col>
      <xdr:colOff>13511</xdr:colOff>
      <xdr:row>21</xdr:row>
      <xdr:rowOff>27021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93E8843A-811E-9D58-4EC6-C974E45D6A28}"/>
            </a:ext>
          </a:extLst>
        </xdr:cNvPr>
        <xdr:cNvCxnSpPr/>
      </xdr:nvCxnSpPr>
      <xdr:spPr>
        <a:xfrm>
          <a:off x="229681" y="4215319"/>
          <a:ext cx="10497766" cy="0"/>
        </a:xfrm>
        <a:prstGeom prst="line">
          <a:avLst/>
        </a:prstGeom>
        <a:ln w="38100">
          <a:solidFill>
            <a:srgbClr val="2454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305579</xdr:colOff>
      <xdr:row>0</xdr:row>
      <xdr:rowOff>982526</xdr:rowOff>
    </xdr:from>
    <xdr:to>
      <xdr:col>4</xdr:col>
      <xdr:colOff>339231</xdr:colOff>
      <xdr:row>0</xdr:row>
      <xdr:rowOff>1435630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5F9910-0939-2161-7E5E-70CCC50F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70058" y="982526"/>
          <a:ext cx="2296367" cy="459454"/>
        </a:xfrm>
        <a:prstGeom prst="rect">
          <a:avLst/>
        </a:prstGeom>
      </xdr:spPr>
    </xdr:pic>
    <xdr:clientData/>
  </xdr:twoCellAnchor>
  <xdr:twoCellAnchor editAs="oneCell">
    <xdr:from>
      <xdr:col>2</xdr:col>
      <xdr:colOff>705380</xdr:colOff>
      <xdr:row>0</xdr:row>
      <xdr:rowOff>56621</xdr:rowOff>
    </xdr:from>
    <xdr:to>
      <xdr:col>4</xdr:col>
      <xdr:colOff>1442396</xdr:colOff>
      <xdr:row>0</xdr:row>
      <xdr:rowOff>917724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4330D2-5472-51A5-C541-139AFA25A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3010" y="56621"/>
          <a:ext cx="5230522" cy="861103"/>
        </a:xfrm>
        <a:prstGeom prst="rect">
          <a:avLst/>
        </a:prstGeom>
      </xdr:spPr>
    </xdr:pic>
    <xdr:clientData/>
  </xdr:twoCellAnchor>
  <xdr:twoCellAnchor editAs="oneCell">
    <xdr:from>
      <xdr:col>1</xdr:col>
      <xdr:colOff>113478</xdr:colOff>
      <xdr:row>0</xdr:row>
      <xdr:rowOff>220837</xdr:rowOff>
    </xdr:from>
    <xdr:to>
      <xdr:col>1</xdr:col>
      <xdr:colOff>1568290</xdr:colOff>
      <xdr:row>0</xdr:row>
      <xdr:rowOff>787097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0C36AB0-9831-6340-9F85-02124603F4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8803" y="220837"/>
          <a:ext cx="1454812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969571</xdr:colOff>
      <xdr:row>24</xdr:row>
      <xdr:rowOff>27313</xdr:rowOff>
    </xdr:from>
    <xdr:to>
      <xdr:col>12</xdr:col>
      <xdr:colOff>1370715</xdr:colOff>
      <xdr:row>27</xdr:row>
      <xdr:rowOff>146376</xdr:rowOff>
    </xdr:to>
    <xdr:sp macro="[0]!GuardarReserva" textlink="">
      <xdr:nvSpPr>
        <xdr:cNvPr id="2" name="Bisel 1">
          <a:extLst>
            <a:ext uri="{FF2B5EF4-FFF2-40B4-BE49-F238E27FC236}">
              <a16:creationId xmlns:a16="http://schemas.microsoft.com/office/drawing/2014/main" id="{4415EF38-5415-266A-6C24-F87B0CB91F06}"/>
            </a:ext>
          </a:extLst>
        </xdr:cNvPr>
        <xdr:cNvSpPr/>
      </xdr:nvSpPr>
      <xdr:spPr>
        <a:xfrm>
          <a:off x="14215808" y="7592689"/>
          <a:ext cx="3514692" cy="733579"/>
        </a:xfrm>
        <a:prstGeom prst="bevel">
          <a:avLst>
            <a:gd name="adj" fmla="val 994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GUARDAD</a:t>
          </a:r>
          <a:r>
            <a:rPr lang="es-ES_tradnl" sz="2000" b="1" i="1" baseline="0">
              <a:latin typeface="Avenir Heavy Oblique" panose="02000503020000020003" pitchFamily="2" charset="0"/>
            </a:rPr>
            <a:t> RESERVA</a:t>
          </a:r>
          <a:endParaRPr lang="es-ES_tradnl" sz="2000" b="1" i="1">
            <a:latin typeface="Avenir Heavy Oblique" panose="02000503020000020003" pitchFamily="2" charset="0"/>
          </a:endParaRPr>
        </a:p>
      </xdr:txBody>
    </xdr:sp>
    <xdr:clientData/>
  </xdr:twoCellAnchor>
  <xdr:twoCellAnchor>
    <xdr:from>
      <xdr:col>6</xdr:col>
      <xdr:colOff>774700</xdr:colOff>
      <xdr:row>3</xdr:row>
      <xdr:rowOff>88900</xdr:rowOff>
    </xdr:from>
    <xdr:to>
      <xdr:col>10</xdr:col>
      <xdr:colOff>114300</xdr:colOff>
      <xdr:row>5</xdr:row>
      <xdr:rowOff>190500</xdr:rowOff>
    </xdr:to>
    <xdr:sp macro="[0]!IniciarGuiaReserva" textlink="">
      <xdr:nvSpPr>
        <xdr:cNvPr id="4" name="Bisel 3">
          <a:extLst>
            <a:ext uri="{FF2B5EF4-FFF2-40B4-BE49-F238E27FC236}">
              <a16:creationId xmlns:a16="http://schemas.microsoft.com/office/drawing/2014/main" id="{C5388F33-BFB6-93E9-8335-868AB18DCBD0}"/>
            </a:ext>
          </a:extLst>
        </xdr:cNvPr>
        <xdr:cNvSpPr/>
      </xdr:nvSpPr>
      <xdr:spPr>
        <a:xfrm>
          <a:off x="11226800" y="2032000"/>
          <a:ext cx="2857500" cy="6858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GUÍA DE RESERVAS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475265</xdr:colOff>
      <xdr:row>0</xdr:row>
      <xdr:rowOff>976622</xdr:rowOff>
    </xdr:from>
    <xdr:to>
      <xdr:col>5</xdr:col>
      <xdr:colOff>1359001</xdr:colOff>
      <xdr:row>0</xdr:row>
      <xdr:rowOff>1430223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C3A5BD6-A899-CA4B-AD4A-1BB8E21C3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96465" y="976622"/>
          <a:ext cx="2261585" cy="453601"/>
        </a:xfrm>
        <a:prstGeom prst="rect">
          <a:avLst/>
        </a:prstGeom>
      </xdr:spPr>
    </xdr:pic>
    <xdr:clientData/>
  </xdr:twoCellAnchor>
  <xdr:twoCellAnchor editAs="oneCell">
    <xdr:from>
      <xdr:col>1</xdr:col>
      <xdr:colOff>247886</xdr:colOff>
      <xdr:row>0</xdr:row>
      <xdr:rowOff>225072</xdr:rowOff>
    </xdr:from>
    <xdr:to>
      <xdr:col>2</xdr:col>
      <xdr:colOff>98387</xdr:colOff>
      <xdr:row>0</xdr:row>
      <xdr:rowOff>791332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43A605-A0E6-2C49-8079-9DD67605BE3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2686" y="225072"/>
          <a:ext cx="1450248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253002</xdr:colOff>
      <xdr:row>0</xdr:row>
      <xdr:rowOff>139700</xdr:rowOff>
    </xdr:from>
    <xdr:to>
      <xdr:col>5</xdr:col>
      <xdr:colOff>1462880</xdr:colOff>
      <xdr:row>0</xdr:row>
      <xdr:rowOff>915731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95BFD53-8A7A-C006-9080-82BA42E15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8002" y="139700"/>
          <a:ext cx="4772127" cy="776031"/>
        </a:xfrm>
        <a:prstGeom prst="rect">
          <a:avLst/>
        </a:prstGeom>
      </xdr:spPr>
    </xdr:pic>
    <xdr:clientData/>
  </xdr:twoCellAnchor>
  <xdr:twoCellAnchor>
    <xdr:from>
      <xdr:col>5</xdr:col>
      <xdr:colOff>1526854</xdr:colOff>
      <xdr:row>20</xdr:row>
      <xdr:rowOff>432393</xdr:rowOff>
    </xdr:from>
    <xdr:to>
      <xdr:col>8</xdr:col>
      <xdr:colOff>1410</xdr:colOff>
      <xdr:row>20</xdr:row>
      <xdr:rowOff>1383365</xdr:rowOff>
    </xdr:to>
    <xdr:sp macro="[0]!GuardarDescuentosCobranza" textlink="">
      <xdr:nvSpPr>
        <xdr:cNvPr id="3" name="Bisel 2">
          <a:extLst>
            <a:ext uri="{FF2B5EF4-FFF2-40B4-BE49-F238E27FC236}">
              <a16:creationId xmlns:a16="http://schemas.microsoft.com/office/drawing/2014/main" id="{86361735-1B0F-0DAB-70D7-1B552EA1BDD7}"/>
            </a:ext>
          </a:extLst>
        </xdr:cNvPr>
        <xdr:cNvSpPr/>
      </xdr:nvSpPr>
      <xdr:spPr>
        <a:xfrm>
          <a:off x="8690225" y="6525539"/>
          <a:ext cx="3183545" cy="9509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0" baseline="0">
              <a:latin typeface="Avenir Heavy" panose="02000503020000020003" pitchFamily="2" charset="0"/>
            </a:rPr>
            <a:t>GUARDAR OPERACIÓN</a:t>
          </a:r>
        </a:p>
      </xdr:txBody>
    </xdr:sp>
    <xdr:clientData/>
  </xdr:twoCellAnchor>
  <xdr:twoCellAnchor editAs="oneCell">
    <xdr:from>
      <xdr:col>6</xdr:col>
      <xdr:colOff>0</xdr:colOff>
      <xdr:row>24</xdr:row>
      <xdr:rowOff>0</xdr:rowOff>
    </xdr:from>
    <xdr:to>
      <xdr:col>14</xdr:col>
      <xdr:colOff>778847</xdr:colOff>
      <xdr:row>37</xdr:row>
      <xdr:rowOff>178060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0DEF085-66C4-88B3-E7AF-0729422E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286" y="8293878"/>
          <a:ext cx="6921500" cy="3340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61685</xdr:colOff>
      <xdr:row>0</xdr:row>
      <xdr:rowOff>87085</xdr:rowOff>
    </xdr:from>
    <xdr:to>
      <xdr:col>1</xdr:col>
      <xdr:colOff>1499704</xdr:colOff>
      <xdr:row>0</xdr:row>
      <xdr:rowOff>660400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371FF2-99B3-6F48-8EE6-FB17B7300B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6485" y="87085"/>
          <a:ext cx="1438019" cy="573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172835</xdr:colOff>
      <xdr:row>0</xdr:row>
      <xdr:rowOff>139031</xdr:rowOff>
    </xdr:from>
    <xdr:to>
      <xdr:col>4</xdr:col>
      <xdr:colOff>215614</xdr:colOff>
      <xdr:row>0</xdr:row>
      <xdr:rowOff>674318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C28A7-8B92-7943-8BF5-59D3BEC0D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949" y="139031"/>
          <a:ext cx="2673494" cy="535287"/>
        </a:xfrm>
        <a:prstGeom prst="rect">
          <a:avLst/>
        </a:prstGeom>
      </xdr:spPr>
    </xdr:pic>
    <xdr:clientData/>
  </xdr:twoCellAnchor>
  <xdr:twoCellAnchor editAs="oneCell">
    <xdr:from>
      <xdr:col>10</xdr:col>
      <xdr:colOff>16062</xdr:colOff>
      <xdr:row>19</xdr:row>
      <xdr:rowOff>9845</xdr:rowOff>
    </xdr:from>
    <xdr:to>
      <xdr:col>11</xdr:col>
      <xdr:colOff>6944</xdr:colOff>
      <xdr:row>20</xdr:row>
      <xdr:rowOff>180111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903A8C7-1733-A24C-AB61-A445E157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655862" y="8887145"/>
          <a:ext cx="1451382" cy="360766"/>
        </a:xfrm>
        <a:prstGeom prst="rect">
          <a:avLst/>
        </a:prstGeom>
      </xdr:spPr>
    </xdr:pic>
    <xdr:clientData/>
  </xdr:twoCellAnchor>
  <xdr:twoCellAnchor editAs="oneCell">
    <xdr:from>
      <xdr:col>1</xdr:col>
      <xdr:colOff>65113</xdr:colOff>
      <xdr:row>0</xdr:row>
      <xdr:rowOff>1101142</xdr:rowOff>
    </xdr:from>
    <xdr:to>
      <xdr:col>2</xdr:col>
      <xdr:colOff>763885</xdr:colOff>
      <xdr:row>1</xdr:row>
      <xdr:rowOff>765581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E9FC06-6FD3-1822-4550-E0A59A80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9913" y="1101142"/>
          <a:ext cx="2415086" cy="771153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jicaza@vecta.c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ABA3E-3918-B343-A032-D136F361D1CB}">
  <sheetPr codeName="Hoja9">
    <tabColor theme="5" tint="0.79998168889431442"/>
  </sheetPr>
  <dimension ref="A1:AW25"/>
  <sheetViews>
    <sheetView topLeftCell="AB1" zoomScale="98" zoomScaleNormal="98" workbookViewId="0">
      <selection activeCell="AJ24" sqref="AJ24"/>
    </sheetView>
  </sheetViews>
  <sheetFormatPr baseColWidth="10" defaultRowHeight="16" x14ac:dyDescent="0.25"/>
  <cols>
    <col min="1" max="1" width="5.83203125" style="177" customWidth="1"/>
    <col min="2" max="2" width="21" style="177" bestFit="1" customWidth="1"/>
    <col min="3" max="3" width="22.83203125" style="177" customWidth="1"/>
    <col min="4" max="4" width="28.6640625" style="177" bestFit="1" customWidth="1"/>
    <col min="5" max="5" width="16.1640625" style="177" customWidth="1"/>
    <col min="6" max="6" width="27.33203125" style="177" customWidth="1"/>
    <col min="7" max="7" width="21.83203125" style="177" customWidth="1"/>
    <col min="8" max="8" width="19.33203125" style="177" customWidth="1"/>
    <col min="9" max="9" width="5.1640625" style="177" customWidth="1"/>
    <col min="10" max="10" width="0.83203125" style="177" customWidth="1"/>
    <col min="11" max="11" width="19.6640625" style="177" customWidth="1"/>
    <col min="12" max="12" width="13.83203125" style="177" bestFit="1" customWidth="1"/>
    <col min="13" max="13" width="14.83203125" style="177" hidden="1" customWidth="1"/>
    <col min="14" max="14" width="0" style="177" hidden="1" customWidth="1"/>
    <col min="15" max="25" width="10.83203125" style="177"/>
    <col min="26" max="26" width="0" style="177" hidden="1" customWidth="1"/>
    <col min="27" max="33" width="10.83203125" style="177"/>
    <col min="34" max="34" width="20.33203125" style="177" bestFit="1" customWidth="1"/>
    <col min="35" max="35" width="7.1640625" style="177" bestFit="1" customWidth="1"/>
    <col min="36" max="36" width="10.83203125" style="177"/>
    <col min="37" max="37" width="16" style="177" customWidth="1"/>
    <col min="38" max="16384" width="10.83203125" style="177"/>
  </cols>
  <sheetData>
    <row r="1" spans="1:49" ht="114" customHeight="1" x14ac:dyDescent="0.25">
      <c r="A1" s="186"/>
      <c r="B1" s="186"/>
      <c r="C1" s="186"/>
      <c r="D1" s="351"/>
      <c r="E1" s="351"/>
      <c r="F1" s="351"/>
      <c r="G1" s="351"/>
      <c r="H1" s="351"/>
      <c r="I1" s="246"/>
      <c r="J1" s="247"/>
      <c r="K1" s="248"/>
      <c r="L1" s="249"/>
      <c r="M1" s="249"/>
    </row>
    <row r="2" spans="1:49" ht="9" customHeight="1" thickBot="1" x14ac:dyDescent="0.3">
      <c r="A2" s="250"/>
      <c r="B2" s="250"/>
      <c r="C2" s="250"/>
      <c r="D2" s="250"/>
      <c r="E2" s="250"/>
      <c r="F2" s="250"/>
      <c r="G2" s="250"/>
      <c r="H2" s="250"/>
      <c r="I2" s="250"/>
      <c r="J2" s="250"/>
    </row>
    <row r="3" spans="1:49" ht="48" customHeight="1" thickBot="1" x14ac:dyDescent="0.3">
      <c r="A3" s="189"/>
      <c r="B3" s="189"/>
      <c r="C3" s="189"/>
      <c r="D3" s="189"/>
      <c r="E3" s="189"/>
      <c r="F3" s="189"/>
      <c r="G3" s="189"/>
      <c r="H3" s="189"/>
      <c r="I3" s="189"/>
      <c r="J3" s="250"/>
      <c r="M3" s="177" t="s">
        <v>329</v>
      </c>
      <c r="N3" s="177" t="s">
        <v>330</v>
      </c>
      <c r="AC3" s="279" t="s">
        <v>18</v>
      </c>
      <c r="AD3" s="280" t="s">
        <v>227</v>
      </c>
      <c r="AE3" s="281" t="s">
        <v>308</v>
      </c>
      <c r="AF3" s="282" t="s">
        <v>319</v>
      </c>
      <c r="AG3" s="283" t="s">
        <v>320</v>
      </c>
      <c r="AH3" s="284" t="s">
        <v>309</v>
      </c>
      <c r="AI3" s="284" t="s">
        <v>392</v>
      </c>
      <c r="AJ3" s="284" t="s">
        <v>393</v>
      </c>
      <c r="AK3" s="284" t="s">
        <v>394</v>
      </c>
      <c r="AL3" s="284" t="s">
        <v>395</v>
      </c>
      <c r="AM3" s="284" t="s">
        <v>396</v>
      </c>
      <c r="AN3" s="284" t="s">
        <v>397</v>
      </c>
      <c r="AO3" s="284" t="s">
        <v>398</v>
      </c>
      <c r="AP3" s="284" t="s">
        <v>399</v>
      </c>
      <c r="AQ3" s="284" t="s">
        <v>400</v>
      </c>
      <c r="AR3" s="284" t="s">
        <v>401</v>
      </c>
      <c r="AS3" s="284" t="s">
        <v>402</v>
      </c>
      <c r="AT3" s="284" t="s">
        <v>403</v>
      </c>
      <c r="AU3" s="284" t="s">
        <v>404</v>
      </c>
      <c r="AV3" s="284" t="s">
        <v>405</v>
      </c>
      <c r="AW3" s="284" t="s">
        <v>406</v>
      </c>
    </row>
    <row r="4" spans="1:49" ht="29" customHeight="1" thickBot="1" x14ac:dyDescent="0.4">
      <c r="A4" s="189"/>
      <c r="B4" s="352" t="s">
        <v>222</v>
      </c>
      <c r="C4" s="353"/>
      <c r="D4" s="189"/>
      <c r="E4" s="352" t="s">
        <v>321</v>
      </c>
      <c r="F4" s="354"/>
      <c r="G4" s="354"/>
      <c r="H4" s="259"/>
      <c r="I4" s="189"/>
      <c r="J4" s="250"/>
      <c r="L4" s="177" t="s">
        <v>384</v>
      </c>
      <c r="M4" s="177" cm="1">
        <f t="array" ref="M4">IF($C$5="","",IFERROR(_xlfn.XLOOKUP($C$5&amp;"|"&amp;$B10,BBDD!$B$1:$B$253&amp;"|"&amp;BBDD!$C$1:$C$253,BBDD!$T$1:$T$253),$Z10))</f>
        <v>0</v>
      </c>
      <c r="N4" s="177" cm="1">
        <f t="array" ref="N4">IF($C$5="","",IFERROR(_xlfn.XLOOKUP($C$5&amp;"|"&amp;$B10,BBDD!$B$1:$B$253&amp;"|"&amp;BBDD!$C$1:$C$253,BBDD!$U$1:$U$253),$AA10))</f>
        <v>0</v>
      </c>
      <c r="AC4" s="286" t="s">
        <v>187</v>
      </c>
      <c r="AD4" s="287" t="s">
        <v>118</v>
      </c>
      <c r="AE4" s="307">
        <v>1750000</v>
      </c>
      <c r="AF4" s="288">
        <v>0</v>
      </c>
      <c r="AG4" s="341" t="s">
        <v>340</v>
      </c>
      <c r="AH4" s="289">
        <v>1750000</v>
      </c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AS4" s="289"/>
      <c r="AT4" s="289"/>
      <c r="AU4" s="289"/>
      <c r="AV4" s="289"/>
      <c r="AW4" s="289"/>
    </row>
    <row r="5" spans="1:49" ht="23" customHeight="1" thickBot="1" x14ac:dyDescent="0.3">
      <c r="A5" s="189"/>
      <c r="B5" s="260" t="s">
        <v>318</v>
      </c>
      <c r="C5" s="261" t="s">
        <v>214</v>
      </c>
      <c r="D5" s="262"/>
      <c r="E5" s="263"/>
      <c r="F5" s="277" t="s">
        <v>323</v>
      </c>
      <c r="G5" s="264" t="s">
        <v>324</v>
      </c>
      <c r="H5" s="278" t="s">
        <v>325</v>
      </c>
      <c r="I5" s="251"/>
      <c r="J5" s="250"/>
      <c r="L5" s="177" t="s">
        <v>385</v>
      </c>
      <c r="AC5" s="291" t="s">
        <v>326</v>
      </c>
      <c r="AD5" s="292" t="s">
        <v>113</v>
      </c>
      <c r="AE5" s="308">
        <v>1750000</v>
      </c>
      <c r="AF5" s="293">
        <v>0</v>
      </c>
      <c r="AG5" s="342">
        <v>0</v>
      </c>
      <c r="AH5" s="294">
        <v>1750000</v>
      </c>
      <c r="AI5" s="294"/>
      <c r="AJ5" s="294"/>
      <c r="AK5" s="294"/>
      <c r="AL5" s="294"/>
      <c r="AM5" s="294"/>
      <c r="AN5" s="294"/>
      <c r="AO5" s="294"/>
      <c r="AP5" s="294"/>
      <c r="AQ5" s="294"/>
      <c r="AR5" s="294"/>
      <c r="AS5" s="294"/>
      <c r="AT5" s="294"/>
      <c r="AU5" s="294"/>
      <c r="AV5" s="294"/>
      <c r="AW5" s="294"/>
    </row>
    <row r="6" spans="1:49" ht="17" x14ac:dyDescent="0.25">
      <c r="A6" s="189"/>
      <c r="B6" s="265" t="s">
        <v>216</v>
      </c>
      <c r="C6" s="266" t="str">
        <f>IFERROR(VLOOKUP($C$5,BBDD!#REF!,9,FALSE),"")</f>
        <v/>
      </c>
      <c r="D6" s="185"/>
      <c r="E6" s="267" t="s">
        <v>0</v>
      </c>
      <c r="F6" s="268">
        <f>+$G$20*0.5</f>
        <v>4375000</v>
      </c>
      <c r="G6" s="269" t="str" cm="1">
        <f t="array" ref="G6">IF($C$5="","",_xlfn.LET(_xlpm.col,_xlfn._xlws.FILTER(BBDD!$AE$3:$AE$2000,(BBDD!$B$3:$B$2000=$C$5)*(BBDD!$AE$3:$AE$2000&lt;&gt;"")),IFERROR(INDEX(_xlpm.col,ROWS(_xlpm.col)),"")))</f>
        <v/>
      </c>
      <c r="H6" s="270" t="str" cm="1">
        <f t="array" ref="H6">IF($C$5="","",_xlfn.LET(_xlpm.col,_xlfn._xlws.FILTER(BBDD!$AG$3:$AG$2000,(BBDD!$B$3:$B$2000=$C$5)*(BBDD!$AG$3:$AG$2000&lt;&gt;"")),IFERROR(INDEX(_xlpm.col,ROWS(_xlpm.col)),"")))</f>
        <v/>
      </c>
      <c r="I6" s="189"/>
      <c r="J6" s="250"/>
      <c r="L6" s="177" t="s">
        <v>386</v>
      </c>
      <c r="N6" s="177" t="str">
        <f>+N10</f>
        <v>CLP</v>
      </c>
      <c r="AC6" s="291" t="s">
        <v>327</v>
      </c>
      <c r="AD6" s="292" t="s">
        <v>115</v>
      </c>
      <c r="AE6" s="308">
        <v>1750000</v>
      </c>
      <c r="AF6" s="293">
        <v>0</v>
      </c>
      <c r="AG6" s="342">
        <v>0</v>
      </c>
      <c r="AH6" s="294">
        <v>1750000</v>
      </c>
      <c r="AI6" s="294"/>
      <c r="AJ6" s="294"/>
      <c r="AK6" s="294"/>
      <c r="AL6" s="294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</row>
    <row r="7" spans="1:49" ht="18" thickBot="1" x14ac:dyDescent="0.3">
      <c r="A7" s="189"/>
      <c r="B7" s="271" t="s">
        <v>217</v>
      </c>
      <c r="C7" s="272" t="str">
        <f>IFERROR(VLOOKUP($C$5,BBDD!#REF!,10,FALSE),"")</f>
        <v/>
      </c>
      <c r="D7" s="185"/>
      <c r="E7" s="273" t="s">
        <v>322</v>
      </c>
      <c r="F7" s="274">
        <f>+$G$20*0.5</f>
        <v>4375000</v>
      </c>
      <c r="G7" s="275" t="str" cm="1">
        <f t="array" ref="G7">IF($C$5="","",_xlfn.LET(_xlpm.col,_xlfn._xlws.FILTER(BBDD!$AM$3:$AM$2000,(BBDD!$B$3:$B$2000=$C$5)*(BBDD!$AM$3:$AM$2000&lt;&gt;"")),IFERROR(INDEX(_xlpm.col,ROWS(_xlpm.col)),"")))</f>
        <v/>
      </c>
      <c r="H7" s="276" t="str" cm="1">
        <f t="array" ref="H7">IF($C$5="","",_xlfn.LET(_xlpm.col,_xlfn._xlws.FILTER(BBDD!$AO$3:$AO$2000,(BBDD!$B$3:$B$2000=$C$5)*(BBDD!$AO$3:$AO$2000&lt;&gt;"")),IFERROR(INDEX(_xlpm.col,ROWS(_xlpm.col)),"")))</f>
        <v/>
      </c>
      <c r="I7" s="189"/>
      <c r="J7" s="250"/>
      <c r="L7" s="177" t="s">
        <v>387</v>
      </c>
      <c r="N7" s="177" t="str">
        <f>+N10</f>
        <v>CLP</v>
      </c>
      <c r="AC7" s="291" t="s">
        <v>310</v>
      </c>
      <c r="AD7" s="292" t="s">
        <v>116</v>
      </c>
      <c r="AE7" s="308">
        <v>1750000</v>
      </c>
      <c r="AF7" s="293">
        <v>0</v>
      </c>
      <c r="AG7" s="342">
        <v>0</v>
      </c>
      <c r="AH7" s="294">
        <v>1750000</v>
      </c>
      <c r="AI7" s="294"/>
      <c r="AJ7" s="294"/>
      <c r="AK7" s="294"/>
      <c r="AL7" s="294"/>
      <c r="AM7" s="294"/>
      <c r="AN7" s="294"/>
      <c r="AO7" s="294"/>
      <c r="AP7" s="294"/>
      <c r="AQ7" s="294"/>
      <c r="AR7" s="294"/>
      <c r="AS7" s="294"/>
      <c r="AT7" s="294"/>
      <c r="AU7" s="294"/>
      <c r="AV7" s="294"/>
      <c r="AW7" s="294"/>
    </row>
    <row r="8" spans="1:49" ht="18" thickBot="1" x14ac:dyDescent="0.3">
      <c r="A8" s="189"/>
      <c r="B8" s="189"/>
      <c r="C8" s="189"/>
      <c r="D8" s="189"/>
      <c r="E8" s="189"/>
      <c r="F8" s="189"/>
      <c r="G8" s="189"/>
      <c r="H8" s="189"/>
      <c r="I8" s="189"/>
      <c r="J8" s="250"/>
      <c r="L8" s="177" t="s">
        <v>388</v>
      </c>
      <c r="AC8" s="291" t="s">
        <v>328</v>
      </c>
      <c r="AD8" s="292" t="s">
        <v>117</v>
      </c>
      <c r="AE8" s="308">
        <v>1750000</v>
      </c>
      <c r="AF8" s="293">
        <v>0</v>
      </c>
      <c r="AG8" s="342">
        <v>0</v>
      </c>
      <c r="AH8" s="294">
        <v>1750000</v>
      </c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</row>
    <row r="9" spans="1:49" ht="18" thickBot="1" x14ac:dyDescent="0.3">
      <c r="A9" s="189"/>
      <c r="B9" s="279" t="s">
        <v>18</v>
      </c>
      <c r="C9" s="280" t="s">
        <v>227</v>
      </c>
      <c r="D9" s="281" t="s">
        <v>308</v>
      </c>
      <c r="E9" s="282" t="s">
        <v>319</v>
      </c>
      <c r="F9" s="283" t="s">
        <v>320</v>
      </c>
      <c r="G9" s="284" t="s">
        <v>309</v>
      </c>
      <c r="H9" s="285"/>
      <c r="I9" s="189"/>
      <c r="J9" s="250"/>
      <c r="L9" s="177" t="s">
        <v>389</v>
      </c>
      <c r="AC9" s="291"/>
      <c r="AD9" s="292"/>
      <c r="AE9" s="308" t="s">
        <v>340</v>
      </c>
      <c r="AF9" s="293" t="s">
        <v>340</v>
      </c>
      <c r="AG9" s="342" t="s">
        <v>340</v>
      </c>
      <c r="AH9" s="294" t="s">
        <v>340</v>
      </c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  <c r="AU9" s="294"/>
      <c r="AV9" s="294"/>
      <c r="AW9" s="294"/>
    </row>
    <row r="10" spans="1:49" ht="17" x14ac:dyDescent="0.25">
      <c r="A10" s="189"/>
      <c r="B10" s="286" t="str" cm="1">
        <f t="array" ref="B10:B14">IF($C$5="","",_xlfn.TAKE(_xlfn._xlws.FILTER(BBDD!$C$1:$C$241, BBDD!$B$1:$B$241=$C$5, ""), 10))</f>
        <v>Encargado</v>
      </c>
      <c r="C10" s="287" t="str" cm="1">
        <f t="array" ref="C10:C14">IF($C$5="","",_xlfn.TAKE(_xlfn._xlws.FILTER(BBDD!$E$1:$E$241, BBDD!$B$1:$B$241=$C$5, ""), 10))</f>
        <v>Rafael Loyola Dominguez</v>
      </c>
      <c r="D10" s="307" cm="1">
        <f t="array" ref="D10">IF($C$5="","",_xlfn.XLOOKUP($C$5&amp;"|"&amp;$B10, BBDD!$B$1:$B$241&amp;"|"&amp;BBDD!$C$1:$C$241, BBDD!$R$1:$R$241, ""))</f>
        <v>1750000</v>
      </c>
      <c r="E10" s="288">
        <v>0</v>
      </c>
      <c r="F10" s="341" t="str" cm="1">
        <f t="array" ref="F10">IF($C$5="","",_xlfn.LET(_xlpm.v,_xlfn.XLOOKUP($C$5&amp;"|"&amp;$B10,BBDD!$B$3:$B$2000&amp;"|"&amp;BBDD!$C$3:$C$2000,BBDD!$U$3:$U$2000,""),_xlpm.v))</f>
        <v/>
      </c>
      <c r="G10" s="289">
        <f>IF(D10="","",D10*(1-E10))</f>
        <v>1750000</v>
      </c>
      <c r="H10" s="290"/>
      <c r="I10" s="189"/>
      <c r="J10" s="250"/>
      <c r="N10" s="177" t="str" cm="1">
        <f t="array" ref="N10">IF($C$5="","",_xlfn.XLOOKUP($C$5&amp;"|"&amp;$B10,BBDD!$B$1:$B$253&amp;"|"&amp;BBDD!$C$1:$C$253,BBDD!$Q$1:$Q$253,""))</f>
        <v>CLP</v>
      </c>
      <c r="AC10" s="291"/>
      <c r="AD10" s="292"/>
      <c r="AE10" s="308" t="s">
        <v>340</v>
      </c>
      <c r="AF10" s="293" t="s">
        <v>340</v>
      </c>
      <c r="AG10" s="342" t="s">
        <v>340</v>
      </c>
      <c r="AH10" s="294" t="s">
        <v>340</v>
      </c>
      <c r="AI10" s="294"/>
      <c r="AJ10" s="294"/>
      <c r="AK10" s="294"/>
      <c r="AL10" s="294"/>
      <c r="AM10" s="294"/>
      <c r="AN10" s="294"/>
      <c r="AO10" s="294"/>
      <c r="AP10" s="294"/>
      <c r="AQ10" s="294"/>
      <c r="AR10" s="294"/>
      <c r="AS10" s="294"/>
      <c r="AT10" s="294"/>
      <c r="AU10" s="294"/>
      <c r="AV10" s="294"/>
      <c r="AW10" s="294"/>
    </row>
    <row r="11" spans="1:49" ht="17" x14ac:dyDescent="0.25">
      <c r="A11" s="189"/>
      <c r="B11" s="291" t="str">
        <v>N˚2</v>
      </c>
      <c r="C11" s="292" t="str">
        <v>Jose luis Rodriguez casanueva</v>
      </c>
      <c r="D11" s="308" cm="1">
        <f t="array" ref="D11">IF($C$5="","",_xlfn.XLOOKUP($C$5&amp;"|"&amp;$B11, BBDD!$B$1:$B$241&amp;"|"&amp;BBDD!$C$1:$C$241, BBDD!$R$1:$R$241, ""))</f>
        <v>1750000</v>
      </c>
      <c r="E11" s="293" cm="1">
        <f t="array" ref="E11">IF($C$5="","",_xlfn.LET(_xlpm.v,_xlfn.XLOOKUP($C$5&amp;"|"&amp;$B11,BBDD!$B$3:$B$2000&amp;"|"&amp;BBDD!$C$3:$C$2000,BBDD!$T$3:$T$2000,""),_xlpm.v))</f>
        <v>0</v>
      </c>
      <c r="F11" s="342" cm="1">
        <f t="array" ref="F11">IF($C$5="","",_xlfn.LET(_xlpm.v,_xlfn.XLOOKUP($C$5&amp;"|"&amp;$B11,BBDD!$B$3:$B$2000&amp;"|"&amp;BBDD!$C$3:$C$2000,BBDD!$U$3:$U$2000,""),_xlpm.v))</f>
        <v>0</v>
      </c>
      <c r="G11" s="294">
        <f>IF(D11="","",D11*(1-E11))</f>
        <v>1750000</v>
      </c>
      <c r="H11" s="295"/>
      <c r="I11" s="189"/>
      <c r="J11" s="250"/>
      <c r="M11" s="177" t="s">
        <v>333</v>
      </c>
      <c r="N11" s="177" t="str" cm="1">
        <f t="array" ref="N11">IF($C$5="","",_xlfn.XLOOKUP($C$5&amp;"|"&amp;$B11,BBDD!$B$1:$B$253&amp;"|"&amp;BBDD!$C$1:$C$253,BBDD!$Q$1:$Q$253,""))</f>
        <v>CLP</v>
      </c>
      <c r="AC11" s="291"/>
      <c r="AD11" s="292"/>
      <c r="AE11" s="308" t="s">
        <v>340</v>
      </c>
      <c r="AF11" s="293" t="s">
        <v>340</v>
      </c>
      <c r="AG11" s="342" t="s">
        <v>340</v>
      </c>
      <c r="AH11" s="294" t="s">
        <v>340</v>
      </c>
      <c r="AI11" s="294"/>
      <c r="AJ11" s="294"/>
      <c r="AK11" s="294"/>
      <c r="AL11" s="294"/>
      <c r="AM11" s="294"/>
      <c r="AN11" s="294"/>
      <c r="AO11" s="294"/>
      <c r="AP11" s="294"/>
      <c r="AQ11" s="294"/>
      <c r="AR11" s="294"/>
      <c r="AS11" s="294"/>
      <c r="AT11" s="294"/>
      <c r="AU11" s="294"/>
      <c r="AV11" s="294"/>
      <c r="AW11" s="294"/>
    </row>
    <row r="12" spans="1:49" ht="17" x14ac:dyDescent="0.25">
      <c r="A12" s="189"/>
      <c r="B12" s="291" t="str">
        <v>N˚3</v>
      </c>
      <c r="C12" s="292" t="str">
        <v>Borja Rodriguez Rios</v>
      </c>
      <c r="D12" s="308" cm="1">
        <f t="array" ref="D12">IF($C$5="","",_xlfn.XLOOKUP($C$5&amp;"|"&amp;$B12, BBDD!$B$1:$B$241&amp;"|"&amp;BBDD!$C$1:$C$241, BBDD!$R$1:$R$241, ""))</f>
        <v>1750000</v>
      </c>
      <c r="E12" s="293" cm="1">
        <f t="array" ref="E12">IF($C$5="","",_xlfn.LET(_xlpm.v,_xlfn.XLOOKUP($C$5&amp;"|"&amp;$B12,BBDD!$B$3:$B$2000&amp;"|"&amp;BBDD!$C$3:$C$2000,BBDD!$T$3:$T$2000,""),_xlpm.v))</f>
        <v>0</v>
      </c>
      <c r="F12" s="342" cm="1">
        <f t="array" ref="F12">IF($C$5="","",_xlfn.LET(_xlpm.v,_xlfn.XLOOKUP($C$5&amp;"|"&amp;$B12,BBDD!$B$3:$B$2000&amp;"|"&amp;BBDD!$C$3:$C$2000,BBDD!$U$3:$U$2000,""),_xlpm.v))</f>
        <v>0</v>
      </c>
      <c r="G12" s="294">
        <f t="shared" ref="G12:G19" si="0">IF(D12="","",D12*(1-E12))</f>
        <v>1750000</v>
      </c>
      <c r="H12" s="295"/>
      <c r="I12" s="189"/>
      <c r="J12" s="250"/>
      <c r="M12" s="177" t="s">
        <v>334</v>
      </c>
      <c r="N12" s="177" t="str" cm="1">
        <f t="array" ref="N12">IF($C$5="","",_xlfn.XLOOKUP($C$5&amp;"|"&amp;$B12,BBDD!$B$1:$B$253&amp;"|"&amp;BBDD!$C$1:$C$253,BBDD!$Q$1:$Q$253,""))</f>
        <v>CLP</v>
      </c>
      <c r="AC12" s="291"/>
      <c r="AD12" s="292"/>
      <c r="AE12" s="308" t="s">
        <v>340</v>
      </c>
      <c r="AF12" s="293" t="s">
        <v>340</v>
      </c>
      <c r="AG12" s="342" t="s">
        <v>340</v>
      </c>
      <c r="AH12" s="294" t="s">
        <v>340</v>
      </c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</row>
    <row r="13" spans="1:49" ht="18" thickBot="1" x14ac:dyDescent="0.3">
      <c r="A13" s="189"/>
      <c r="B13" s="291" t="str">
        <v>N˚4</v>
      </c>
      <c r="C13" s="292" t="str">
        <v>Ignacio Rodiguez Rios</v>
      </c>
      <c r="D13" s="308" cm="1">
        <f t="array" ref="D13">IF($C$5="","",_xlfn.XLOOKUP($C$5&amp;"|"&amp;$B13, BBDD!$B$1:$B$241&amp;"|"&amp;BBDD!$C$1:$C$241, BBDD!$R$1:$R$241, ""))</f>
        <v>1750000</v>
      </c>
      <c r="E13" s="293" cm="1">
        <f t="array" ref="E13">IF($C$5="","",_xlfn.LET(_xlpm.v,_xlfn.XLOOKUP($C$5&amp;"|"&amp;$B13,BBDD!$B$3:$B$2000&amp;"|"&amp;BBDD!$C$3:$C$2000,BBDD!$T$3:$T$2000,""),_xlpm.v))</f>
        <v>0</v>
      </c>
      <c r="F13" s="342" cm="1">
        <f t="array" ref="F13">IF($C$5="","",_xlfn.LET(_xlpm.v,_xlfn.XLOOKUP($C$5&amp;"|"&amp;$B13,BBDD!$B$3:$B$2000&amp;"|"&amp;BBDD!$C$3:$C$2000,BBDD!$U$3:$U$2000,""),_xlpm.v))</f>
        <v>0</v>
      </c>
      <c r="G13" s="294">
        <f t="shared" si="0"/>
        <v>1750000</v>
      </c>
      <c r="H13" s="295"/>
      <c r="I13" s="189"/>
      <c r="J13" s="250"/>
      <c r="N13" s="177" t="str" cm="1">
        <f t="array" ref="N13">IF($C$5="","",_xlfn.XLOOKUP($C$5&amp;"|"&amp;$B13,BBDD!$B$1:$B$253&amp;"|"&amp;BBDD!$C$1:$C$253,BBDD!$Q$1:$Q$253,""))</f>
        <v>CLP</v>
      </c>
      <c r="AC13" s="296"/>
      <c r="AD13" s="297"/>
      <c r="AE13" s="309" t="s">
        <v>340</v>
      </c>
      <c r="AF13" s="298" t="s">
        <v>340</v>
      </c>
      <c r="AG13" s="343" t="s">
        <v>340</v>
      </c>
      <c r="AH13" s="299" t="s">
        <v>340</v>
      </c>
      <c r="AI13" s="299"/>
      <c r="AJ13" s="299"/>
      <c r="AK13" s="299"/>
      <c r="AL13" s="299"/>
      <c r="AM13" s="299"/>
      <c r="AN13" s="299"/>
      <c r="AO13" s="299"/>
      <c r="AP13" s="299"/>
      <c r="AQ13" s="299"/>
      <c r="AR13" s="299"/>
      <c r="AS13" s="299"/>
      <c r="AT13" s="299"/>
      <c r="AU13" s="299"/>
      <c r="AV13" s="299"/>
      <c r="AW13" s="299"/>
    </row>
    <row r="14" spans="1:49" ht="18" thickBot="1" x14ac:dyDescent="0.3">
      <c r="A14" s="189"/>
      <c r="B14" s="291" t="str">
        <v>N˚5</v>
      </c>
      <c r="C14" s="292" t="str">
        <v>Cristian Fabres Ruiz</v>
      </c>
      <c r="D14" s="308" cm="1">
        <f t="array" ref="D14">IF($C$5="","",_xlfn.XLOOKUP($C$5&amp;"|"&amp;$B14, BBDD!$B$1:$B$241&amp;"|"&amp;BBDD!$C$1:$C$241, BBDD!$R$1:$R$241, ""))</f>
        <v>1750000</v>
      </c>
      <c r="E14" s="293" cm="1">
        <f t="array" ref="E14">IF($C$5="","",_xlfn.LET(_xlpm.v,_xlfn.XLOOKUP($C$5&amp;"|"&amp;$B14,BBDD!$B$3:$B$2000&amp;"|"&amp;BBDD!$C$3:$C$2000,BBDD!$T$3:$T$2000,""),_xlpm.v))</f>
        <v>0</v>
      </c>
      <c r="F14" s="342" cm="1">
        <f t="array" ref="F14">IF($C$5="","",_xlfn.LET(_xlpm.v,_xlfn.XLOOKUP($C$5&amp;"|"&amp;$B14,BBDD!$B$3:$B$2000&amp;"|"&amp;BBDD!$C$3:$C$2000,BBDD!$U$3:$U$2000,""),_xlpm.v))</f>
        <v>0</v>
      </c>
      <c r="G14" s="294">
        <f t="shared" si="0"/>
        <v>1750000</v>
      </c>
      <c r="H14" s="295"/>
      <c r="I14" s="189"/>
      <c r="J14" s="250"/>
      <c r="N14" s="177" t="str" cm="1">
        <f t="array" ref="N14">IF($C$5="","",_xlfn.XLOOKUP($C$5&amp;"|"&amp;$B14,BBDD!$B$1:$B$253&amp;"|"&amp;BBDD!$C$1:$C$253,BBDD!$Q$1:$Q$253,""))</f>
        <v>CLP</v>
      </c>
      <c r="AC14" s="301"/>
      <c r="AD14" s="302"/>
      <c r="AE14" s="310">
        <v>8750000</v>
      </c>
      <c r="AF14" s="304"/>
      <c r="AG14" s="305" t="s">
        <v>49</v>
      </c>
      <c r="AH14" s="303">
        <v>8750000</v>
      </c>
      <c r="AI14" s="303"/>
      <c r="AJ14" s="303"/>
      <c r="AK14" s="303"/>
      <c r="AL14" s="303"/>
      <c r="AM14" s="303"/>
      <c r="AN14" s="303"/>
      <c r="AO14" s="303"/>
      <c r="AP14" s="303"/>
      <c r="AQ14" s="303"/>
      <c r="AR14" s="303"/>
      <c r="AS14" s="303"/>
      <c r="AT14" s="303"/>
      <c r="AU14" s="303"/>
      <c r="AV14" s="303"/>
      <c r="AW14" s="303"/>
    </row>
    <row r="15" spans="1:49" ht="17" x14ac:dyDescent="0.25">
      <c r="A15" s="189"/>
      <c r="B15" s="291"/>
      <c r="C15" s="292"/>
      <c r="D15" s="308" t="str" cm="1">
        <f t="array" ref="D15">IF($C$5="","",_xlfn.XLOOKUP($C$5&amp;"|"&amp;$B15, BBDD!$B$1:$B$241&amp;"|"&amp;BBDD!$C$1:$C$241, BBDD!$R$1:$R$241, ""))</f>
        <v/>
      </c>
      <c r="E15" s="293" t="str" cm="1">
        <f t="array" ref="E15">IF($C$5="","",_xlfn.LET(_xlpm.v,_xlfn.XLOOKUP($C$5&amp;"|"&amp;$B15,BBDD!$B$3:$B$2000&amp;"|"&amp;BBDD!$C$3:$C$2000,BBDD!$T$3:$T$2000,""),_xlpm.v))</f>
        <v/>
      </c>
      <c r="F15" s="342" t="str" cm="1">
        <f t="array" ref="F15">IF($C$5="","",_xlfn.LET(_xlpm.v,_xlfn.XLOOKUP($C$5&amp;"|"&amp;$B15,BBDD!$B$3:$B$2000&amp;"|"&amp;BBDD!$C$3:$C$2000,BBDD!$U$3:$U$2000,""),_xlpm.v))</f>
        <v/>
      </c>
      <c r="G15" s="294" t="str">
        <f t="shared" si="0"/>
        <v/>
      </c>
      <c r="H15" s="295"/>
      <c r="I15" s="189"/>
      <c r="J15" s="250"/>
      <c r="N15" s="177" t="str" cm="1">
        <f t="array" ref="N15">IF($C$5="","",_xlfn.XLOOKUP($C$5&amp;"|"&amp;$B15,BBDD!$B$1:$B$253&amp;"|"&amp;BBDD!$C$1:$C$253,BBDD!$Q$1:$Q$253,""))</f>
        <v/>
      </c>
    </row>
    <row r="16" spans="1:49" ht="17" x14ac:dyDescent="0.25">
      <c r="A16" s="189"/>
      <c r="B16" s="291"/>
      <c r="C16" s="292"/>
      <c r="D16" s="308" t="str" cm="1">
        <f t="array" ref="D16">IF($C$5="","",_xlfn.XLOOKUP($C$5&amp;"|"&amp;$B16, BBDD!$B$1:$B$241&amp;"|"&amp;BBDD!$C$1:$C$241, BBDD!$R$1:$R$241, ""))</f>
        <v/>
      </c>
      <c r="E16" s="293" t="str" cm="1">
        <f t="array" ref="E16">IF($C$5="","",_xlfn.LET(_xlpm.v,_xlfn.XLOOKUP($C$5&amp;"|"&amp;$B16,BBDD!$B$3:$B$2000&amp;"|"&amp;BBDD!$C$3:$C$2000,BBDD!$T$3:$T$2000,""),_xlpm.v))</f>
        <v/>
      </c>
      <c r="F16" s="342" t="str" cm="1">
        <f t="array" ref="F16">IF($C$5="","",_xlfn.LET(_xlpm.v,_xlfn.XLOOKUP($C$5&amp;"|"&amp;$B16,BBDD!$B$3:$B$2000&amp;"|"&amp;BBDD!$C$3:$C$2000,BBDD!$U$3:$U$2000,""),_xlpm.v))</f>
        <v/>
      </c>
      <c r="G16" s="294" t="str">
        <f t="shared" si="0"/>
        <v/>
      </c>
      <c r="H16" s="295"/>
      <c r="I16" s="189"/>
      <c r="J16" s="250"/>
      <c r="N16" s="177" t="str" cm="1">
        <f t="array" ref="N16">IF($C$5="","",_xlfn.XLOOKUP($C$5&amp;"|"&amp;$B16,BBDD!$B$1:$B$253&amp;"|"&amp;BBDD!$C$1:$C$253,BBDD!$Q$1:$Q$253,""))</f>
        <v/>
      </c>
    </row>
    <row r="17" spans="1:39" ht="17" x14ac:dyDescent="0.25">
      <c r="A17" s="189"/>
      <c r="B17" s="291"/>
      <c r="C17" s="292"/>
      <c r="D17" s="308" t="str" cm="1">
        <f t="array" ref="D17">IF($C$5="","",_xlfn.XLOOKUP($C$5&amp;"|"&amp;$B17, BBDD!$B$1:$B$241&amp;"|"&amp;BBDD!$C$1:$C$241, BBDD!$R$1:$R$241, ""))</f>
        <v/>
      </c>
      <c r="E17" s="293" t="str" cm="1">
        <f t="array" ref="E17">IF($C$5="","",_xlfn.LET(_xlpm.v,_xlfn.XLOOKUP($C$5&amp;"|"&amp;$B17,BBDD!$B$3:$B$2000&amp;"|"&amp;BBDD!$C$3:$C$2000,BBDD!$T$3:$T$2000,""),_xlpm.v))</f>
        <v/>
      </c>
      <c r="F17" s="342" t="str" cm="1">
        <f t="array" ref="F17">IF($C$5="","",_xlfn.LET(_xlpm.v,_xlfn.XLOOKUP($C$5&amp;"|"&amp;$B17,BBDD!$B$3:$B$2000&amp;"|"&amp;BBDD!$C$3:$C$2000,BBDD!$U$3:$U$2000,""),_xlpm.v))</f>
        <v/>
      </c>
      <c r="G17" s="294" t="str">
        <f t="shared" si="0"/>
        <v/>
      </c>
      <c r="H17" s="295"/>
      <c r="I17" s="189"/>
      <c r="J17" s="250"/>
      <c r="N17" s="177" t="str" cm="1">
        <f t="array" ref="N17">IF($C$5="","",_xlfn.XLOOKUP($C$5&amp;"|"&amp;$B17,BBDD!$B$1:$B$253&amp;"|"&amp;BBDD!$C$1:$C$253,BBDD!$Q$1:$Q$253,""))</f>
        <v/>
      </c>
      <c r="AJ17" s="177" t="s">
        <v>321</v>
      </c>
    </row>
    <row r="18" spans="1:39" ht="17" x14ac:dyDescent="0.25">
      <c r="A18" s="189"/>
      <c r="B18" s="291"/>
      <c r="C18" s="292"/>
      <c r="D18" s="308" t="str" cm="1">
        <f t="array" ref="D18">IF($C$5="","",_xlfn.XLOOKUP($C$5&amp;"|"&amp;$B18, BBDD!$B$1:$B$241&amp;"|"&amp;BBDD!$C$1:$C$241, BBDD!$R$1:$R$241, ""))</f>
        <v/>
      </c>
      <c r="E18" s="293" t="str" cm="1">
        <f t="array" ref="E18">IF($C$5="","",_xlfn.LET(_xlpm.v,_xlfn.XLOOKUP($C$5&amp;"|"&amp;$B18,BBDD!$B$3:$B$2000&amp;"|"&amp;BBDD!$C$3:$C$2000,BBDD!$T$3:$T$2000,""),_xlpm.v))</f>
        <v/>
      </c>
      <c r="F18" s="342" t="str" cm="1">
        <f t="array" ref="F18">IF($C$5="","",_xlfn.LET(_xlpm.v,_xlfn.XLOOKUP($C$5&amp;"|"&amp;$B18,BBDD!$B$3:$B$2000&amp;"|"&amp;BBDD!$C$3:$C$2000,BBDD!$U$3:$U$2000,""),_xlpm.v))</f>
        <v/>
      </c>
      <c r="G18" s="294" t="str">
        <f t="shared" si="0"/>
        <v/>
      </c>
      <c r="H18" s="295"/>
      <c r="I18" s="189"/>
      <c r="J18" s="250"/>
      <c r="N18" s="177" t="str" cm="1">
        <f t="array" ref="N18">IF($C$5="","",_xlfn.XLOOKUP($C$5&amp;"|"&amp;$B18,BBDD!$B$1:$B$253&amp;"|"&amp;BBDD!$C$1:$C$253,BBDD!$Q$1:$Q$253,""))</f>
        <v/>
      </c>
      <c r="AK18" s="177" t="s">
        <v>323</v>
      </c>
      <c r="AL18" s="177" t="s">
        <v>324</v>
      </c>
      <c r="AM18" s="177" t="s">
        <v>325</v>
      </c>
    </row>
    <row r="19" spans="1:39" ht="18" thickBot="1" x14ac:dyDescent="0.3">
      <c r="A19" s="189"/>
      <c r="B19" s="296"/>
      <c r="C19" s="297"/>
      <c r="D19" s="309" t="str" cm="1">
        <f t="array" ref="D19">IF($C$5="","",_xlfn.XLOOKUP($C$5&amp;"|"&amp;$B19, BBDD!$B$1:$B$241&amp;"|"&amp;BBDD!$C$1:$C$241, BBDD!$R$1:$R$241, ""))</f>
        <v/>
      </c>
      <c r="E19" s="298" t="str" cm="1">
        <f t="array" ref="E19">IF($C$5="","",_xlfn.LET(_xlpm.v,_xlfn.XLOOKUP($C$5&amp;"|"&amp;$B19,BBDD!$B$3:$B$2000&amp;"|"&amp;BBDD!$C$3:$C$2000,BBDD!$T$3:$T$2000,""),_xlpm.v))</f>
        <v/>
      </c>
      <c r="F19" s="343" t="str" cm="1">
        <f t="array" ref="F19">IF($C$5="","",_xlfn.LET(_xlpm.v,_xlfn.XLOOKUP($C$5&amp;"|"&amp;$B19,BBDD!$B$3:$B$2000&amp;"|"&amp;BBDD!$C$3:$C$2000,BBDD!$U$3:$U$2000,""),_xlpm.v))</f>
        <v/>
      </c>
      <c r="G19" s="299" t="str">
        <f t="shared" si="0"/>
        <v/>
      </c>
      <c r="H19" s="300"/>
      <c r="I19" s="189"/>
      <c r="J19" s="250"/>
      <c r="N19" s="177" t="str" cm="1">
        <f t="array" ref="N19">IF($C$5="","",_xlfn.XLOOKUP($C$5&amp;"|"&amp;$B19,BBDD!$B$1:$B$253&amp;"|"&amp;BBDD!$C$1:$C$253,BBDD!$Q$1:$Q$253,""))</f>
        <v/>
      </c>
      <c r="AJ19" s="177" t="s">
        <v>421</v>
      </c>
      <c r="AK19" s="177">
        <v>4375000</v>
      </c>
      <c r="AL19" s="177" t="s">
        <v>340</v>
      </c>
      <c r="AM19" s="177" t="s">
        <v>340</v>
      </c>
    </row>
    <row r="20" spans="1:39" ht="18" thickBot="1" x14ac:dyDescent="0.3">
      <c r="A20" s="189"/>
      <c r="B20" s="301"/>
      <c r="C20" s="302"/>
      <c r="D20" s="310">
        <f>+SUM(D10:D19)</f>
        <v>8750000</v>
      </c>
      <c r="E20" s="304"/>
      <c r="F20" s="305" t="s">
        <v>49</v>
      </c>
      <c r="G20" s="303">
        <f>+SUM(G10:G19)</f>
        <v>8750000</v>
      </c>
      <c r="H20" s="306"/>
      <c r="I20" s="189"/>
      <c r="J20" s="250"/>
      <c r="N20" s="177" t="str" cm="1">
        <f t="array" ref="N20">IF($C$5="","",_xlfn.XLOOKUP($C$5&amp;"|"&amp;$B20,BBDD!$B$1:$B$253&amp;"|"&amp;BBDD!$C$1:$C$253,BBDD!$Q$1:$Q$253,N10))</f>
        <v>CLP</v>
      </c>
      <c r="AJ20" s="177" t="s">
        <v>422</v>
      </c>
      <c r="AK20" s="177">
        <v>4375000</v>
      </c>
      <c r="AL20" s="177" t="s">
        <v>340</v>
      </c>
      <c r="AM20" s="177" t="s">
        <v>340</v>
      </c>
    </row>
    <row r="21" spans="1:39" ht="134" customHeight="1" x14ac:dyDescent="0.25">
      <c r="A21" s="189"/>
      <c r="B21" s="189"/>
      <c r="C21" s="189"/>
      <c r="D21" s="189"/>
      <c r="E21" s="189"/>
      <c r="F21" s="189"/>
      <c r="G21" s="189"/>
      <c r="H21" s="189"/>
      <c r="I21" s="189"/>
      <c r="J21" s="250"/>
      <c r="AJ21" s="177" t="s">
        <v>423</v>
      </c>
    </row>
    <row r="22" spans="1:39" ht="5" customHeight="1" x14ac:dyDescent="0.25">
      <c r="A22" s="250"/>
      <c r="B22" s="250"/>
      <c r="C22" s="250"/>
      <c r="D22" s="250"/>
      <c r="E22" s="250"/>
      <c r="F22" s="250"/>
      <c r="G22" s="250"/>
      <c r="H22" s="250"/>
      <c r="I22" s="250"/>
      <c r="J22" s="250"/>
      <c r="AJ22" s="177" t="s">
        <v>424</v>
      </c>
    </row>
    <row r="23" spans="1:39" x14ac:dyDescent="0.25">
      <c r="AJ23" s="177" t="s">
        <v>425</v>
      </c>
    </row>
    <row r="24" spans="1:39" ht="28" x14ac:dyDescent="0.4">
      <c r="B24" s="252"/>
      <c r="C24" s="252"/>
      <c r="E24" s="252"/>
      <c r="F24" s="252"/>
    </row>
    <row r="25" spans="1:39" ht="23" x14ac:dyDescent="0.35">
      <c r="B25" s="253"/>
      <c r="C25" s="254"/>
      <c r="E25" s="255"/>
      <c r="F25" s="256"/>
    </row>
  </sheetData>
  <mergeCells count="3">
    <mergeCell ref="D1:H1"/>
    <mergeCell ref="B4:C4"/>
    <mergeCell ref="E4:G4"/>
  </mergeCells>
  <conditionalFormatting sqref="D10:D20 G10:G20 F6:F7">
    <cfRule type="expression" dxfId="11" priority="5">
      <formula>$N6="USD"</formula>
    </cfRule>
    <cfRule type="expression" dxfId="10" priority="6">
      <formula>$N6="CLP"</formula>
    </cfRule>
  </conditionalFormatting>
  <conditionalFormatting sqref="AE4:AE14 AH4:AH14">
    <cfRule type="expression" dxfId="9" priority="3">
      <formula>$N27="USD"</formula>
    </cfRule>
    <cfRule type="expression" dxfId="8" priority="4">
      <formula>$N27="CLP"</formula>
    </cfRule>
  </conditionalFormatting>
  <conditionalFormatting sqref="AI4:AW14">
    <cfRule type="expression" dxfId="7" priority="1">
      <formula>$N27="USD"</formula>
    </cfRule>
    <cfRule type="expression" dxfId="6" priority="2">
      <formula>$N27="CLP"</formula>
    </cfRule>
  </conditionalFormatting>
  <dataValidations count="2">
    <dataValidation type="list" allowBlank="1" showInputMessage="1" showErrorMessage="1" sqref="AA10:AA19" xr:uid="{A7AEF2B2-8426-544C-9849-F9529FDB857A}">
      <formula1>"Sin descuento,Jorge Icaza,René Acklin,Francisca Pualuan"</formula1>
    </dataValidation>
    <dataValidation type="list" allowBlank="1" showInputMessage="1" showErrorMessage="1" sqref="C5" xr:uid="{11F82003-D1D9-2C46-8EAD-5976EBB3CA24}">
      <formula1>ListaGrupos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B69057-9D93-5044-A9EB-3190A56B8F39}">
          <x14:formula1>
            <xm:f>Mantenedor!$I$2:$I$101</xm:f>
          </x14:formula1>
          <xm:sqref>Z10:Z19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38A-2A06-E44D-AAA8-E85D896D4B45}">
  <sheetPr>
    <tabColor theme="9"/>
  </sheetPr>
  <dimension ref="B2:Q71"/>
  <sheetViews>
    <sheetView topLeftCell="A11" zoomScaleNormal="100" workbookViewId="0">
      <selection activeCell="M15" sqref="M15"/>
    </sheetView>
  </sheetViews>
  <sheetFormatPr baseColWidth="10" defaultColWidth="15" defaultRowHeight="16" x14ac:dyDescent="0.25"/>
  <cols>
    <col min="1" max="16384" width="15" style="177"/>
  </cols>
  <sheetData>
    <row r="2" spans="2:17" ht="31" x14ac:dyDescent="0.45">
      <c r="B2" s="421" t="s">
        <v>420</v>
      </c>
    </row>
    <row r="4" spans="2:17" ht="17" thickBot="1" x14ac:dyDescent="0.3">
      <c r="B4" s="412" t="s">
        <v>408</v>
      </c>
      <c r="E4" s="412" t="s">
        <v>409</v>
      </c>
      <c r="H4" s="412" t="s">
        <v>410</v>
      </c>
    </row>
    <row r="5" spans="2:17" s="404" customFormat="1" ht="68" customHeight="1" x14ac:dyDescent="0.2">
      <c r="B5" s="422" t="s">
        <v>411</v>
      </c>
      <c r="C5" s="422"/>
      <c r="D5" s="413"/>
      <c r="E5" s="422" t="s">
        <v>412</v>
      </c>
      <c r="F5" s="422"/>
      <c r="G5" s="413"/>
      <c r="H5" s="422" t="s">
        <v>413</v>
      </c>
      <c r="I5" s="422"/>
      <c r="J5" s="413"/>
      <c r="K5" s="422" t="s">
        <v>407</v>
      </c>
      <c r="L5" s="422"/>
      <c r="P5" s="405" t="s">
        <v>351</v>
      </c>
      <c r="Q5" s="406">
        <v>961.54</v>
      </c>
    </row>
    <row r="6" spans="2:17" ht="29" thickBot="1" x14ac:dyDescent="0.45">
      <c r="B6" s="414">
        <f>SUM(BBDD!W1:W253)</f>
        <v>8750000</v>
      </c>
      <c r="C6" s="414"/>
      <c r="D6" s="415"/>
      <c r="E6" s="414">
        <f>SUMIFS(BBDD!AQ1:AQ253,BBDD!AU1:AU253,"SÍ")
 + SUMIFS(BBDD!AR1:AR253,BBDD!AV1:AV253,"SÍ")</f>
        <v>0</v>
      </c>
      <c r="F6" s="414"/>
      <c r="G6" s="415"/>
      <c r="H6" s="414" t="e">
        <f>SUMIFS(BBDD!AQ1:AQ253,BBDD!AU1:AU253,"NO")
 + SUMIFS(BBDD!AR1:AR253,BBDD!AV1:AV253,"NO")</f>
        <v>#VALUE!</v>
      </c>
      <c r="I6" s="414"/>
      <c r="J6" s="415"/>
      <c r="K6" s="416">
        <f>IFERROR(
  (SUMIFS(BBDD!AQ1:AQ253,BBDD!AU1:AU253,"SÍ")
  +SUMIFS(BBDD!AR1:AR253,BBDD!AV1:AV253,"SÍ"))
 /SUM(BBDD!W1:W253),0)</f>
        <v>0</v>
      </c>
      <c r="L6" s="416"/>
      <c r="P6" s="407" t="s">
        <v>352</v>
      </c>
      <c r="Q6" s="408">
        <v>45940</v>
      </c>
    </row>
    <row r="7" spans="2:17" ht="28" x14ac:dyDescent="0.4">
      <c r="B7" s="414"/>
      <c r="C7" s="414"/>
      <c r="D7" s="415"/>
      <c r="E7" s="414"/>
      <c r="F7" s="414"/>
      <c r="G7" s="415"/>
      <c r="H7" s="414"/>
      <c r="I7" s="414"/>
      <c r="J7" s="415"/>
      <c r="K7" s="416"/>
      <c r="L7" s="416"/>
    </row>
    <row r="8" spans="2:17" ht="28" x14ac:dyDescent="0.4"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</row>
    <row r="9" spans="2:17" ht="28" x14ac:dyDescent="0.4">
      <c r="B9" s="415" t="s">
        <v>240</v>
      </c>
      <c r="C9" s="415"/>
      <c r="D9" s="415"/>
      <c r="E9" s="415"/>
      <c r="F9" s="415"/>
      <c r="G9" s="415"/>
      <c r="H9" s="415"/>
      <c r="I9" s="415"/>
      <c r="J9" s="415"/>
      <c r="K9" s="415"/>
      <c r="L9" s="415"/>
    </row>
    <row r="10" spans="2:17" ht="8" customHeight="1" x14ac:dyDescent="0.4">
      <c r="B10" s="415"/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2:17" s="404" customFormat="1" ht="68" customHeight="1" x14ac:dyDescent="0.2">
      <c r="B11" s="423" t="s">
        <v>411</v>
      </c>
      <c r="C11" s="423"/>
      <c r="D11" s="413"/>
      <c r="E11" s="423" t="s">
        <v>414</v>
      </c>
      <c r="F11" s="423"/>
      <c r="G11" s="413"/>
      <c r="H11" s="423" t="s">
        <v>413</v>
      </c>
      <c r="I11" s="423"/>
      <c r="J11" s="413"/>
      <c r="K11" s="423" t="s">
        <v>407</v>
      </c>
      <c r="L11" s="423"/>
    </row>
    <row r="12" spans="2:17" ht="28" x14ac:dyDescent="0.4">
      <c r="B12" s="417">
        <f>SUMIFS(BBDD!W1:W253, BBDD!Q1:Q253, "CLP")</f>
        <v>8750000</v>
      </c>
      <c r="C12" s="417"/>
      <c r="D12" s="415"/>
      <c r="E12" s="417">
        <f>SUMIFS(BBDD!AQ1:AQ253, BBDD!Q1:Q253, "CLP", BBDD!AU1:AU253, "SÍ")
 +SUMIFS(BBDD!AR1:AR253, BBDD!Q1:Q253, "CLP", BBDD!AV1:AV253, "SÍ")</f>
        <v>0</v>
      </c>
      <c r="F12" s="417"/>
      <c r="G12" s="415"/>
      <c r="H12" s="418" t="e">
        <f>SUMIFS(BBDD!AQ1:AQ253,BBDD!Q1:Q253,"CLP",BBDD!AU1:AU253,"NO")
 +SUMIFS(BBDD!AR1:AR253,BBDD!Q1:Q253,"CLP",BBDD!AV1:AV253,"NO")</f>
        <v>#VALUE!</v>
      </c>
      <c r="I12" s="418"/>
      <c r="J12" s="415"/>
      <c r="K12" s="417">
        <f>IFERROR(
 (SUMIFS(BBDD!AQ1:AQ253,BBDD!Q1:Q253,"CLP",BBDD!AU1:AU253,"SÍ")
 +SUMIFS(BBDD!AR1:AR253,BBDD!Q1:Q253,"CLP",BBDD!AV1:AV253,"SÍ"))
 /SUMIFS(BBDD!W1:W253,BBDD!Q1:Q253,"CLP"),0)</f>
        <v>0</v>
      </c>
      <c r="L12" s="417"/>
    </row>
    <row r="13" spans="2:17" ht="28" x14ac:dyDescent="0.4">
      <c r="B13" s="417"/>
      <c r="C13" s="417"/>
      <c r="D13" s="415"/>
      <c r="E13" s="417"/>
      <c r="F13" s="417"/>
      <c r="G13" s="415"/>
      <c r="H13" s="418"/>
      <c r="I13" s="418"/>
      <c r="J13" s="415"/>
      <c r="K13" s="417"/>
      <c r="L13" s="417"/>
    </row>
    <row r="14" spans="2:17" ht="28" x14ac:dyDescent="0.4">
      <c r="B14" s="415"/>
      <c r="C14" s="415"/>
      <c r="D14" s="415"/>
      <c r="E14" s="415"/>
      <c r="F14" s="415"/>
      <c r="G14" s="415"/>
      <c r="H14" s="415"/>
      <c r="I14" s="415"/>
      <c r="J14" s="415"/>
      <c r="K14" s="415"/>
      <c r="L14" s="415"/>
    </row>
    <row r="15" spans="2:17" ht="28" x14ac:dyDescent="0.4">
      <c r="B15" s="415" t="s">
        <v>241</v>
      </c>
      <c r="C15" s="415"/>
      <c r="D15" s="415"/>
      <c r="E15" s="415"/>
      <c r="F15" s="415"/>
      <c r="G15" s="415"/>
      <c r="H15" s="415"/>
      <c r="I15" s="415"/>
      <c r="J15" s="415"/>
      <c r="K15" s="415"/>
      <c r="L15" s="415"/>
    </row>
    <row r="16" spans="2:17" ht="8" customHeight="1" x14ac:dyDescent="0.4">
      <c r="B16" s="415"/>
      <c r="C16" s="415"/>
      <c r="D16" s="415"/>
      <c r="E16" s="415"/>
      <c r="F16" s="415"/>
      <c r="G16" s="415"/>
      <c r="H16" s="415"/>
      <c r="I16" s="415"/>
      <c r="J16" s="415"/>
      <c r="K16" s="415"/>
      <c r="L16" s="415"/>
    </row>
    <row r="17" spans="2:12" s="404" customFormat="1" ht="68" customHeight="1" x14ac:dyDescent="0.2">
      <c r="B17" s="424" t="s">
        <v>411</v>
      </c>
      <c r="C17" s="424"/>
      <c r="D17" s="413"/>
      <c r="E17" s="424" t="s">
        <v>414</v>
      </c>
      <c r="F17" s="424"/>
      <c r="G17" s="413"/>
      <c r="H17" s="424" t="s">
        <v>413</v>
      </c>
      <c r="I17" s="424"/>
      <c r="J17" s="413"/>
      <c r="K17" s="424" t="s">
        <v>407</v>
      </c>
      <c r="L17" s="424"/>
    </row>
    <row r="18" spans="2:12" ht="28" x14ac:dyDescent="0.4">
      <c r="B18" s="419">
        <f>SUMIFS(BBDD!W1:W253, BBDD!Q1:Q253, "USD")</f>
        <v>0</v>
      </c>
      <c r="C18" s="419"/>
      <c r="D18" s="415"/>
      <c r="E18" s="419">
        <f>SUMIFS(BBDD!AQ1:AQ253, BBDD!Q1:Q253, "USD", BBDD!AU1:AU253, "SÍ")
 +SUMIFS(BBDD!AR1:AR253, BBDD!Q1:Q253, "USD", BBDD!AV1:AV253, "SÍ")</f>
        <v>0</v>
      </c>
      <c r="F18" s="419"/>
      <c r="G18" s="415"/>
      <c r="H18" s="420">
        <f>SUMIFS(BBDD!AQ1:AQ253,BBDD!Q1:Q253,"USD",BBDD!AU1:AU253,"NO")
 +SUMIFS(BBDD!AR1:AR253,BBDD!Q1:Q253,"USD",BBDD!AV1:AV253,"NO")</f>
        <v>0</v>
      </c>
      <c r="I18" s="420"/>
      <c r="J18" s="415"/>
      <c r="K18" s="419">
        <f>IFERROR(
 (SUMIFS(BBDD!AQ1:AQ253,BBDD!Q1:Q253,"USD",BBDD!AU1:AU253,"SÍ")
 +SUMIFS(BBDD!AR1:AR253,BBDD!Q1:Q253,"USD",BBDD!AV1:AV253,"SÍ"))
 /SUMIFS(BBDD!W1:W253,BBDD!Q1:Q253,"USD"),0)</f>
        <v>0</v>
      </c>
      <c r="L18" s="419"/>
    </row>
    <row r="19" spans="2:12" ht="28" x14ac:dyDescent="0.4">
      <c r="B19" s="419"/>
      <c r="C19" s="419"/>
      <c r="D19" s="415"/>
      <c r="E19" s="419"/>
      <c r="F19" s="419"/>
      <c r="G19" s="415"/>
      <c r="H19" s="420"/>
      <c r="I19" s="420"/>
      <c r="J19" s="415"/>
      <c r="K19" s="419"/>
      <c r="L19" s="419"/>
    </row>
    <row r="23" spans="2:12" ht="26" x14ac:dyDescent="0.4">
      <c r="B23" s="409" t="s">
        <v>353</v>
      </c>
    </row>
    <row r="24" spans="2:12" x14ac:dyDescent="0.25">
      <c r="B24" s="177" t="s">
        <v>354</v>
      </c>
    </row>
    <row r="25" spans="2:12" x14ac:dyDescent="0.25">
      <c r="B25" s="177" t="s">
        <v>415</v>
      </c>
      <c r="C25" s="177" t="s">
        <v>372</v>
      </c>
      <c r="E25" s="177" t="s">
        <v>373</v>
      </c>
      <c r="F25" s="177" t="s">
        <v>372</v>
      </c>
    </row>
    <row r="26" spans="2:12" ht="20" x14ac:dyDescent="0.3">
      <c r="B26" s="177" t="e" cm="1" vm="1">
        <f t="array" ref="B26">_xlfn._xlws.SORT(_xlfn.UNIQUE(_xlfn._xlws.FILTER(BBDD!AS3:AS2025,(BBDD!AS3:AS2025&lt;&gt;"")*(BBDD!AU3:AU2025="NO"))))</f>
        <v>#VALUE!</v>
      </c>
      <c r="C26" s="177" t="e" vm="2">
        <f>IF(B26="","",SUMIFS(AQ$5:AQ$2029,AS$5:AS$2029,A13,AU$5:AU$2029,"NO"))</f>
        <v>#VALUE!</v>
      </c>
      <c r="E26" s="177" t="e" cm="1">
        <f t="array" ref="E26">_xlfn._xlws.SORT(_xlfn.UNIQUE(_xlfn._xlws.FILTER(BBDD!#REF!,(BBDD!#REF!&lt;&gt;"")*(BBDD!#REF!="NO"))))</f>
        <v>#REF!</v>
      </c>
      <c r="F26" s="177" t="e">
        <f>IF(E26="","",SUMIFS(BBDD!#REF!,BBDD!AT$1:AT$253,D13,BBDD!AV$1:AV$253,"NO"))</f>
        <v>#REF!</v>
      </c>
      <c r="H26" s="410" t="s">
        <v>416</v>
      </c>
    </row>
    <row r="27" spans="2:12" x14ac:dyDescent="0.25">
      <c r="B27" s="177" t="s">
        <v>382</v>
      </c>
      <c r="E27" s="177" t="s">
        <v>383</v>
      </c>
    </row>
    <row r="32" spans="2:12" x14ac:dyDescent="0.25">
      <c r="B32" s="177" t="s">
        <v>355</v>
      </c>
    </row>
    <row r="33" spans="2:7" ht="20" x14ac:dyDescent="0.3">
      <c r="B33" s="410" t="s">
        <v>417</v>
      </c>
    </row>
    <row r="38" spans="2:7" x14ac:dyDescent="0.25">
      <c r="B38" s="177" t="s">
        <v>374</v>
      </c>
    </row>
    <row r="39" spans="2:7" x14ac:dyDescent="0.25">
      <c r="B39" s="177" t="s">
        <v>375</v>
      </c>
    </row>
    <row r="40" spans="2:7" ht="20" x14ac:dyDescent="0.3">
      <c r="B40" s="177" t="s">
        <v>112</v>
      </c>
      <c r="C40" s="177" t="s">
        <v>139</v>
      </c>
      <c r="D40" s="177" t="s">
        <v>378</v>
      </c>
      <c r="E40" s="177" t="s">
        <v>379</v>
      </c>
      <c r="G40" s="411" t="s">
        <v>418</v>
      </c>
    </row>
    <row r="41" spans="2:7" ht="20" x14ac:dyDescent="0.3">
      <c r="B41" s="177" t="str" cm="1">
        <f t="array" aca="1" ref="B41" ca="1">_xlfn._xlws.FILTER(BBDD!B1:B253,(BBDD!AU1:AU253="NO")*(BBDD!AY1:AY253&lt;&gt;"Reciente"))</f>
        <v>Grupo 1</v>
      </c>
      <c r="C41" s="177" t="str" cm="1">
        <f t="array" aca="1" ref="C41" ca="1">_xlfn._xlws.FILTER(BBDD!C1:C253,(BBDD!AU1:AU253="NO")*(BBDD!AY1:AY253&lt;&gt;"Reciente"))</f>
        <v>Encargado</v>
      </c>
      <c r="D41" s="177" cm="1">
        <f t="array" aca="1" ref="D41" ca="1">_xlfn._xlws.FILTER(BBDD!AW1:AW253,(BBDD!AU1:AU253="NO")*(BBDD!AY1:AY253&lt;&gt;"Reciente"))</f>
        <v>66</v>
      </c>
      <c r="E41" s="177" t="str" cm="1">
        <f t="array" aca="1" ref="E41" ca="1">_xlfn._xlws.FILTER(BBDD!AY1:AY253,(BBDD!AU1:AU253="NO")*(BBDD!AY1:AY253&lt;&gt;"Reciente"))</f>
        <v>Reserva +60</v>
      </c>
      <c r="G41" s="410" t="s">
        <v>376</v>
      </c>
    </row>
    <row r="47" spans="2:7" x14ac:dyDescent="0.25">
      <c r="B47" s="177" t="s">
        <v>377</v>
      </c>
    </row>
    <row r="48" spans="2:7" ht="20" x14ac:dyDescent="0.3">
      <c r="B48" s="177" t="s">
        <v>112</v>
      </c>
      <c r="C48" s="177" t="s">
        <v>139</v>
      </c>
      <c r="D48" s="177" t="s">
        <v>380</v>
      </c>
      <c r="E48" s="177" t="s">
        <v>379</v>
      </c>
      <c r="G48" s="411" t="s">
        <v>419</v>
      </c>
    </row>
    <row r="49" spans="2:7" ht="20" x14ac:dyDescent="0.3">
      <c r="B49" s="177" t="e" cm="1" vm="1">
        <f t="array" aca="1" ref="B49" ca="1">_xlfn._xlws.FILTER(BBDD!B1:B253,(BBDD!AV1:AV253="NO")*(BBDD!AZ1:AZ253&lt;&gt;"Lejos"))</f>
        <v>#VALUE!</v>
      </c>
      <c r="C49" s="177" t="e" cm="1" vm="1">
        <f t="array" aca="1" ref="C49" ca="1">_xlfn._xlws.FILTER(BBDD!C1:C253,(BBDD!AV1:AV253="NO")*(BBDD!AZ1:AZ253&lt;&gt;"Lejos"))</f>
        <v>#VALUE!</v>
      </c>
      <c r="D49" s="177" t="e" cm="1" vm="1">
        <f t="array" aca="1" ref="D49" ca="1">_xlfn._xlws.FILTER(BBDD!AX1:AX253,(BBDD!AV1:AV253="NO")*(BBDD!AZ1:AZ253&lt;&gt;"Lejos"))</f>
        <v>#VALUE!</v>
      </c>
      <c r="E49" s="177" t="e" cm="1" vm="1">
        <f t="array" aca="1" ref="E49" ca="1">_xlfn._xlws.FILTER(BBDD!AZ1:AZ253,(BBDD!AV1:AV253="NO")*(BBDD!AZ1:AZ253&lt;&gt;"Lejos"))</f>
        <v>#VALUE!</v>
      </c>
      <c r="G49" s="410" t="s">
        <v>381</v>
      </c>
    </row>
    <row r="65" spans="2:3" ht="26" x14ac:dyDescent="0.4">
      <c r="B65" s="409" t="s">
        <v>356</v>
      </c>
    </row>
    <row r="66" spans="2:3" x14ac:dyDescent="0.25">
      <c r="B66" s="177" t="s">
        <v>357</v>
      </c>
    </row>
    <row r="67" spans="2:3" ht="272" x14ac:dyDescent="0.25">
      <c r="B67" s="403" t="s">
        <v>358</v>
      </c>
    </row>
    <row r="70" spans="2:3" x14ac:dyDescent="0.25">
      <c r="B70" s="177" t="s">
        <v>359</v>
      </c>
    </row>
    <row r="71" spans="2:3" ht="204" x14ac:dyDescent="0.25">
      <c r="B71" s="403" t="s">
        <v>360</v>
      </c>
      <c r="C71" s="177" t="s">
        <v>361</v>
      </c>
    </row>
  </sheetData>
  <mergeCells count="24">
    <mergeCell ref="B18:C19"/>
    <mergeCell ref="E18:F19"/>
    <mergeCell ref="K18:L19"/>
    <mergeCell ref="H18:I19"/>
    <mergeCell ref="B12:C13"/>
    <mergeCell ref="E12:F13"/>
    <mergeCell ref="K12:L13"/>
    <mergeCell ref="H12:I13"/>
    <mergeCell ref="B17:C17"/>
    <mergeCell ref="E17:F17"/>
    <mergeCell ref="K17:L17"/>
    <mergeCell ref="H17:I17"/>
    <mergeCell ref="K5:L5"/>
    <mergeCell ref="K6:L7"/>
    <mergeCell ref="B11:C11"/>
    <mergeCell ref="E11:F11"/>
    <mergeCell ref="K11:L11"/>
    <mergeCell ref="H11:I11"/>
    <mergeCell ref="B6:C7"/>
    <mergeCell ref="B5:C5"/>
    <mergeCell ref="E6:F7"/>
    <mergeCell ref="E5:F5"/>
    <mergeCell ref="H5:I5"/>
    <mergeCell ref="H6:I7"/>
  </mergeCells>
  <conditionalFormatting sqref="D42:D44 E41">
    <cfRule type="colorScale" priority="1">
      <colorScale>
        <cfvo type="formula" val="&quot;&lt;45&quot;"/>
        <cfvo type="num" val="&quot;&gt;60&quot;"/>
        <cfvo type="formula" val="&quot;&gt;90&quot;"/>
        <color rgb="FFFFFF0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05FD-6297-5946-951E-C5FFEB365C75}">
  <dimension ref="A2:I6"/>
  <sheetViews>
    <sheetView workbookViewId="0">
      <selection activeCell="I6" sqref="I6"/>
    </sheetView>
  </sheetViews>
  <sheetFormatPr baseColWidth="10" defaultRowHeight="15" x14ac:dyDescent="0.2"/>
  <sheetData>
    <row r="2" spans="1:9" x14ac:dyDescent="0.2">
      <c r="A2" t="s">
        <v>362</v>
      </c>
    </row>
    <row r="3" spans="1:9" x14ac:dyDescent="0.2">
      <c r="A3" t="s">
        <v>363</v>
      </c>
    </row>
    <row r="6" spans="1:9" x14ac:dyDescent="0.2">
      <c r="A6" t="s">
        <v>364</v>
      </c>
      <c r="B6" t="s">
        <v>365</v>
      </c>
      <c r="C6" s="27" t="s">
        <v>366</v>
      </c>
      <c r="D6" s="27" t="s">
        <v>367</v>
      </c>
      <c r="E6" s="27" t="s">
        <v>368</v>
      </c>
      <c r="F6" s="27" t="s">
        <v>369</v>
      </c>
      <c r="G6" s="27" t="s">
        <v>370</v>
      </c>
      <c r="I6" t="s">
        <v>371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1A98-70BF-8F40-88CE-9EA2511650D7}">
  <sheetPr codeName="ReservasGBL">
    <tabColor theme="4" tint="0.79998168889431442"/>
  </sheetPr>
  <dimension ref="A1:AA30"/>
  <sheetViews>
    <sheetView zoomScale="93" zoomScaleNormal="93" workbookViewId="0">
      <selection activeCell="H15" sqref="H15"/>
    </sheetView>
  </sheetViews>
  <sheetFormatPr baseColWidth="10" defaultRowHeight="16" x14ac:dyDescent="0.25"/>
  <cols>
    <col min="1" max="1" width="5.83203125" style="186" customWidth="1"/>
    <col min="2" max="2" width="27.33203125" style="177" bestFit="1" customWidth="1"/>
    <col min="3" max="3" width="29.1640625" style="177" bestFit="1" customWidth="1"/>
    <col min="4" max="4" width="29.6640625" style="177" customWidth="1"/>
    <col min="5" max="5" width="26.33203125" style="177" customWidth="1"/>
    <col min="6" max="6" width="19.83203125" style="177" customWidth="1"/>
    <col min="7" max="7" width="12.83203125" style="177" bestFit="1" customWidth="1"/>
    <col min="8" max="8" width="9.33203125" style="177" customWidth="1"/>
    <col min="9" max="11" width="13" style="177" customWidth="1"/>
    <col min="12" max="12" width="14.6640625" style="177" customWidth="1"/>
    <col min="13" max="13" width="18.33203125" style="177" bestFit="1" customWidth="1"/>
    <col min="14" max="14" width="5.83203125" style="177" customWidth="1"/>
    <col min="15" max="15" width="1.1640625" style="177" customWidth="1"/>
    <col min="16" max="16" width="26.83203125" style="177" bestFit="1" customWidth="1"/>
    <col min="17" max="17" width="21.6640625" style="177" bestFit="1" customWidth="1"/>
    <col min="18" max="18" width="5.83203125" style="177" bestFit="1" customWidth="1"/>
    <col min="19" max="19" width="15.1640625" style="177" bestFit="1" customWidth="1"/>
    <col min="20" max="20" width="9.5" style="177" bestFit="1" customWidth="1"/>
    <col min="21" max="21" width="48.83203125" style="177" bestFit="1" customWidth="1"/>
    <col min="22" max="22" width="10.5" style="177" bestFit="1" customWidth="1"/>
    <col min="23" max="23" width="12.1640625" style="177" bestFit="1" customWidth="1"/>
    <col min="24" max="24" width="12.6640625" style="177" bestFit="1" customWidth="1"/>
    <col min="25" max="25" width="5.6640625" style="177" bestFit="1" customWidth="1"/>
    <col min="26" max="26" width="17.6640625" style="177" bestFit="1" customWidth="1"/>
    <col min="27" max="16384" width="10.83203125" style="177"/>
  </cols>
  <sheetData>
    <row r="1" spans="1:27" s="186" customFormat="1" ht="114" customHeight="1" x14ac:dyDescent="0.25">
      <c r="A1" s="203"/>
      <c r="B1" s="204"/>
      <c r="C1" s="204"/>
      <c r="D1" s="204"/>
      <c r="E1" s="350"/>
      <c r="F1" s="350"/>
      <c r="G1" s="205"/>
      <c r="H1" s="205"/>
      <c r="I1" s="205"/>
      <c r="J1" s="205"/>
      <c r="K1" s="205"/>
      <c r="L1" s="206"/>
      <c r="M1" s="206"/>
      <c r="N1" s="207"/>
      <c r="O1" s="220"/>
    </row>
    <row r="2" spans="1:27" s="186" customFormat="1" ht="9" customHeight="1" thickBot="1" x14ac:dyDescent="0.3">
      <c r="A2" s="217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9"/>
      <c r="O2" s="220"/>
    </row>
    <row r="3" spans="1:27" ht="30" customHeight="1" thickBot="1" x14ac:dyDescent="0.3">
      <c r="A3" s="208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209"/>
      <c r="O3" s="220"/>
    </row>
    <row r="4" spans="1:27" ht="29" thickBot="1" x14ac:dyDescent="0.45">
      <c r="A4" s="208"/>
      <c r="B4" s="222" t="s">
        <v>223</v>
      </c>
      <c r="C4" s="187"/>
      <c r="D4" s="180"/>
      <c r="E4" s="180"/>
      <c r="F4" s="180"/>
      <c r="G4" s="180"/>
      <c r="H4" s="180"/>
      <c r="I4" s="180"/>
      <c r="J4" s="180"/>
      <c r="K4" s="180"/>
      <c r="L4" s="180"/>
      <c r="M4" s="189"/>
      <c r="N4" s="209"/>
      <c r="O4" s="221"/>
    </row>
    <row r="5" spans="1:27" s="178" customFormat="1" ht="17" x14ac:dyDescent="0.25">
      <c r="A5" s="210"/>
      <c r="B5" s="201" t="s">
        <v>216</v>
      </c>
      <c r="C5" s="319"/>
      <c r="D5" s="182"/>
      <c r="E5" s="183"/>
      <c r="F5" s="183"/>
      <c r="G5" s="183"/>
      <c r="H5" s="183"/>
      <c r="I5" s="183"/>
      <c r="J5" s="183"/>
      <c r="K5" s="183"/>
      <c r="L5" s="183"/>
      <c r="M5" s="181"/>
      <c r="N5" s="211"/>
      <c r="O5" s="221"/>
    </row>
    <row r="6" spans="1:27" s="178" customFormat="1" ht="17" x14ac:dyDescent="0.25">
      <c r="A6" s="210"/>
      <c r="B6" s="199" t="s">
        <v>217</v>
      </c>
      <c r="C6" s="320"/>
      <c r="D6" s="182"/>
      <c r="E6" s="183"/>
      <c r="F6" s="183"/>
      <c r="G6" s="183"/>
      <c r="H6" s="183"/>
      <c r="I6" s="183"/>
      <c r="J6" s="183"/>
      <c r="K6" s="183"/>
      <c r="L6" s="183"/>
      <c r="M6" s="181"/>
      <c r="N6" s="211"/>
      <c r="O6" s="221"/>
    </row>
    <row r="7" spans="1:27" s="178" customFormat="1" ht="17" x14ac:dyDescent="0.25">
      <c r="A7" s="210"/>
      <c r="B7" s="199" t="s">
        <v>218</v>
      </c>
      <c r="C7" s="321"/>
      <c r="D7" s="183"/>
      <c r="E7" s="183"/>
      <c r="F7" s="183"/>
      <c r="G7" s="183"/>
      <c r="H7" s="183"/>
      <c r="I7" s="183"/>
      <c r="J7" s="183"/>
      <c r="K7" s="183"/>
      <c r="L7" s="183"/>
      <c r="M7" s="181"/>
      <c r="N7" s="211"/>
      <c r="O7" s="221"/>
    </row>
    <row r="8" spans="1:27" s="178" customFormat="1" ht="18" thickBot="1" x14ac:dyDescent="0.3">
      <c r="A8" s="210"/>
      <c r="B8" s="202" t="s">
        <v>219</v>
      </c>
      <c r="C8" s="200" t="str">
        <f>IF(C7="","",C6+C7)</f>
        <v/>
      </c>
      <c r="D8" s="182" t="str">
        <f>IF(D7="","",(D6+D7))</f>
        <v/>
      </c>
      <c r="E8" s="183"/>
      <c r="F8" s="183"/>
      <c r="G8" s="183"/>
      <c r="H8" s="183"/>
      <c r="I8" s="183"/>
      <c r="J8" s="183"/>
      <c r="K8" s="183"/>
      <c r="L8" s="183"/>
      <c r="M8" s="181"/>
      <c r="N8" s="211"/>
      <c r="O8" s="221"/>
    </row>
    <row r="9" spans="1:27" ht="17" thickBot="1" x14ac:dyDescent="0.3">
      <c r="A9" s="208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209"/>
      <c r="O9" s="220"/>
    </row>
    <row r="10" spans="1:27" s="179" customFormat="1" ht="45" customHeight="1" thickBot="1" x14ac:dyDescent="0.3">
      <c r="A10" s="212"/>
      <c r="B10" s="223" t="s">
        <v>222</v>
      </c>
      <c r="C10" s="188"/>
      <c r="D10" s="184"/>
      <c r="E10" s="184"/>
      <c r="F10" s="184"/>
      <c r="G10" s="184"/>
      <c r="H10" s="185"/>
      <c r="I10" s="185"/>
      <c r="J10" s="184"/>
      <c r="K10" s="184"/>
      <c r="L10" s="184"/>
      <c r="M10" s="185"/>
      <c r="N10" s="213"/>
      <c r="O10" s="221"/>
    </row>
    <row r="11" spans="1:27" s="179" customFormat="1" ht="50" customHeight="1" thickBot="1" x14ac:dyDescent="0.3">
      <c r="A11" s="212"/>
      <c r="B11" s="258" t="s">
        <v>220</v>
      </c>
      <c r="C11" s="322"/>
      <c r="D11" s="184"/>
      <c r="E11" s="184"/>
      <c r="F11" s="184"/>
      <c r="G11" s="184"/>
      <c r="H11" s="184"/>
      <c r="I11" s="184"/>
      <c r="J11" s="184"/>
      <c r="K11" s="184"/>
      <c r="L11" s="184"/>
      <c r="M11" s="185"/>
      <c r="N11" s="213"/>
      <c r="O11" s="221"/>
    </row>
    <row r="12" spans="1:27" ht="24" thickBot="1" x14ac:dyDescent="0.4">
      <c r="A12" s="208"/>
      <c r="B12" s="344" t="s">
        <v>221</v>
      </c>
      <c r="C12" s="345"/>
      <c r="D12" s="345"/>
      <c r="E12" s="345"/>
      <c r="F12" s="345"/>
      <c r="G12" s="346"/>
      <c r="H12" s="347" t="s">
        <v>224</v>
      </c>
      <c r="I12" s="348"/>
      <c r="J12" s="348"/>
      <c r="K12" s="348"/>
      <c r="L12" s="348"/>
      <c r="M12" s="349"/>
      <c r="N12" s="209"/>
      <c r="O12" s="221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</row>
    <row r="13" spans="1:27" s="178" customFormat="1" ht="18" thickBot="1" x14ac:dyDescent="0.3">
      <c r="A13" s="210"/>
      <c r="B13" s="224" t="s">
        <v>225</v>
      </c>
      <c r="C13" s="225" t="s">
        <v>226</v>
      </c>
      <c r="D13" s="225" t="s">
        <v>227</v>
      </c>
      <c r="E13" s="225" t="s">
        <v>228</v>
      </c>
      <c r="F13" s="225" t="s">
        <v>229</v>
      </c>
      <c r="G13" s="226" t="s">
        <v>230</v>
      </c>
      <c r="H13" s="227" t="s">
        <v>231</v>
      </c>
      <c r="I13" s="228" t="s">
        <v>217</v>
      </c>
      <c r="J13" s="228" t="s">
        <v>218</v>
      </c>
      <c r="K13" s="228" t="s">
        <v>219</v>
      </c>
      <c r="L13" s="228" t="s">
        <v>232</v>
      </c>
      <c r="M13" s="229" t="s">
        <v>20</v>
      </c>
      <c r="N13" s="211"/>
      <c r="O13" s="221"/>
    </row>
    <row r="14" spans="1:27" s="178" customFormat="1" ht="17" x14ac:dyDescent="0.25">
      <c r="A14" s="210"/>
      <c r="B14" s="196" t="s">
        <v>187</v>
      </c>
      <c r="C14" s="323"/>
      <c r="D14" s="323"/>
      <c r="E14" s="324"/>
      <c r="F14" s="323"/>
      <c r="G14" s="325"/>
      <c r="H14" s="326"/>
      <c r="I14" s="197"/>
      <c r="J14" s="198"/>
      <c r="K14" s="197"/>
      <c r="L14" s="335"/>
      <c r="M14" s="338"/>
      <c r="N14" s="211"/>
      <c r="O14" s="221"/>
    </row>
    <row r="15" spans="1:27" s="178" customFormat="1" ht="17" x14ac:dyDescent="0.25">
      <c r="A15" s="210"/>
      <c r="B15" s="194"/>
      <c r="C15" s="327"/>
      <c r="D15" s="327"/>
      <c r="E15" s="328"/>
      <c r="F15" s="327"/>
      <c r="G15" s="329"/>
      <c r="H15" s="330"/>
      <c r="I15" s="191"/>
      <c r="J15" s="190"/>
      <c r="K15" s="191"/>
      <c r="L15" s="336"/>
      <c r="M15" s="339"/>
      <c r="N15" s="211"/>
      <c r="O15" s="221"/>
    </row>
    <row r="16" spans="1:27" s="178" customFormat="1" ht="17" x14ac:dyDescent="0.25">
      <c r="A16" s="210"/>
      <c r="B16" s="194"/>
      <c r="C16" s="327"/>
      <c r="D16" s="327"/>
      <c r="E16" s="328"/>
      <c r="F16" s="327"/>
      <c r="G16" s="329"/>
      <c r="H16" s="330"/>
      <c r="I16" s="191"/>
      <c r="J16" s="190"/>
      <c r="K16" s="191"/>
      <c r="L16" s="336"/>
      <c r="M16" s="339"/>
      <c r="N16" s="211"/>
      <c r="O16" s="221"/>
    </row>
    <row r="17" spans="1:15" s="178" customFormat="1" ht="17" x14ac:dyDescent="0.25">
      <c r="A17" s="210"/>
      <c r="B17" s="194"/>
      <c r="C17" s="327"/>
      <c r="D17" s="327"/>
      <c r="E17" s="328"/>
      <c r="F17" s="327"/>
      <c r="G17" s="329"/>
      <c r="H17" s="330"/>
      <c r="I17" s="191"/>
      <c r="J17" s="190"/>
      <c r="K17" s="191"/>
      <c r="L17" s="336"/>
      <c r="M17" s="339"/>
      <c r="N17" s="211"/>
      <c r="O17" s="221"/>
    </row>
    <row r="18" spans="1:15" s="178" customFormat="1" ht="17" x14ac:dyDescent="0.25">
      <c r="A18" s="210"/>
      <c r="B18" s="194"/>
      <c r="C18" s="327"/>
      <c r="D18" s="327"/>
      <c r="E18" s="328"/>
      <c r="F18" s="327"/>
      <c r="G18" s="329"/>
      <c r="H18" s="330"/>
      <c r="I18" s="191"/>
      <c r="J18" s="190"/>
      <c r="K18" s="191"/>
      <c r="L18" s="336"/>
      <c r="M18" s="339"/>
      <c r="N18" s="211"/>
      <c r="O18" s="221"/>
    </row>
    <row r="19" spans="1:15" s="178" customFormat="1" ht="17" x14ac:dyDescent="0.25">
      <c r="A19" s="210"/>
      <c r="B19" s="194"/>
      <c r="C19" s="327"/>
      <c r="D19" s="327"/>
      <c r="E19" s="328"/>
      <c r="F19" s="327"/>
      <c r="G19" s="329"/>
      <c r="H19" s="330"/>
      <c r="I19" s="191"/>
      <c r="J19" s="190"/>
      <c r="K19" s="191"/>
      <c r="L19" s="336"/>
      <c r="M19" s="339"/>
      <c r="N19" s="211"/>
      <c r="O19" s="221"/>
    </row>
    <row r="20" spans="1:15" s="178" customFormat="1" ht="17" x14ac:dyDescent="0.25">
      <c r="A20" s="210"/>
      <c r="B20" s="194"/>
      <c r="C20" s="327"/>
      <c r="D20" s="327"/>
      <c r="E20" s="328"/>
      <c r="F20" s="327"/>
      <c r="G20" s="329"/>
      <c r="H20" s="330"/>
      <c r="I20" s="191"/>
      <c r="J20" s="190"/>
      <c r="K20" s="191"/>
      <c r="L20" s="336"/>
      <c r="M20" s="339"/>
      <c r="N20" s="211"/>
      <c r="O20" s="221"/>
    </row>
    <row r="21" spans="1:15" s="178" customFormat="1" ht="17" x14ac:dyDescent="0.25">
      <c r="A21" s="210"/>
      <c r="B21" s="194"/>
      <c r="C21" s="327"/>
      <c r="D21" s="327"/>
      <c r="E21" s="331"/>
      <c r="F21" s="327"/>
      <c r="G21" s="329"/>
      <c r="H21" s="330"/>
      <c r="I21" s="191"/>
      <c r="J21" s="190"/>
      <c r="K21" s="191"/>
      <c r="L21" s="336"/>
      <c r="M21" s="339"/>
      <c r="N21" s="211"/>
      <c r="O21" s="221"/>
    </row>
    <row r="22" spans="1:15" s="178" customFormat="1" ht="17" x14ac:dyDescent="0.25">
      <c r="A22" s="210"/>
      <c r="B22" s="194"/>
      <c r="C22" s="327"/>
      <c r="D22" s="327"/>
      <c r="E22" s="327"/>
      <c r="F22" s="327"/>
      <c r="G22" s="329"/>
      <c r="H22" s="330"/>
      <c r="I22" s="191"/>
      <c r="J22" s="190"/>
      <c r="K22" s="190"/>
      <c r="L22" s="336"/>
      <c r="M22" s="339"/>
      <c r="N22" s="211"/>
      <c r="O22" s="221"/>
    </row>
    <row r="23" spans="1:15" s="178" customFormat="1" ht="18" thickBot="1" x14ac:dyDescent="0.3">
      <c r="A23" s="210"/>
      <c r="B23" s="195"/>
      <c r="C23" s="332"/>
      <c r="D23" s="332"/>
      <c r="E23" s="332"/>
      <c r="F23" s="332"/>
      <c r="G23" s="333"/>
      <c r="H23" s="334"/>
      <c r="I23" s="192"/>
      <c r="J23" s="193"/>
      <c r="K23" s="193"/>
      <c r="L23" s="337"/>
      <c r="M23" s="340"/>
      <c r="N23" s="211"/>
      <c r="O23" s="221"/>
    </row>
    <row r="24" spans="1:15" x14ac:dyDescent="0.25">
      <c r="A24" s="208"/>
      <c r="B24" s="189"/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209"/>
      <c r="O24" s="220"/>
    </row>
    <row r="25" spans="1:15" x14ac:dyDescent="0.25">
      <c r="A25" s="208"/>
      <c r="B25" s="189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209"/>
      <c r="O25" s="220"/>
    </row>
    <row r="26" spans="1:15" x14ac:dyDescent="0.25">
      <c r="A26" s="208"/>
      <c r="B26" s="189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209"/>
      <c r="O26" s="220"/>
    </row>
    <row r="27" spans="1:15" x14ac:dyDescent="0.25">
      <c r="A27" s="208"/>
      <c r="B27" s="189"/>
      <c r="C27" s="189"/>
      <c r="D27" s="189"/>
      <c r="E27" s="189"/>
      <c r="F27" s="189"/>
      <c r="G27" s="189"/>
      <c r="H27" s="189"/>
      <c r="I27" s="189"/>
      <c r="J27" s="189"/>
      <c r="K27" s="189"/>
      <c r="L27" s="189"/>
      <c r="M27" s="189"/>
      <c r="N27" s="209"/>
      <c r="O27" s="220"/>
    </row>
    <row r="28" spans="1:15" x14ac:dyDescent="0.25">
      <c r="A28" s="208"/>
      <c r="B28" s="189"/>
      <c r="C28" s="189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209"/>
      <c r="O28" s="220"/>
    </row>
    <row r="29" spans="1:15" ht="17" thickBot="1" x14ac:dyDescent="0.3">
      <c r="A29" s="214"/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6"/>
      <c r="O29" s="220"/>
    </row>
    <row r="30" spans="1:15" ht="7" customHeight="1" x14ac:dyDescent="0.25">
      <c r="A30" s="220"/>
      <c r="B30" s="220"/>
      <c r="C30" s="220"/>
      <c r="D30" s="220"/>
      <c r="E30" s="220"/>
      <c r="F30" s="220"/>
      <c r="G30" s="220"/>
      <c r="H30" s="220"/>
      <c r="I30" s="220"/>
      <c r="J30" s="220"/>
      <c r="K30" s="220"/>
      <c r="L30" s="220"/>
      <c r="M30" s="220"/>
      <c r="N30" s="220"/>
      <c r="O30" s="220"/>
    </row>
  </sheetData>
  <mergeCells count="3">
    <mergeCell ref="B12:G12"/>
    <mergeCell ref="H12:M12"/>
    <mergeCell ref="E1:F1"/>
  </mergeCells>
  <phoneticPr fontId="3" type="noConversion"/>
  <dataValidations count="1">
    <dataValidation type="list" showInputMessage="1" showErrorMessage="1" sqref="L14" xr:uid="{348DA57F-87EB-C34E-BEA8-E59F288B9ED1}">
      <formula1>"PESCADOR,NON ANGLER"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30B6CF-4023-5C4C-8FF4-5AEC9B4EC2C0}">
          <x14:formula1>
            <xm:f>Mantenedor!$D$2:$D$4</xm:f>
          </x14:formula1>
          <xm:sqref>H14:H23</xm:sqref>
        </x14:dataValidation>
        <x14:dataValidation type="list" allowBlank="1" showInputMessage="1" showErrorMessage="1" xr:uid="{7F661CEC-C46C-9745-B835-A5E6EA0B05A5}">
          <x14:formula1>
            <xm:f>Mantenedor!$A$2:$A$3</xm:f>
          </x14:formula1>
          <xm:sqref>C14:C23</xm:sqref>
        </x14:dataValidation>
        <x14:dataValidation type="list" allowBlank="1" showInputMessage="1" showErrorMessage="1" xr:uid="{6FDCDABA-D8A0-F044-B7AF-1824B9DBBB10}">
          <x14:formula1>
            <xm:f>Mantenedor!$F$2:$F$3</xm:f>
          </x14:formula1>
          <xm:sqref>I11 C11:D11</xm:sqref>
        </x14:dataValidation>
        <x14:dataValidation type="list" allowBlank="1" showInputMessage="1" showErrorMessage="1" xr:uid="{55B0A008-B618-714C-A6A0-DE030867F605}">
          <x14:formula1>
            <xm:f>Mantenedor!$G$2:$G$3</xm:f>
          </x14:formula1>
          <xm:sqref>G21 G14:G18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15BC4-2BF4-F545-9EE0-C1BEE5F29847}">
  <sheetPr codeName="Hoja4">
    <tabColor theme="5" tint="0.79998168889431442"/>
  </sheetPr>
  <dimension ref="A1:N38"/>
  <sheetViews>
    <sheetView tabSelected="1" zoomScale="98" zoomScaleNormal="98" workbookViewId="0">
      <selection activeCell="F5" sqref="F5"/>
    </sheetView>
  </sheetViews>
  <sheetFormatPr baseColWidth="10" defaultRowHeight="16" x14ac:dyDescent="0.25"/>
  <cols>
    <col min="1" max="1" width="5.83203125" style="177" customWidth="1"/>
    <col min="2" max="2" width="21" style="177" bestFit="1" customWidth="1"/>
    <col min="3" max="3" width="22.83203125" style="177" customWidth="1"/>
    <col min="4" max="4" width="28.6640625" style="177" bestFit="1" customWidth="1"/>
    <col min="5" max="5" width="18.1640625" style="177" bestFit="1" customWidth="1"/>
    <col min="6" max="6" width="27.33203125" style="177" customWidth="1"/>
    <col min="7" max="7" width="21.83203125" style="177" customWidth="1"/>
    <col min="8" max="8" width="19.33203125" style="177" customWidth="1"/>
    <col min="9" max="9" width="5.1640625" style="177" customWidth="1"/>
    <col min="10" max="10" width="0.83203125" style="177" customWidth="1"/>
    <col min="11" max="11" width="19.6640625" style="177" customWidth="1"/>
    <col min="12" max="12" width="13.83203125" style="177" bestFit="1" customWidth="1"/>
    <col min="13" max="13" width="14.83203125" style="177" hidden="1" customWidth="1"/>
    <col min="14" max="14" width="0" style="177" hidden="1" customWidth="1"/>
    <col min="15" max="25" width="10.83203125" style="177"/>
    <col min="26" max="26" width="0" style="177" hidden="1" customWidth="1"/>
    <col min="27" max="16384" width="10.83203125" style="177"/>
  </cols>
  <sheetData>
    <row r="1" spans="1:14" ht="114" customHeight="1" x14ac:dyDescent="0.25">
      <c r="A1" s="186"/>
      <c r="B1" s="186"/>
      <c r="C1" s="186"/>
      <c r="D1" s="351"/>
      <c r="E1" s="351"/>
      <c r="F1" s="351"/>
      <c r="G1" s="351"/>
      <c r="H1" s="351"/>
      <c r="I1" s="246"/>
      <c r="J1" s="247"/>
      <c r="K1" s="248"/>
      <c r="L1" s="249"/>
      <c r="M1" s="249"/>
    </row>
    <row r="2" spans="1:14" ht="9" customHeight="1" x14ac:dyDescent="0.25">
      <c r="A2" s="250"/>
      <c r="B2" s="250"/>
      <c r="C2" s="250"/>
      <c r="D2" s="250"/>
      <c r="E2" s="250"/>
      <c r="F2" s="250"/>
      <c r="G2" s="250"/>
      <c r="H2" s="250"/>
      <c r="I2" s="250"/>
      <c r="J2" s="250"/>
    </row>
    <row r="3" spans="1:14" ht="31" customHeight="1" thickBot="1" x14ac:dyDescent="0.3">
      <c r="A3" s="189"/>
      <c r="B3" s="189"/>
      <c r="C3" s="189"/>
      <c r="D3" s="189"/>
      <c r="E3" s="189"/>
      <c r="F3" s="189"/>
      <c r="G3" s="189"/>
      <c r="H3" s="189"/>
      <c r="I3" s="189"/>
      <c r="J3" s="250"/>
      <c r="M3" s="177" t="s">
        <v>329</v>
      </c>
      <c r="N3" s="177" t="s">
        <v>330</v>
      </c>
    </row>
    <row r="4" spans="1:14" ht="29" customHeight="1" thickBot="1" x14ac:dyDescent="0.4">
      <c r="A4" s="189"/>
      <c r="B4" s="352" t="s">
        <v>222</v>
      </c>
      <c r="C4" s="353"/>
      <c r="D4" s="189"/>
      <c r="E4" s="352" t="s">
        <v>321</v>
      </c>
      <c r="F4" s="354"/>
      <c r="G4" s="354"/>
      <c r="H4" s="259"/>
      <c r="I4" s="189"/>
      <c r="J4" s="250"/>
      <c r="M4" s="177" cm="1">
        <f t="array" ref="M4">IF($C$5="","",IFERROR(_xlfn.XLOOKUP($C$5&amp;"|"&amp;$B10,BBDD!$B$1:$B$253&amp;"|"&amp;BBDD!$C$1:$C$253,BBDD!$T$1:$T$253),$Z10))</f>
        <v>0</v>
      </c>
      <c r="N4" s="177" cm="1">
        <f t="array" ref="N4">IF($C$5="","",IFERROR(_xlfn.XLOOKUP($C$5&amp;"|"&amp;$B10,BBDD!$B$1:$B$253&amp;"|"&amp;BBDD!$C$1:$C$253,BBDD!$U$1:$U$253),$AA10))</f>
        <v>0</v>
      </c>
    </row>
    <row r="5" spans="1:14" ht="23" customHeight="1" thickBot="1" x14ac:dyDescent="0.3">
      <c r="A5" s="189"/>
      <c r="B5" s="260" t="s">
        <v>318</v>
      </c>
      <c r="C5" s="261" t="s">
        <v>214</v>
      </c>
      <c r="D5" s="262"/>
      <c r="E5" s="263"/>
      <c r="F5" s="277" t="s">
        <v>323</v>
      </c>
      <c r="G5" s="264" t="s">
        <v>324</v>
      </c>
      <c r="H5" s="278" t="s">
        <v>325</v>
      </c>
      <c r="I5" s="251"/>
      <c r="J5" s="250"/>
    </row>
    <row r="6" spans="1:14" ht="17" x14ac:dyDescent="0.25">
      <c r="A6" s="189"/>
      <c r="B6" s="265" t="s">
        <v>216</v>
      </c>
      <c r="C6" s="266" t="str">
        <f>IFERROR(VLOOKUP($C$5,BBDD!#REF!,9,FALSE),"")</f>
        <v/>
      </c>
      <c r="D6" s="185"/>
      <c r="E6" s="267" t="s">
        <v>0</v>
      </c>
      <c r="F6" s="268">
        <f>+$G$20*0.5</f>
        <v>4375000</v>
      </c>
      <c r="G6" s="269" t="str" cm="1">
        <f t="array" ref="G6">IF($C$5="","",_xlfn.LET(_xlpm.col,_xlfn._xlws.FILTER(BBDD!$AE$3:$AE$2000,(BBDD!$B$3:$B$2000=$C$5)*(BBDD!$AE$3:$AE$2000&lt;&gt;"")),IFERROR(INDEX(_xlpm.col,ROWS(_xlpm.col)),"")))</f>
        <v/>
      </c>
      <c r="H6" s="270" t="str" cm="1">
        <f t="array" ref="H6">IF($C$5="","",_xlfn.LET(_xlpm.col,_xlfn._xlws.FILTER(BBDD!$AG$3:$AG$2000,(BBDD!$B$3:$B$2000=$C$5)*(BBDD!$AG$3:$AG$2000&lt;&gt;"")),IFERROR(INDEX(_xlpm.col,ROWS(_xlpm.col)),"")))</f>
        <v/>
      </c>
      <c r="I6" s="189"/>
      <c r="J6" s="250"/>
      <c r="N6" s="177" t="str">
        <f>+N10</f>
        <v>CLP</v>
      </c>
    </row>
    <row r="7" spans="1:14" ht="18" thickBot="1" x14ac:dyDescent="0.3">
      <c r="A7" s="189"/>
      <c r="B7" s="271" t="s">
        <v>217</v>
      </c>
      <c r="C7" s="272" t="str">
        <f>IFERROR(VLOOKUP($C$5,BBDD!#REF!,10,FALSE),"")</f>
        <v/>
      </c>
      <c r="D7" s="185"/>
      <c r="E7" s="273" t="s">
        <v>322</v>
      </c>
      <c r="F7" s="274">
        <f>+$G$20*0.5</f>
        <v>4375000</v>
      </c>
      <c r="G7" s="275" t="str" cm="1">
        <f t="array" ref="G7">IF($C$5="","",_xlfn.LET(_xlpm.col,_xlfn._xlws.FILTER(BBDD!$AM$3:$AM$2000,(BBDD!$B$3:$B$2000=$C$5)*(BBDD!$AM$3:$AM$2000&lt;&gt;"")),IFERROR(INDEX(_xlpm.col,ROWS(_xlpm.col)),"")))</f>
        <v/>
      </c>
      <c r="H7" s="276" t="str" cm="1">
        <f t="array" ref="H7">IF($C$5="","",_xlfn.LET(_xlpm.col,_xlfn._xlws.FILTER(BBDD!$AO$3:$AO$2000,(BBDD!$B$3:$B$2000=$C$5)*(BBDD!$AO$3:$AO$2000&lt;&gt;"")),IFERROR(INDEX(_xlpm.col,ROWS(_xlpm.col)),"")))</f>
        <v/>
      </c>
      <c r="I7" s="189"/>
      <c r="J7" s="250"/>
      <c r="N7" s="177" t="str">
        <f>+N10</f>
        <v>CLP</v>
      </c>
    </row>
    <row r="8" spans="1:14" ht="17" thickBot="1" x14ac:dyDescent="0.3">
      <c r="A8" s="189"/>
      <c r="B8" s="189"/>
      <c r="C8" s="189"/>
      <c r="D8" s="189"/>
      <c r="E8" s="189"/>
      <c r="F8" s="189"/>
      <c r="G8" s="189"/>
      <c r="H8" s="189"/>
      <c r="I8" s="189"/>
      <c r="J8" s="250"/>
    </row>
    <row r="9" spans="1:14" ht="18" thickBot="1" x14ac:dyDescent="0.3">
      <c r="A9" s="189"/>
      <c r="B9" s="279" t="s">
        <v>18</v>
      </c>
      <c r="C9" s="280" t="s">
        <v>227</v>
      </c>
      <c r="D9" s="281" t="s">
        <v>308</v>
      </c>
      <c r="E9" s="282" t="s">
        <v>319</v>
      </c>
      <c r="F9" s="283" t="s">
        <v>320</v>
      </c>
      <c r="G9" s="284" t="s">
        <v>309</v>
      </c>
      <c r="H9" s="285"/>
      <c r="I9" s="189"/>
      <c r="J9" s="250"/>
    </row>
    <row r="10" spans="1:14" ht="17" x14ac:dyDescent="0.25">
      <c r="A10" s="189"/>
      <c r="B10" s="286" t="str" cm="1">
        <f t="array" ref="B10:B14">IF($C$5="","",_xlfn.TAKE(_xlfn._xlws.FILTER(BBDD!$C$1:$C$241, BBDD!$B$1:$B$241=$C$5, ""), 10))</f>
        <v>Encargado</v>
      </c>
      <c r="C10" s="287" t="str" cm="1">
        <f t="array" ref="C10:C14">IF($C$5="","",_xlfn.TAKE(_xlfn._xlws.FILTER(BBDD!$E$1:$E$241, BBDD!$B$1:$B$241=$C$5, ""), 10))</f>
        <v>Rafael Loyola Dominguez</v>
      </c>
      <c r="D10" s="307" cm="1">
        <f t="array" ref="D10">IF($C$5="","",_xlfn.XLOOKUP($C$5&amp;"|"&amp;$B10, BBDD!$B$1:$B$241&amp;"|"&amp;BBDD!$C$1:$C$241, BBDD!$R$1:$R$241, ""))</f>
        <v>1750000</v>
      </c>
      <c r="E10" s="288">
        <v>0</v>
      </c>
      <c r="F10" s="341" t="str" cm="1">
        <f t="array" ref="F10">IF($C$5="","",_xlfn.LET(_xlpm.v,_xlfn.XLOOKUP($C$5&amp;"|"&amp;$B10,BBDD!$B$3:$B$2000&amp;"|"&amp;BBDD!$C$3:$C$2000,BBDD!$U$3:$U$2000,""),_xlpm.v))</f>
        <v/>
      </c>
      <c r="G10" s="289">
        <f>IF(D10="","",D10*(1-E10))</f>
        <v>1750000</v>
      </c>
      <c r="H10" s="290"/>
      <c r="I10" s="189"/>
      <c r="J10" s="250"/>
      <c r="N10" s="177" t="str" cm="1">
        <f t="array" ref="N10">IF($C$5="","",_xlfn.XLOOKUP($C$5&amp;"|"&amp;$B10,BBDD!$B$1:$B$253&amp;"|"&amp;BBDD!$C$1:$C$253,BBDD!$Q$1:$Q$253,""))</f>
        <v>CLP</v>
      </c>
    </row>
    <row r="11" spans="1:14" ht="17" x14ac:dyDescent="0.25">
      <c r="A11" s="189"/>
      <c r="B11" s="291" t="str">
        <v>N˚2</v>
      </c>
      <c r="C11" s="292" t="str">
        <v>Jose luis Rodriguez casanueva</v>
      </c>
      <c r="D11" s="308" cm="1">
        <f t="array" ref="D11">IF($C$5="","",_xlfn.XLOOKUP($C$5&amp;"|"&amp;$B11, BBDD!$B$1:$B$241&amp;"|"&amp;BBDD!$C$1:$C$241, BBDD!$R$1:$R$241, ""))</f>
        <v>1750000</v>
      </c>
      <c r="E11" s="293" cm="1">
        <f t="array" ref="E11">IF($C$5="","",_xlfn.LET(_xlpm.v,_xlfn.XLOOKUP($C$5&amp;"|"&amp;$B11,BBDD!$B$3:$B$2000&amp;"|"&amp;BBDD!$C$3:$C$2000,BBDD!$T$3:$T$2000,""),_xlpm.v))</f>
        <v>0</v>
      </c>
      <c r="F11" s="342" cm="1">
        <f t="array" ref="F11">IF($C$5="","",_xlfn.LET(_xlpm.v,_xlfn.XLOOKUP($C$5&amp;"|"&amp;$B11,BBDD!$B$3:$B$2000&amp;"|"&amp;BBDD!$C$3:$C$2000,BBDD!$U$3:$U$2000,""),_xlpm.v))</f>
        <v>0</v>
      </c>
      <c r="G11" s="294">
        <f>IF(D11="","",D11*(1-E11))</f>
        <v>1750000</v>
      </c>
      <c r="H11" s="295"/>
      <c r="I11" s="189"/>
      <c r="J11" s="250"/>
      <c r="M11" s="177" t="s">
        <v>333</v>
      </c>
      <c r="N11" s="177" t="str" cm="1">
        <f t="array" ref="N11">IF($C$5="","",_xlfn.XLOOKUP($C$5&amp;"|"&amp;$B11,BBDD!$B$1:$B$253&amp;"|"&amp;BBDD!$C$1:$C$253,BBDD!$Q$1:$Q$253,""))</f>
        <v>CLP</v>
      </c>
    </row>
    <row r="12" spans="1:14" ht="17" x14ac:dyDescent="0.25">
      <c r="A12" s="189"/>
      <c r="B12" s="291" t="str">
        <v>N˚3</v>
      </c>
      <c r="C12" s="292" t="str">
        <v>Borja Rodriguez Rios</v>
      </c>
      <c r="D12" s="308" cm="1">
        <f t="array" ref="D12">IF($C$5="","",_xlfn.XLOOKUP($C$5&amp;"|"&amp;$B12, BBDD!$B$1:$B$241&amp;"|"&amp;BBDD!$C$1:$C$241, BBDD!$R$1:$R$241, ""))</f>
        <v>1750000</v>
      </c>
      <c r="E12" s="293" cm="1">
        <f t="array" ref="E12">IF($C$5="","",_xlfn.LET(_xlpm.v,_xlfn.XLOOKUP($C$5&amp;"|"&amp;$B12,BBDD!$B$3:$B$2000&amp;"|"&amp;BBDD!$C$3:$C$2000,BBDD!$T$3:$T$2000,""),_xlpm.v))</f>
        <v>0</v>
      </c>
      <c r="F12" s="342" cm="1">
        <f t="array" ref="F12">IF($C$5="","",_xlfn.LET(_xlpm.v,_xlfn.XLOOKUP($C$5&amp;"|"&amp;$B12,BBDD!$B$3:$B$2000&amp;"|"&amp;BBDD!$C$3:$C$2000,BBDD!$U$3:$U$2000,""),_xlpm.v))</f>
        <v>0</v>
      </c>
      <c r="G12" s="294">
        <f t="shared" ref="G12:G19" si="0">IF(D12="","",D12*(1-E12))</f>
        <v>1750000</v>
      </c>
      <c r="H12" s="295"/>
      <c r="I12" s="189"/>
      <c r="J12" s="250"/>
      <c r="M12" s="177" t="s">
        <v>334</v>
      </c>
      <c r="N12" s="177" t="str" cm="1">
        <f t="array" ref="N12">IF($C$5="","",_xlfn.XLOOKUP($C$5&amp;"|"&amp;$B12,BBDD!$B$1:$B$253&amp;"|"&amp;BBDD!$C$1:$C$253,BBDD!$Q$1:$Q$253,""))</f>
        <v>CLP</v>
      </c>
    </row>
    <row r="13" spans="1:14" ht="17" x14ac:dyDescent="0.25">
      <c r="A13" s="189"/>
      <c r="B13" s="291" t="str">
        <v>N˚4</v>
      </c>
      <c r="C13" s="292" t="str">
        <v>Ignacio Rodiguez Rios</v>
      </c>
      <c r="D13" s="308" cm="1">
        <f t="array" ref="D13">IF($C$5="","",_xlfn.XLOOKUP($C$5&amp;"|"&amp;$B13, BBDD!$B$1:$B$241&amp;"|"&amp;BBDD!$C$1:$C$241, BBDD!$R$1:$R$241, ""))</f>
        <v>1750000</v>
      </c>
      <c r="E13" s="293" cm="1">
        <f t="array" ref="E13">IF($C$5="","",_xlfn.LET(_xlpm.v,_xlfn.XLOOKUP($C$5&amp;"|"&amp;$B13,BBDD!$B$3:$B$2000&amp;"|"&amp;BBDD!$C$3:$C$2000,BBDD!$T$3:$T$2000,""),_xlpm.v))</f>
        <v>0</v>
      </c>
      <c r="F13" s="342" cm="1">
        <f t="array" ref="F13">IF($C$5="","",_xlfn.LET(_xlpm.v,_xlfn.XLOOKUP($C$5&amp;"|"&amp;$B13,BBDD!$B$3:$B$2000&amp;"|"&amp;BBDD!$C$3:$C$2000,BBDD!$U$3:$U$2000,""),_xlpm.v))</f>
        <v>0</v>
      </c>
      <c r="G13" s="294">
        <f t="shared" si="0"/>
        <v>1750000</v>
      </c>
      <c r="H13" s="295"/>
      <c r="I13" s="189"/>
      <c r="J13" s="250"/>
      <c r="N13" s="177" t="str" cm="1">
        <f t="array" ref="N13">IF($C$5="","",_xlfn.XLOOKUP($C$5&amp;"|"&amp;$B13,BBDD!$B$1:$B$253&amp;"|"&amp;BBDD!$C$1:$C$253,BBDD!$Q$1:$Q$253,""))</f>
        <v>CLP</v>
      </c>
    </row>
    <row r="14" spans="1:14" ht="17" x14ac:dyDescent="0.25">
      <c r="A14" s="189"/>
      <c r="B14" s="291" t="str">
        <v>N˚5</v>
      </c>
      <c r="C14" s="292" t="str">
        <v>Cristian Fabres Ruiz</v>
      </c>
      <c r="D14" s="308" cm="1">
        <f t="array" ref="D14">IF($C$5="","",_xlfn.XLOOKUP($C$5&amp;"|"&amp;$B14, BBDD!$B$1:$B$241&amp;"|"&amp;BBDD!$C$1:$C$241, BBDD!$R$1:$R$241, ""))</f>
        <v>1750000</v>
      </c>
      <c r="E14" s="293" cm="1">
        <f t="array" ref="E14">IF($C$5="","",_xlfn.LET(_xlpm.v,_xlfn.XLOOKUP($C$5&amp;"|"&amp;$B14,BBDD!$B$3:$B$2000&amp;"|"&amp;BBDD!$C$3:$C$2000,BBDD!$T$3:$T$2000,""),_xlpm.v))</f>
        <v>0</v>
      </c>
      <c r="F14" s="342" cm="1">
        <f t="array" ref="F14">IF($C$5="","",_xlfn.LET(_xlpm.v,_xlfn.XLOOKUP($C$5&amp;"|"&amp;$B14,BBDD!$B$3:$B$2000&amp;"|"&amp;BBDD!$C$3:$C$2000,BBDD!$U$3:$U$2000,""),_xlpm.v))</f>
        <v>0</v>
      </c>
      <c r="G14" s="294">
        <f t="shared" si="0"/>
        <v>1750000</v>
      </c>
      <c r="H14" s="295"/>
      <c r="I14" s="189"/>
      <c r="J14" s="250"/>
      <c r="N14" s="177" t="str" cm="1">
        <f t="array" ref="N14">IF($C$5="","",_xlfn.XLOOKUP($C$5&amp;"|"&amp;$B14,BBDD!$B$1:$B$253&amp;"|"&amp;BBDD!$C$1:$C$253,BBDD!$Q$1:$Q$253,""))</f>
        <v>CLP</v>
      </c>
    </row>
    <row r="15" spans="1:14" ht="17" x14ac:dyDescent="0.25">
      <c r="A15" s="189"/>
      <c r="B15" s="291"/>
      <c r="C15" s="292"/>
      <c r="D15" s="308" t="str" cm="1">
        <f t="array" ref="D15">IF($C$5="","",_xlfn.XLOOKUP($C$5&amp;"|"&amp;$B15, BBDD!$B$1:$B$241&amp;"|"&amp;BBDD!$C$1:$C$241, BBDD!$R$1:$R$241, ""))</f>
        <v/>
      </c>
      <c r="E15" s="293" t="str" cm="1">
        <f t="array" ref="E15">IF($C$5="","",_xlfn.LET(_xlpm.v,_xlfn.XLOOKUP($C$5&amp;"|"&amp;$B15,BBDD!$B$3:$B$2000&amp;"|"&amp;BBDD!$C$3:$C$2000,BBDD!$T$3:$T$2000,""),_xlpm.v))</f>
        <v/>
      </c>
      <c r="F15" s="342" t="str" cm="1">
        <f t="array" ref="F15">IF($C$5="","",_xlfn.LET(_xlpm.v,_xlfn.XLOOKUP($C$5&amp;"|"&amp;$B15,BBDD!$B$3:$B$2000&amp;"|"&amp;BBDD!$C$3:$C$2000,BBDD!$U$3:$U$2000,""),_xlpm.v))</f>
        <v/>
      </c>
      <c r="G15" s="294" t="str">
        <f t="shared" si="0"/>
        <v/>
      </c>
      <c r="H15" s="295"/>
      <c r="I15" s="189"/>
      <c r="J15" s="250"/>
      <c r="N15" s="177" t="str" cm="1">
        <f t="array" ref="N15">IF($C$5="","",_xlfn.XLOOKUP($C$5&amp;"|"&amp;$B15,BBDD!$B$1:$B$253&amp;"|"&amp;BBDD!$C$1:$C$253,BBDD!$Q$1:$Q$253,""))</f>
        <v/>
      </c>
    </row>
    <row r="16" spans="1:14" ht="17" x14ac:dyDescent="0.25">
      <c r="A16" s="189"/>
      <c r="B16" s="291"/>
      <c r="C16" s="292"/>
      <c r="D16" s="308" t="str" cm="1">
        <f t="array" ref="D16">IF($C$5="","",_xlfn.XLOOKUP($C$5&amp;"|"&amp;$B16, BBDD!$B$1:$B$241&amp;"|"&amp;BBDD!$C$1:$C$241, BBDD!$R$1:$R$241, ""))</f>
        <v/>
      </c>
      <c r="E16" s="293" t="str" cm="1">
        <f t="array" ref="E16">IF($C$5="","",_xlfn.LET(_xlpm.v,_xlfn.XLOOKUP($C$5&amp;"|"&amp;$B16,BBDD!$B$3:$B$2000&amp;"|"&amp;BBDD!$C$3:$C$2000,BBDD!$T$3:$T$2000,""),_xlpm.v))</f>
        <v/>
      </c>
      <c r="F16" s="342" t="str" cm="1">
        <f t="array" ref="F16">IF($C$5="","",_xlfn.LET(_xlpm.v,_xlfn.XLOOKUP($C$5&amp;"|"&amp;$B16,BBDD!$B$3:$B$2000&amp;"|"&amp;BBDD!$C$3:$C$2000,BBDD!$U$3:$U$2000,""),_xlpm.v))</f>
        <v/>
      </c>
      <c r="G16" s="294" t="str">
        <f t="shared" si="0"/>
        <v/>
      </c>
      <c r="H16" s="295"/>
      <c r="I16" s="189"/>
      <c r="J16" s="250"/>
      <c r="N16" s="177" t="str" cm="1">
        <f t="array" ref="N16">IF($C$5="","",_xlfn.XLOOKUP($C$5&amp;"|"&amp;$B16,BBDD!$B$1:$B$253&amp;"|"&amp;BBDD!$C$1:$C$253,BBDD!$Q$1:$Q$253,""))</f>
        <v/>
      </c>
    </row>
    <row r="17" spans="1:14" ht="17" x14ac:dyDescent="0.25">
      <c r="A17" s="189"/>
      <c r="B17" s="291"/>
      <c r="C17" s="292"/>
      <c r="D17" s="308" t="str" cm="1">
        <f t="array" ref="D17">IF($C$5="","",_xlfn.XLOOKUP($C$5&amp;"|"&amp;$B17, BBDD!$B$1:$B$241&amp;"|"&amp;BBDD!$C$1:$C$241, BBDD!$R$1:$R$241, ""))</f>
        <v/>
      </c>
      <c r="E17" s="293" t="str" cm="1">
        <f t="array" ref="E17">IF($C$5="","",_xlfn.LET(_xlpm.v,_xlfn.XLOOKUP($C$5&amp;"|"&amp;$B17,BBDD!$B$3:$B$2000&amp;"|"&amp;BBDD!$C$3:$C$2000,BBDD!$T$3:$T$2000,""),_xlpm.v))</f>
        <v/>
      </c>
      <c r="F17" s="342" t="str" cm="1">
        <f t="array" ref="F17">IF($C$5="","",_xlfn.LET(_xlpm.v,_xlfn.XLOOKUP($C$5&amp;"|"&amp;$B17,BBDD!$B$3:$B$2000&amp;"|"&amp;BBDD!$C$3:$C$2000,BBDD!$U$3:$U$2000,""),_xlpm.v))</f>
        <v/>
      </c>
      <c r="G17" s="294" t="str">
        <f t="shared" si="0"/>
        <v/>
      </c>
      <c r="H17" s="295"/>
      <c r="I17" s="189"/>
      <c r="J17" s="250"/>
      <c r="N17" s="177" t="str" cm="1">
        <f t="array" ref="N17">IF($C$5="","",_xlfn.XLOOKUP($C$5&amp;"|"&amp;$B17,BBDD!$B$1:$B$253&amp;"|"&amp;BBDD!$C$1:$C$253,BBDD!$Q$1:$Q$253,""))</f>
        <v/>
      </c>
    </row>
    <row r="18" spans="1:14" ht="17" x14ac:dyDescent="0.25">
      <c r="A18" s="189"/>
      <c r="B18" s="291"/>
      <c r="C18" s="292"/>
      <c r="D18" s="308" t="str" cm="1">
        <f t="array" ref="D18">IF($C$5="","",_xlfn.XLOOKUP($C$5&amp;"|"&amp;$B18, BBDD!$B$1:$B$241&amp;"|"&amp;BBDD!$C$1:$C$241, BBDD!$R$1:$R$241, ""))</f>
        <v/>
      </c>
      <c r="E18" s="293" t="str" cm="1">
        <f t="array" ref="E18">IF($C$5="","",_xlfn.LET(_xlpm.v,_xlfn.XLOOKUP($C$5&amp;"|"&amp;$B18,BBDD!$B$3:$B$2000&amp;"|"&amp;BBDD!$C$3:$C$2000,BBDD!$T$3:$T$2000,""),_xlpm.v))</f>
        <v/>
      </c>
      <c r="F18" s="342" t="str" cm="1">
        <f t="array" ref="F18">IF($C$5="","",_xlfn.LET(_xlpm.v,_xlfn.XLOOKUP($C$5&amp;"|"&amp;$B18,BBDD!$B$3:$B$2000&amp;"|"&amp;BBDD!$C$3:$C$2000,BBDD!$U$3:$U$2000,""),_xlpm.v))</f>
        <v/>
      </c>
      <c r="G18" s="294" t="str">
        <f t="shared" si="0"/>
        <v/>
      </c>
      <c r="H18" s="295"/>
      <c r="I18" s="189"/>
      <c r="J18" s="250"/>
      <c r="N18" s="177" t="str" cm="1">
        <f t="array" ref="N18">IF($C$5="","",_xlfn.XLOOKUP($C$5&amp;"|"&amp;$B18,BBDD!$B$1:$B$253&amp;"|"&amp;BBDD!$C$1:$C$253,BBDD!$Q$1:$Q$253,""))</f>
        <v/>
      </c>
    </row>
    <row r="19" spans="1:14" ht="18" thickBot="1" x14ac:dyDescent="0.3">
      <c r="A19" s="189"/>
      <c r="B19" s="296"/>
      <c r="C19" s="297"/>
      <c r="D19" s="309" t="str" cm="1">
        <f t="array" ref="D19">IF($C$5="","",_xlfn.XLOOKUP($C$5&amp;"|"&amp;$B19, BBDD!$B$1:$B$241&amp;"|"&amp;BBDD!$C$1:$C$241, BBDD!$R$1:$R$241, ""))</f>
        <v/>
      </c>
      <c r="E19" s="298" t="str" cm="1">
        <f t="array" ref="E19">IF($C$5="","",_xlfn.LET(_xlpm.v,_xlfn.XLOOKUP($C$5&amp;"|"&amp;$B19,BBDD!$B$3:$B$2000&amp;"|"&amp;BBDD!$C$3:$C$2000,BBDD!$T$3:$T$2000,""),_xlpm.v))</f>
        <v/>
      </c>
      <c r="F19" s="343" t="str" cm="1">
        <f t="array" ref="F19">IF($C$5="","",_xlfn.LET(_xlpm.v,_xlfn.XLOOKUP($C$5&amp;"|"&amp;$B19,BBDD!$B$3:$B$2000&amp;"|"&amp;BBDD!$C$3:$C$2000,BBDD!$U$3:$U$2000,""),_xlpm.v))</f>
        <v/>
      </c>
      <c r="G19" s="299" t="str">
        <f t="shared" si="0"/>
        <v/>
      </c>
      <c r="H19" s="300"/>
      <c r="I19" s="189"/>
      <c r="J19" s="250"/>
      <c r="N19" s="177" t="str" cm="1">
        <f t="array" ref="N19">IF($C$5="","",_xlfn.XLOOKUP($C$5&amp;"|"&amp;$B19,BBDD!$B$1:$B$253&amp;"|"&amp;BBDD!$C$1:$C$253,BBDD!$Q$1:$Q$253,""))</f>
        <v/>
      </c>
    </row>
    <row r="20" spans="1:14" ht="18" thickBot="1" x14ac:dyDescent="0.3">
      <c r="A20" s="189"/>
      <c r="B20" s="301"/>
      <c r="C20" s="302"/>
      <c r="D20" s="310">
        <f>+SUM(D10:D19)</f>
        <v>8750000</v>
      </c>
      <c r="E20" s="304"/>
      <c r="F20" s="305" t="s">
        <v>49</v>
      </c>
      <c r="G20" s="303">
        <f>+SUM(G10:G19)</f>
        <v>8750000</v>
      </c>
      <c r="H20" s="306"/>
      <c r="I20" s="189"/>
      <c r="J20" s="250"/>
      <c r="N20" s="177" t="str" cm="1">
        <f t="array" ref="N20">IF($C$5="","",_xlfn.XLOOKUP($C$5&amp;"|"&amp;$B20,BBDD!$B$1:$B$253&amp;"|"&amp;BBDD!$C$1:$C$253,BBDD!$Q$1:$Q$253,N10))</f>
        <v>CLP</v>
      </c>
    </row>
    <row r="21" spans="1:14" ht="134" customHeight="1" x14ac:dyDescent="0.25">
      <c r="A21" s="189"/>
      <c r="B21" s="189"/>
      <c r="C21" s="189"/>
      <c r="D21" s="189"/>
      <c r="E21" s="189"/>
      <c r="F21" s="189"/>
      <c r="G21" s="189"/>
      <c r="H21" s="189"/>
      <c r="I21" s="189"/>
      <c r="J21" s="250"/>
    </row>
    <row r="22" spans="1:14" ht="5" customHeight="1" x14ac:dyDescent="0.25">
      <c r="A22" s="250"/>
      <c r="B22" s="250"/>
      <c r="C22" s="250"/>
      <c r="D22" s="250"/>
      <c r="E22" s="250"/>
      <c r="F22" s="250"/>
      <c r="G22" s="250"/>
      <c r="H22" s="250"/>
      <c r="I22" s="250"/>
      <c r="J22" s="250"/>
    </row>
    <row r="24" spans="1:14" ht="28" x14ac:dyDescent="0.4">
      <c r="B24" s="252"/>
      <c r="C24" s="252"/>
      <c r="E24" s="252"/>
      <c r="F24" s="252"/>
    </row>
    <row r="25" spans="1:14" ht="24" thickBot="1" x14ac:dyDescent="0.4">
      <c r="B25" s="253" t="s">
        <v>431</v>
      </c>
      <c r="C25" s="254"/>
      <c r="E25" s="255"/>
      <c r="F25" s="256"/>
    </row>
    <row r="26" spans="1:14" ht="24" thickBot="1" x14ac:dyDescent="0.4">
      <c r="B26" s="352" t="s">
        <v>321</v>
      </c>
      <c r="C26" s="354"/>
      <c r="D26" s="354"/>
      <c r="E26" s="259"/>
      <c r="F26" s="254"/>
    </row>
    <row r="27" spans="1:14" ht="18" thickBot="1" x14ac:dyDescent="0.3">
      <c r="B27" s="263"/>
      <c r="C27" s="277" t="s">
        <v>323</v>
      </c>
      <c r="D27" s="264" t="s">
        <v>324</v>
      </c>
      <c r="E27" s="278" t="s">
        <v>325</v>
      </c>
      <c r="F27" s="254"/>
    </row>
    <row r="28" spans="1:14" ht="17" x14ac:dyDescent="0.25">
      <c r="B28" s="267" t="s">
        <v>0</v>
      </c>
      <c r="C28" s="268">
        <v>4375000</v>
      </c>
      <c r="D28" s="269" t="s">
        <v>340</v>
      </c>
      <c r="E28" s="270" t="s">
        <v>340</v>
      </c>
      <c r="F28" s="254"/>
    </row>
    <row r="29" spans="1:14" ht="18" thickBot="1" x14ac:dyDescent="0.3">
      <c r="B29" s="273" t="s">
        <v>322</v>
      </c>
      <c r="C29" s="274">
        <v>4375000</v>
      </c>
      <c r="D29" s="275" t="s">
        <v>340</v>
      </c>
      <c r="E29" s="276" t="s">
        <v>340</v>
      </c>
      <c r="F29" s="254"/>
    </row>
    <row r="30" spans="1:14" x14ac:dyDescent="0.25">
      <c r="B30" s="253"/>
      <c r="C30" s="254"/>
      <c r="E30" s="253"/>
      <c r="F30" s="257"/>
    </row>
    <row r="31" spans="1:14" ht="17" thickBot="1" x14ac:dyDescent="0.3">
      <c r="B31" s="253" t="s">
        <v>432</v>
      </c>
      <c r="C31" s="257"/>
    </row>
    <row r="32" spans="1:14" ht="24" thickBot="1" x14ac:dyDescent="0.4">
      <c r="B32" s="352" t="s">
        <v>321</v>
      </c>
      <c r="C32" s="354"/>
      <c r="D32" s="354"/>
      <c r="E32" s="259"/>
    </row>
    <row r="33" spans="2:5" ht="18" thickBot="1" x14ac:dyDescent="0.3">
      <c r="B33" s="263"/>
      <c r="C33" s="277" t="s">
        <v>323</v>
      </c>
      <c r="D33" s="264" t="s">
        <v>324</v>
      </c>
      <c r="E33" s="278" t="s">
        <v>325</v>
      </c>
    </row>
    <row r="34" spans="2:5" ht="17" x14ac:dyDescent="0.25">
      <c r="B34" s="428" t="s">
        <v>426</v>
      </c>
      <c r="C34" s="268"/>
      <c r="D34" s="269" t="s">
        <v>340</v>
      </c>
      <c r="E34" s="270" t="s">
        <v>340</v>
      </c>
    </row>
    <row r="35" spans="2:5" ht="17" x14ac:dyDescent="0.25">
      <c r="B35" s="429" t="s">
        <v>427</v>
      </c>
      <c r="C35" s="425"/>
      <c r="D35" s="426"/>
      <c r="E35" s="427"/>
    </row>
    <row r="36" spans="2:5" ht="17" x14ac:dyDescent="0.25">
      <c r="B36" s="429" t="s">
        <v>428</v>
      </c>
      <c r="C36" s="425"/>
      <c r="D36" s="426"/>
      <c r="E36" s="427"/>
    </row>
    <row r="37" spans="2:5" ht="17" x14ac:dyDescent="0.25">
      <c r="B37" s="429" t="s">
        <v>429</v>
      </c>
      <c r="C37" s="425"/>
      <c r="D37" s="426"/>
      <c r="E37" s="427"/>
    </row>
    <row r="38" spans="2:5" ht="18" thickBot="1" x14ac:dyDescent="0.3">
      <c r="B38" s="430" t="s">
        <v>430</v>
      </c>
      <c r="C38" s="274">
        <v>4375000</v>
      </c>
      <c r="D38" s="275" t="s">
        <v>340</v>
      </c>
      <c r="E38" s="276" t="s">
        <v>340</v>
      </c>
    </row>
  </sheetData>
  <mergeCells count="5">
    <mergeCell ref="D1:H1"/>
    <mergeCell ref="B4:C4"/>
    <mergeCell ref="E4:G4"/>
    <mergeCell ref="B26:D26"/>
    <mergeCell ref="B32:D32"/>
  </mergeCells>
  <conditionalFormatting sqref="D10:D20 G10:G20 F6:F7">
    <cfRule type="expression" dxfId="5" priority="5">
      <formula>$N6="USD"</formula>
    </cfRule>
    <cfRule type="expression" dxfId="4" priority="6">
      <formula>$N6="CLP"</formula>
    </cfRule>
  </conditionalFormatting>
  <conditionalFormatting sqref="C28:C29">
    <cfRule type="expression" dxfId="3" priority="3">
      <formula>$N28="USD"</formula>
    </cfRule>
    <cfRule type="expression" dxfId="2" priority="4">
      <formula>$N28="CLP"</formula>
    </cfRule>
  </conditionalFormatting>
  <conditionalFormatting sqref="C34:C38">
    <cfRule type="expression" dxfId="1" priority="1">
      <formula>$N34="USD"</formula>
    </cfRule>
    <cfRule type="expression" dxfId="0" priority="2">
      <formula>$N34="CLP"</formula>
    </cfRule>
  </conditionalFormatting>
  <dataValidations count="2">
    <dataValidation type="list" allowBlank="1" showInputMessage="1" showErrorMessage="1" sqref="C5" xr:uid="{258D1D20-50BA-5F4F-820F-BAD3D3CFC7CB}">
      <formula1>ListaGrupos</formula1>
    </dataValidation>
    <dataValidation type="list" allowBlank="1" showInputMessage="1" showErrorMessage="1" sqref="AA10:AA19" xr:uid="{41A34C98-B623-0C45-AE08-88C623F7A5CC}">
      <formula1>"Sin descuento,Jorge Icaza,René Acklin,Francisca Pualuan"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92A984-B16A-304F-9803-1CA92DC1AC3C}">
          <x14:formula1>
            <xm:f>Mantenedor!$I$2:$I$101</xm:f>
          </x14:formula1>
          <xm:sqref>Z10:Z19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10C43-851F-AA4E-9729-32B9E9B2C4DF}">
  <dimension ref="A1:H1"/>
  <sheetViews>
    <sheetView workbookViewId="0">
      <selection activeCell="H2" sqref="H2"/>
    </sheetView>
  </sheetViews>
  <sheetFormatPr baseColWidth="10" defaultRowHeight="15" x14ac:dyDescent="0.2"/>
  <sheetData>
    <row r="1" spans="1:8" x14ac:dyDescent="0.2">
      <c r="A1" t="s">
        <v>433</v>
      </c>
      <c r="B1" t="s">
        <v>112</v>
      </c>
      <c r="C1" t="s">
        <v>137</v>
      </c>
      <c r="D1" t="s">
        <v>434</v>
      </c>
      <c r="E1" t="s">
        <v>306</v>
      </c>
      <c r="F1" t="s">
        <v>435</v>
      </c>
      <c r="G1" t="s">
        <v>436</v>
      </c>
      <c r="H1" t="s">
        <v>437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44466-5D82-944A-B77C-B183DE27830E}">
  <sheetPr codeName="Hoja2">
    <tabColor rgb="FFFFFF00"/>
  </sheetPr>
  <dimension ref="A1:AZ273"/>
  <sheetViews>
    <sheetView zoomScale="118" zoomScaleNormal="100" workbookViewId="0">
      <selection activeCell="P3" sqref="P3"/>
    </sheetView>
  </sheetViews>
  <sheetFormatPr baseColWidth="10" defaultRowHeight="15" x14ac:dyDescent="0.2"/>
  <cols>
    <col min="1" max="1" width="12.5" style="394" bestFit="1" customWidth="1"/>
    <col min="2" max="2" width="7.1640625" style="311" bestFit="1" customWidth="1"/>
    <col min="3" max="3" width="9" style="311" bestFit="1" customWidth="1"/>
    <col min="4" max="4" width="11.1640625" style="311" bestFit="1" customWidth="1"/>
    <col min="5" max="5" width="23.33203125" style="311" bestFit="1" customWidth="1"/>
    <col min="6" max="6" width="28.33203125" style="311" bestFit="1" customWidth="1"/>
    <col min="7" max="7" width="16.6640625" style="311" bestFit="1" customWidth="1"/>
    <col min="8" max="8" width="10.5" style="311" bestFit="1" customWidth="1"/>
    <col min="9" max="9" width="11.1640625" style="311" bestFit="1" customWidth="1"/>
    <col min="10" max="10" width="14.5" style="317" bestFit="1" customWidth="1"/>
    <col min="11" max="11" width="8.1640625" style="311" bestFit="1" customWidth="1"/>
    <col min="12" max="12" width="9.1640625" style="317" bestFit="1" customWidth="1"/>
    <col min="13" max="13" width="11.83203125" style="316" bestFit="1" customWidth="1"/>
    <col min="14" max="14" width="8" style="311" customWidth="1"/>
    <col min="15" max="15" width="13.6640625" style="311" bestFit="1" customWidth="1"/>
    <col min="16" max="16" width="22.1640625" style="394" customWidth="1"/>
    <col min="17" max="17" width="7.33203125" style="392" customWidth="1"/>
    <col min="18" max="18" width="11.5" style="394" customWidth="1"/>
    <col min="19" max="19" width="13.5" style="314" bestFit="1" customWidth="1"/>
    <col min="20" max="20" width="10" style="313" bestFit="1" customWidth="1"/>
    <col min="21" max="21" width="12" style="313" bestFit="1" customWidth="1"/>
    <col min="22" max="22" width="13.83203125" style="394" customWidth="1"/>
    <col min="23" max="23" width="13.5" style="394" bestFit="1" customWidth="1"/>
    <col min="24" max="24" width="14.83203125" style="394" bestFit="1" customWidth="1"/>
    <col min="25" max="29" width="13.83203125" style="394" bestFit="1" customWidth="1"/>
    <col min="30" max="30" width="13.6640625" style="394" bestFit="1" customWidth="1"/>
    <col min="31" max="31" width="19.5" style="311" bestFit="1" customWidth="1"/>
    <col min="32" max="32" width="17.83203125" style="394" bestFit="1" customWidth="1"/>
    <col min="33" max="33" width="19.1640625" style="311" bestFit="1" customWidth="1"/>
    <col min="34" max="36" width="12.1640625" style="394" bestFit="1" customWidth="1"/>
    <col min="37" max="37" width="11.33203125" style="394" bestFit="1" customWidth="1"/>
    <col min="38" max="38" width="11.83203125" style="394" bestFit="1" customWidth="1"/>
    <col min="39" max="39" width="17.5" style="311" bestFit="1" customWidth="1"/>
    <col min="40" max="40" width="15.83203125" style="397" bestFit="1" customWidth="1"/>
    <col min="41" max="41" width="17.5" style="311" bestFit="1" customWidth="1"/>
    <col min="42" max="42" width="15.83203125" style="311" bestFit="1" customWidth="1"/>
    <col min="43" max="45" width="10.83203125" style="394"/>
    <col min="46" max="46" width="25.1640625" style="394" bestFit="1" customWidth="1"/>
    <col min="47" max="48" width="10.83203125" style="394"/>
    <col min="49" max="49" width="16.5" style="394" bestFit="1" customWidth="1"/>
    <col min="50" max="50" width="15.5" style="394" bestFit="1" customWidth="1"/>
    <col min="51" max="51" width="30.33203125" style="394" bestFit="1" customWidth="1"/>
    <col min="52" max="52" width="37.6640625" style="394" bestFit="1" customWidth="1"/>
    <col min="53" max="16384" width="10.83203125" style="394"/>
  </cols>
  <sheetData>
    <row r="1" spans="1:52" ht="33" thickBot="1" x14ac:dyDescent="0.25">
      <c r="A1" s="378" t="s">
        <v>134</v>
      </c>
      <c r="B1" s="379" t="s">
        <v>112</v>
      </c>
      <c r="C1" s="380" t="s">
        <v>139</v>
      </c>
      <c r="D1" s="381" t="s">
        <v>213</v>
      </c>
      <c r="E1" s="380" t="s">
        <v>196</v>
      </c>
      <c r="F1" s="380" t="s">
        <v>136</v>
      </c>
      <c r="G1" s="380" t="s">
        <v>215</v>
      </c>
      <c r="H1" s="380" t="s">
        <v>182</v>
      </c>
      <c r="I1" s="380" t="s">
        <v>137</v>
      </c>
      <c r="J1" s="382" t="s">
        <v>197</v>
      </c>
      <c r="K1" s="383" t="s">
        <v>180</v>
      </c>
      <c r="L1" s="383" t="s">
        <v>186</v>
      </c>
      <c r="M1" s="383" t="s">
        <v>181</v>
      </c>
      <c r="N1" s="384" t="s">
        <v>138</v>
      </c>
      <c r="O1" s="386" t="s">
        <v>338</v>
      </c>
      <c r="P1" s="385" t="s">
        <v>146</v>
      </c>
      <c r="Q1" s="385" t="s">
        <v>306</v>
      </c>
      <c r="R1" s="386" t="s">
        <v>198</v>
      </c>
      <c r="S1" s="386" t="s">
        <v>339</v>
      </c>
      <c r="T1" s="385" t="s">
        <v>190</v>
      </c>
      <c r="U1" s="385" t="s">
        <v>311</v>
      </c>
      <c r="V1" s="385" t="s">
        <v>307</v>
      </c>
      <c r="W1" s="387" t="s">
        <v>309</v>
      </c>
      <c r="X1" s="388" t="s">
        <v>199</v>
      </c>
      <c r="Y1" s="388" t="s">
        <v>200</v>
      </c>
      <c r="Z1" s="388" t="s">
        <v>201</v>
      </c>
      <c r="AA1" s="388" t="s">
        <v>202</v>
      </c>
      <c r="AB1" s="388" t="s">
        <v>203</v>
      </c>
      <c r="AC1" s="388" t="s">
        <v>204</v>
      </c>
      <c r="AD1" s="388" t="s">
        <v>191</v>
      </c>
      <c r="AE1" s="388" t="s">
        <v>195</v>
      </c>
      <c r="AF1" s="388" t="s">
        <v>193</v>
      </c>
      <c r="AG1" s="388" t="s">
        <v>194</v>
      </c>
      <c r="AH1" s="389" t="s">
        <v>205</v>
      </c>
      <c r="AI1" s="390" t="s">
        <v>206</v>
      </c>
      <c r="AJ1" s="390" t="s">
        <v>207</v>
      </c>
      <c r="AK1" s="390" t="s">
        <v>208</v>
      </c>
      <c r="AL1" s="390" t="s">
        <v>192</v>
      </c>
      <c r="AM1" s="390" t="s">
        <v>209</v>
      </c>
      <c r="AN1" s="390" t="s">
        <v>210</v>
      </c>
      <c r="AO1" s="390" t="s">
        <v>211</v>
      </c>
      <c r="AP1" s="391" t="s">
        <v>212</v>
      </c>
      <c r="AQ1" s="392" t="s">
        <v>341</v>
      </c>
      <c r="AR1" s="392" t="s">
        <v>342</v>
      </c>
      <c r="AS1" s="27" t="s">
        <v>343</v>
      </c>
      <c r="AT1" s="27" t="s">
        <v>344</v>
      </c>
      <c r="AU1" s="27" t="s">
        <v>345</v>
      </c>
      <c r="AV1" s="27" t="s">
        <v>346</v>
      </c>
      <c r="AW1" s="27" t="s">
        <v>347</v>
      </c>
      <c r="AX1" s="27" t="s">
        <v>348</v>
      </c>
      <c r="AY1" s="27" t="s">
        <v>349</v>
      </c>
      <c r="AZ1" s="27" t="s">
        <v>350</v>
      </c>
    </row>
    <row r="2" spans="1:52" x14ac:dyDescent="0.2">
      <c r="A2" s="398" t="str">
        <f>IF(B2="","",CONCATENATE("GBL",B2," - ",Mantenedor!E2))</f>
        <v>GBLGrupo 1 - 1</v>
      </c>
      <c r="B2" s="311" t="s">
        <v>214</v>
      </c>
      <c r="C2" s="311" t="s">
        <v>187</v>
      </c>
      <c r="D2" s="311" t="s">
        <v>233</v>
      </c>
      <c r="E2" s="311" t="s">
        <v>118</v>
      </c>
      <c r="F2" s="311" t="s">
        <v>114</v>
      </c>
      <c r="H2" s="311" t="s">
        <v>242</v>
      </c>
      <c r="I2" s="311" t="s">
        <v>235</v>
      </c>
      <c r="J2" s="318">
        <v>45875</v>
      </c>
      <c r="K2" s="312">
        <v>45995</v>
      </c>
      <c r="L2" s="317">
        <v>4</v>
      </c>
      <c r="M2" s="315">
        <v>45999</v>
      </c>
      <c r="N2" s="311" t="s">
        <v>238</v>
      </c>
      <c r="O2" s="311" t="s">
        <v>240</v>
      </c>
      <c r="P2" s="398" t="str">
        <f t="shared" ref="P2:P65" si="0">IF(N2="","",(IF(L2=1,(CONCATENATE("Base ",N2," ",L2," noche")),(CONCATENATE("Base ",N2," ",L2," noches")))))</f>
        <v>Base DOBLE 4 noches</v>
      </c>
      <c r="Q2" s="401" t="str" cm="1">
        <f t="array" ref="Q2">+_xlfn.IFS(O2="Nacional","CLP",O2="Extranjero","USD",O2="","")</f>
        <v>CLP</v>
      </c>
      <c r="R2" s="399">
        <f>IFERROR(IF(O2="Nacional",VLOOKUP(P2,PRICING!$D$4:$E$59,2,FALSE),VLOOKUP(P2,PRICING!$J$4:$K$59,2,FALSE)),"")</f>
        <v>1750000</v>
      </c>
      <c r="S2" s="402">
        <v>1750000</v>
      </c>
      <c r="V2" s="399">
        <f t="shared" ref="V2:V65" si="1">+S2*(1-T2)</f>
        <v>1750000</v>
      </c>
      <c r="W2" s="400">
        <f t="shared" ref="W2:W65" si="2">IFERROR(+V2*(1-T2),"")</f>
        <v>1750000</v>
      </c>
      <c r="X2" s="393">
        <f t="shared" ref="X2:X65" si="3">IF($J2="","",$J2-105)</f>
        <v>45770</v>
      </c>
      <c r="Y2" s="393">
        <f t="shared" ref="Y2:Y65" si="4">IF($J2="","",$J2-90)</f>
        <v>45785</v>
      </c>
      <c r="Z2" s="393">
        <f t="shared" ref="Z2:Z65" si="5">IF($J2="","",$J2-75)</f>
        <v>45800</v>
      </c>
      <c r="AA2" s="393">
        <f t="shared" ref="AA2:AA65" si="6">IF($J2="","",$J2-60)</f>
        <v>45815</v>
      </c>
      <c r="AB2" s="393">
        <f t="shared" ref="AB2:AB65" si="7">IF($J2="","",$J2-45)</f>
        <v>45830</v>
      </c>
      <c r="AC2" s="393">
        <f t="shared" ref="AC2:AC65" si="8">IF($J2="","",$J2-30)</f>
        <v>45845</v>
      </c>
      <c r="AD2" s="398" t="str">
        <f t="shared" ref="AD2:AD65" si="9">+IF(AC2="","","LLAMAR")</f>
        <v>LLAMAR</v>
      </c>
      <c r="AE2" s="312"/>
      <c r="AF2" s="396" t="str">
        <f t="shared" ref="AF2:AF65" si="10">+IF(AE2="","",W2*0.5)</f>
        <v/>
      </c>
      <c r="AH2" s="393">
        <f t="shared" ref="AH2:AH65" si="11">+IF($M2="","",$M2-45)</f>
        <v>45954</v>
      </c>
      <c r="AI2" s="393">
        <f t="shared" ref="AI2:AI65" si="12">+IF($M2="","",$M2-30)</f>
        <v>45969</v>
      </c>
      <c r="AJ2" s="393"/>
      <c r="AK2" s="393">
        <f t="shared" ref="AK2:AK65" si="13">+IF($M2="","",$M2-7)</f>
        <v>45992</v>
      </c>
      <c r="AL2" s="398" t="str">
        <f t="shared" ref="AL2:AL65" si="14">+IF(AK2="","","LLAMAR")</f>
        <v>LLAMAR</v>
      </c>
      <c r="AM2" s="312"/>
      <c r="AN2" s="396" t="str">
        <f t="shared" ref="AN2:AN65" si="15">+IF(AM2="","",W2*0.5)</f>
        <v/>
      </c>
      <c r="AQ2" t="e">
        <f>IF(W2="","",W2*Mantenedor!$I$1)</f>
        <v>#VALUE!</v>
      </c>
      <c r="AR2" t="e">
        <f t="shared" ref="AR2" si="16">IF(W2="","",W2-AQ2)</f>
        <v>#VALUE!</v>
      </c>
      <c r="AS2" s="176">
        <f t="shared" ref="AS2:AS65" si="17">IF(J2="","",J2+30)</f>
        <v>45905</v>
      </c>
      <c r="AT2" s="176">
        <f t="shared" ref="AT2:AT65" si="18">IF(K2="","",K2-30)</f>
        <v>45965</v>
      </c>
      <c r="AU2" t="str">
        <f t="shared" ref="AU2:AU65" si="19">IF(AE2="","NO","SÍ")</f>
        <v>NO</v>
      </c>
      <c r="AV2" t="str">
        <f t="shared" ref="AV2:AV65" si="20">IF(AM2="","NO","SÍ")</f>
        <v>NO</v>
      </c>
      <c r="AW2">
        <f t="shared" ref="AW2:AW65" ca="1" si="21">IF(J2="","",TODAY()-J2)</f>
        <v>66</v>
      </c>
      <c r="AX2">
        <f t="shared" ref="AX2:AX65" ca="1" si="22">IF(K2="","",K2-TODAY())</f>
        <v>54</v>
      </c>
      <c r="AY2" s="394" t="str">
        <f t="shared" ref="AY2:AY65" ca="1" si="23">IF(AU2="SÍ","Pagada",
 IF(AW2="","",
 IF(AW2&gt;=90,"Código ROJO &gt;90",
 IF(AW2&gt;=60,"Reserva +60",
 IF(AW2&gt;=45,"Reserva +45",
 IF(AW2&gt;=30,"Reserva +30",
 IF(AW2&gt;=10,"Reserva +10","Reciente")))))))</f>
        <v>Reserva +60</v>
      </c>
      <c r="AZ2" s="394" t="str">
        <f t="shared" ref="AZ2:AZ65" ca="1" si="24">IF(AV2="SÍ","Pagado",
 IF(AX2="","",
 IF(AX2&lt;=-10,"Código ROJO &lt; -10",
 IF(AX2&lt;=15,"Saldo &lt;=15",
 IF(AX2&lt;=25,"Saldo &lt;=25",
 IF(AX2&lt;=30,"Saldo &lt;=30",
 IF(AX2&lt;=45,"Saldo &lt;=45","Lejos")))))))</f>
        <v>Lejos</v>
      </c>
    </row>
    <row r="3" spans="1:52" x14ac:dyDescent="0.2">
      <c r="A3" s="398" t="str">
        <f>IF(B3="","",CONCATENATE("GBL",B3," - ",Mantenedor!E3))</f>
        <v>GBLGrupo 1 - 2</v>
      </c>
      <c r="B3" s="311" t="s">
        <v>214</v>
      </c>
      <c r="C3" s="311" t="s">
        <v>326</v>
      </c>
      <c r="D3" s="311" t="s">
        <v>233</v>
      </c>
      <c r="E3" s="311" t="s">
        <v>113</v>
      </c>
      <c r="H3" s="311" t="s">
        <v>242</v>
      </c>
      <c r="I3" s="311" t="s">
        <v>235</v>
      </c>
      <c r="J3" s="318">
        <v>45875</v>
      </c>
      <c r="K3" s="312">
        <v>45995</v>
      </c>
      <c r="L3" s="317">
        <v>4</v>
      </c>
      <c r="M3" s="315">
        <v>45999</v>
      </c>
      <c r="N3" s="311" t="s">
        <v>238</v>
      </c>
      <c r="O3" s="311" t="s">
        <v>240</v>
      </c>
      <c r="P3" s="398" t="str">
        <f t="shared" si="0"/>
        <v>Base DOBLE 4 noches</v>
      </c>
      <c r="Q3" s="401" t="str" cm="1">
        <f t="array" ref="Q3">+_xlfn.IFS(O3="Nacional","CLP",O3="Extranjero","USD",O3="","")</f>
        <v>CLP</v>
      </c>
      <c r="R3" s="399">
        <f>IFERROR(IF(O3="Nacional",VLOOKUP(P3,PRICING!$D$4:$E$59,2,FALSE),VLOOKUP(P3,PRICING!$J$4:$K$59,2,FALSE)),"")</f>
        <v>1750000</v>
      </c>
      <c r="S3" s="402">
        <v>1750000</v>
      </c>
      <c r="V3" s="399">
        <f t="shared" si="1"/>
        <v>1750000</v>
      </c>
      <c r="W3" s="400">
        <f t="shared" si="2"/>
        <v>1750000</v>
      </c>
      <c r="X3" s="393">
        <f t="shared" si="3"/>
        <v>45770</v>
      </c>
      <c r="Y3" s="393">
        <f t="shared" si="4"/>
        <v>45785</v>
      </c>
      <c r="Z3" s="393">
        <f t="shared" si="5"/>
        <v>45800</v>
      </c>
      <c r="AA3" s="393">
        <f t="shared" si="6"/>
        <v>45815</v>
      </c>
      <c r="AB3" s="393">
        <f t="shared" si="7"/>
        <v>45830</v>
      </c>
      <c r="AC3" s="393">
        <f t="shared" si="8"/>
        <v>45845</v>
      </c>
      <c r="AD3" s="398" t="str">
        <f t="shared" si="9"/>
        <v>LLAMAR</v>
      </c>
      <c r="AE3" s="312"/>
      <c r="AF3" s="396" t="str">
        <f t="shared" si="10"/>
        <v/>
      </c>
      <c r="AH3" s="393">
        <f t="shared" si="11"/>
        <v>45954</v>
      </c>
      <c r="AI3" s="393">
        <f t="shared" si="12"/>
        <v>45969</v>
      </c>
      <c r="AJ3" s="393"/>
      <c r="AK3" s="393">
        <f t="shared" si="13"/>
        <v>45992</v>
      </c>
      <c r="AL3" s="398" t="str">
        <f t="shared" si="14"/>
        <v>LLAMAR</v>
      </c>
      <c r="AN3" s="396" t="str">
        <f t="shared" si="15"/>
        <v/>
      </c>
      <c r="AQ3" s="395"/>
      <c r="AR3" s="395"/>
    </row>
    <row r="4" spans="1:52" x14ac:dyDescent="0.2">
      <c r="A4" s="398" t="str">
        <f>IF(B4="","",CONCATENATE("GBL",B4," - ",Mantenedor!E4))</f>
        <v>GBLGrupo 1 - 3</v>
      </c>
      <c r="B4" s="311" t="s">
        <v>214</v>
      </c>
      <c r="C4" s="311" t="s">
        <v>327</v>
      </c>
      <c r="D4" s="311" t="s">
        <v>233</v>
      </c>
      <c r="E4" s="311" t="s">
        <v>115</v>
      </c>
      <c r="H4" s="311" t="s">
        <v>242</v>
      </c>
      <c r="I4" s="311" t="s">
        <v>235</v>
      </c>
      <c r="J4" s="318">
        <v>45875</v>
      </c>
      <c r="K4" s="312">
        <v>45995</v>
      </c>
      <c r="L4" s="317">
        <v>4</v>
      </c>
      <c r="M4" s="315">
        <v>45999</v>
      </c>
      <c r="N4" s="311" t="s">
        <v>238</v>
      </c>
      <c r="O4" s="311" t="s">
        <v>240</v>
      </c>
      <c r="P4" s="398" t="str">
        <f t="shared" si="0"/>
        <v>Base DOBLE 4 noches</v>
      </c>
      <c r="Q4" s="401" t="str" cm="1">
        <f t="array" ref="Q4">+_xlfn.IFS(O4="Nacional","CLP",O4="Extranjero","USD",O4="","")</f>
        <v>CLP</v>
      </c>
      <c r="R4" s="399">
        <f>IFERROR(IF(O4="Nacional",VLOOKUP(P4,PRICING!$D$4:$E$59,2,FALSE),VLOOKUP(P4,PRICING!$J$4:$K$59,2,FALSE)),"")</f>
        <v>1750000</v>
      </c>
      <c r="S4" s="402">
        <v>1750000</v>
      </c>
      <c r="V4" s="399">
        <f t="shared" si="1"/>
        <v>1750000</v>
      </c>
      <c r="W4" s="400">
        <f t="shared" si="2"/>
        <v>1750000</v>
      </c>
      <c r="X4" s="393">
        <f t="shared" si="3"/>
        <v>45770</v>
      </c>
      <c r="Y4" s="393">
        <f t="shared" si="4"/>
        <v>45785</v>
      </c>
      <c r="Z4" s="393">
        <f t="shared" si="5"/>
        <v>45800</v>
      </c>
      <c r="AA4" s="393">
        <f t="shared" si="6"/>
        <v>45815</v>
      </c>
      <c r="AB4" s="393">
        <f t="shared" si="7"/>
        <v>45830</v>
      </c>
      <c r="AC4" s="393">
        <f t="shared" si="8"/>
        <v>45845</v>
      </c>
      <c r="AD4" s="398" t="str">
        <f t="shared" si="9"/>
        <v>LLAMAR</v>
      </c>
      <c r="AE4" s="312"/>
      <c r="AF4" s="396" t="str">
        <f t="shared" si="10"/>
        <v/>
      </c>
      <c r="AH4" s="393">
        <f t="shared" si="11"/>
        <v>45954</v>
      </c>
      <c r="AI4" s="393">
        <f t="shared" si="12"/>
        <v>45969</v>
      </c>
      <c r="AJ4" s="393"/>
      <c r="AK4" s="393">
        <f t="shared" si="13"/>
        <v>45992</v>
      </c>
      <c r="AL4" s="398" t="str">
        <f t="shared" si="14"/>
        <v>LLAMAR</v>
      </c>
      <c r="AN4" s="396" t="str">
        <f t="shared" si="15"/>
        <v/>
      </c>
      <c r="AQ4" s="395"/>
      <c r="AR4" s="395"/>
    </row>
    <row r="5" spans="1:52" x14ac:dyDescent="0.2">
      <c r="A5" s="398" t="str">
        <f>IF(B5="","",CONCATENATE("GBL",B5," - ",Mantenedor!E5))</f>
        <v>GBLGrupo 1 - 4</v>
      </c>
      <c r="B5" s="311" t="s">
        <v>214</v>
      </c>
      <c r="C5" s="311" t="s">
        <v>310</v>
      </c>
      <c r="D5" s="311" t="s">
        <v>233</v>
      </c>
      <c r="E5" s="311" t="s">
        <v>116</v>
      </c>
      <c r="H5" s="311" t="s">
        <v>242</v>
      </c>
      <c r="I5" s="311" t="s">
        <v>235</v>
      </c>
      <c r="J5" s="318">
        <v>45875</v>
      </c>
      <c r="K5" s="312">
        <v>45995</v>
      </c>
      <c r="L5" s="317">
        <v>4</v>
      </c>
      <c r="M5" s="315">
        <v>45999</v>
      </c>
      <c r="N5" s="311" t="s">
        <v>238</v>
      </c>
      <c r="O5" s="311" t="s">
        <v>240</v>
      </c>
      <c r="P5" s="398" t="str">
        <f t="shared" si="0"/>
        <v>Base DOBLE 4 noches</v>
      </c>
      <c r="Q5" s="401" t="str" cm="1">
        <f t="array" ref="Q5">+_xlfn.IFS(O5="Nacional","CLP",O5="Extranjero","USD",O5="","")</f>
        <v>CLP</v>
      </c>
      <c r="R5" s="399">
        <f>IFERROR(IF(O5="Nacional",VLOOKUP(P5,PRICING!$D$4:$E$59,2,FALSE),VLOOKUP(P5,PRICING!$J$4:$K$59,2,FALSE)),"")</f>
        <v>1750000</v>
      </c>
      <c r="S5" s="402">
        <v>1750000</v>
      </c>
      <c r="V5" s="399">
        <f t="shared" si="1"/>
        <v>1750000</v>
      </c>
      <c r="W5" s="400">
        <f t="shared" si="2"/>
        <v>1750000</v>
      </c>
      <c r="X5" s="393">
        <f t="shared" si="3"/>
        <v>45770</v>
      </c>
      <c r="Y5" s="393">
        <f t="shared" si="4"/>
        <v>45785</v>
      </c>
      <c r="Z5" s="393">
        <f t="shared" si="5"/>
        <v>45800</v>
      </c>
      <c r="AA5" s="393">
        <f t="shared" si="6"/>
        <v>45815</v>
      </c>
      <c r="AB5" s="393">
        <f t="shared" si="7"/>
        <v>45830</v>
      </c>
      <c r="AC5" s="393">
        <f t="shared" si="8"/>
        <v>45845</v>
      </c>
      <c r="AD5" s="398" t="str">
        <f t="shared" si="9"/>
        <v>LLAMAR</v>
      </c>
      <c r="AE5" s="312"/>
      <c r="AF5" s="396" t="str">
        <f t="shared" si="10"/>
        <v/>
      </c>
      <c r="AH5" s="393">
        <f t="shared" si="11"/>
        <v>45954</v>
      </c>
      <c r="AI5" s="393">
        <f t="shared" si="12"/>
        <v>45969</v>
      </c>
      <c r="AJ5" s="393"/>
      <c r="AK5" s="393">
        <f t="shared" si="13"/>
        <v>45992</v>
      </c>
      <c r="AL5" s="398" t="str">
        <f t="shared" si="14"/>
        <v>LLAMAR</v>
      </c>
      <c r="AN5" s="396" t="str">
        <f t="shared" si="15"/>
        <v/>
      </c>
      <c r="AQ5" s="395"/>
      <c r="AR5" s="395"/>
    </row>
    <row r="6" spans="1:52" x14ac:dyDescent="0.2">
      <c r="A6" s="398" t="str">
        <f>IF(B6="","",CONCATENATE("GBL",B6," - ",Mantenedor!E6))</f>
        <v>GBLGrupo 1 - 5</v>
      </c>
      <c r="B6" s="311" t="s">
        <v>214</v>
      </c>
      <c r="C6" s="311" t="s">
        <v>328</v>
      </c>
      <c r="D6" s="311" t="s">
        <v>233</v>
      </c>
      <c r="E6" s="311" t="s">
        <v>117</v>
      </c>
      <c r="H6" s="311" t="s">
        <v>242</v>
      </c>
      <c r="I6" s="311" t="s">
        <v>235</v>
      </c>
      <c r="J6" s="318">
        <v>45875</v>
      </c>
      <c r="K6" s="312">
        <v>45995</v>
      </c>
      <c r="L6" s="317">
        <v>4</v>
      </c>
      <c r="M6" s="315">
        <v>45999</v>
      </c>
      <c r="N6" s="311" t="s">
        <v>238</v>
      </c>
      <c r="O6" s="311" t="s">
        <v>240</v>
      </c>
      <c r="P6" s="398" t="str">
        <f t="shared" si="0"/>
        <v>Base DOBLE 4 noches</v>
      </c>
      <c r="Q6" s="401" t="str" cm="1">
        <f t="array" ref="Q6">+_xlfn.IFS(O6="Nacional","CLP",O6="Extranjero","USD",O6="","")</f>
        <v>CLP</v>
      </c>
      <c r="R6" s="399">
        <f>IFERROR(IF(O6="Nacional",VLOOKUP(P6,PRICING!$D$4:$E$59,2,FALSE),VLOOKUP(P6,PRICING!$J$4:$K$59,2,FALSE)),"")</f>
        <v>1750000</v>
      </c>
      <c r="S6" s="402">
        <v>1750000</v>
      </c>
      <c r="V6" s="399">
        <f t="shared" si="1"/>
        <v>1750000</v>
      </c>
      <c r="W6" s="400">
        <f t="shared" si="2"/>
        <v>1750000</v>
      </c>
      <c r="X6" s="393">
        <f t="shared" si="3"/>
        <v>45770</v>
      </c>
      <c r="Y6" s="393">
        <f t="shared" si="4"/>
        <v>45785</v>
      </c>
      <c r="Z6" s="393">
        <f t="shared" si="5"/>
        <v>45800</v>
      </c>
      <c r="AA6" s="393">
        <f t="shared" si="6"/>
        <v>45815</v>
      </c>
      <c r="AB6" s="393">
        <f t="shared" si="7"/>
        <v>45830</v>
      </c>
      <c r="AC6" s="393">
        <f t="shared" si="8"/>
        <v>45845</v>
      </c>
      <c r="AD6" s="398" t="str">
        <f t="shared" si="9"/>
        <v>LLAMAR</v>
      </c>
      <c r="AE6" s="312"/>
      <c r="AF6" s="396" t="str">
        <f t="shared" si="10"/>
        <v/>
      </c>
      <c r="AH6" s="393">
        <f t="shared" si="11"/>
        <v>45954</v>
      </c>
      <c r="AI6" s="393">
        <f t="shared" si="12"/>
        <v>45969</v>
      </c>
      <c r="AJ6" s="393"/>
      <c r="AK6" s="393">
        <f t="shared" si="13"/>
        <v>45992</v>
      </c>
      <c r="AL6" s="398" t="str">
        <f t="shared" si="14"/>
        <v>LLAMAR</v>
      </c>
      <c r="AN6" s="396" t="str">
        <f t="shared" si="15"/>
        <v/>
      </c>
      <c r="AQ6" s="395"/>
      <c r="AR6" s="395"/>
    </row>
    <row r="7" spans="1:52" x14ac:dyDescent="0.2">
      <c r="A7" s="398" t="str">
        <f>IF(B7="","",CONCATENATE("GBL",B7," - ",Mantenedor!E7))</f>
        <v>GBLGrupo 2 - 6</v>
      </c>
      <c r="B7" s="311" t="s">
        <v>335</v>
      </c>
      <c r="C7" s="311" t="s">
        <v>187</v>
      </c>
      <c r="D7" s="311" t="s">
        <v>233</v>
      </c>
      <c r="E7" s="311" t="s">
        <v>390</v>
      </c>
      <c r="F7" s="311" t="s">
        <v>391</v>
      </c>
      <c r="G7" s="311">
        <v>1213</v>
      </c>
      <c r="H7" s="311" t="s">
        <v>242</v>
      </c>
      <c r="I7" s="311" t="s">
        <v>235</v>
      </c>
      <c r="J7" s="318">
        <v>41255</v>
      </c>
      <c r="K7" s="312">
        <v>41257</v>
      </c>
      <c r="L7" s="317">
        <v>8</v>
      </c>
      <c r="M7" s="315">
        <v>41265</v>
      </c>
      <c r="N7" s="311" t="s">
        <v>237</v>
      </c>
      <c r="O7" s="311" t="s">
        <v>240</v>
      </c>
      <c r="P7" s="398" t="str">
        <f t="shared" si="0"/>
        <v>Base SINGLE 8 noches</v>
      </c>
      <c r="Q7" s="401" t="str" cm="1">
        <f t="array" ref="Q7">+_xlfn.IFS(O7="Nacional","CLP",O7="Extranjero","USD",O7="","")</f>
        <v>CLP</v>
      </c>
      <c r="R7" s="399">
        <f>IFERROR(IF(O7="Nacional",VLOOKUP(P7,PRICING!$D$4:$E$59,2,FALSE),VLOOKUP(P7,PRICING!$J$4:$K$59,2,FALSE)),"")</f>
        <v>4690000</v>
      </c>
      <c r="S7"/>
      <c r="V7" s="399">
        <f t="shared" si="1"/>
        <v>0</v>
      </c>
      <c r="W7" s="400">
        <f t="shared" si="2"/>
        <v>0</v>
      </c>
      <c r="X7" s="393">
        <f t="shared" si="3"/>
        <v>41150</v>
      </c>
      <c r="Y7" s="393">
        <f t="shared" si="4"/>
        <v>41165</v>
      </c>
      <c r="Z7" s="393">
        <f t="shared" si="5"/>
        <v>41180</v>
      </c>
      <c r="AA7" s="393">
        <f t="shared" si="6"/>
        <v>41195</v>
      </c>
      <c r="AB7" s="393">
        <f t="shared" si="7"/>
        <v>41210</v>
      </c>
      <c r="AC7" s="393">
        <f t="shared" si="8"/>
        <v>41225</v>
      </c>
      <c r="AD7" s="398" t="str">
        <f t="shared" si="9"/>
        <v>LLAMAR</v>
      </c>
      <c r="AE7" s="312"/>
      <c r="AF7" s="396" t="str">
        <f t="shared" si="10"/>
        <v/>
      </c>
      <c r="AH7" s="393">
        <f t="shared" si="11"/>
        <v>41220</v>
      </c>
      <c r="AI7" s="393">
        <f t="shared" si="12"/>
        <v>41235</v>
      </c>
      <c r="AJ7" s="393"/>
      <c r="AK7" s="393">
        <f t="shared" si="13"/>
        <v>41258</v>
      </c>
      <c r="AL7" s="398" t="str">
        <f t="shared" si="14"/>
        <v>LLAMAR</v>
      </c>
      <c r="AN7" s="396" t="str">
        <f t="shared" si="15"/>
        <v/>
      </c>
      <c r="AQ7" s="395"/>
      <c r="AR7" s="395"/>
    </row>
    <row r="8" spans="1:52" x14ac:dyDescent="0.2">
      <c r="A8" s="398" t="str">
        <f>IF(B8="","",CONCATENATE("GBL",B8," - ",Mantenedor!E8))</f>
        <v/>
      </c>
      <c r="J8" s="318"/>
      <c r="K8" s="312"/>
      <c r="M8" s="315"/>
      <c r="P8" s="398" t="str">
        <f t="shared" si="0"/>
        <v/>
      </c>
      <c r="Q8" s="401" t="str" cm="1">
        <f t="array" ref="Q8">+_xlfn.IFS(O8="Nacional","CLP",O8="Extranjero","USD",O8="","")</f>
        <v/>
      </c>
      <c r="R8" s="399" t="str">
        <f>IFERROR(IF(O8="Nacional",VLOOKUP(P8,PRICING!$D$4:$E$59,2,FALSE),VLOOKUP(P8,PRICING!$J$4:$K$59,2,FALSE)),"")</f>
        <v/>
      </c>
      <c r="S8"/>
      <c r="V8" s="399">
        <f t="shared" si="1"/>
        <v>0</v>
      </c>
      <c r="W8" s="400">
        <f t="shared" si="2"/>
        <v>0</v>
      </c>
      <c r="X8" s="393" t="str">
        <f t="shared" si="3"/>
        <v/>
      </c>
      <c r="Y8" s="393" t="str">
        <f t="shared" si="4"/>
        <v/>
      </c>
      <c r="Z8" s="393" t="str">
        <f t="shared" si="5"/>
        <v/>
      </c>
      <c r="AA8" s="393" t="str">
        <f t="shared" si="6"/>
        <v/>
      </c>
      <c r="AB8" s="393" t="str">
        <f t="shared" si="7"/>
        <v/>
      </c>
      <c r="AC8" s="393" t="str">
        <f t="shared" si="8"/>
        <v/>
      </c>
      <c r="AD8" s="398" t="str">
        <f t="shared" si="9"/>
        <v/>
      </c>
      <c r="AE8" s="312"/>
      <c r="AF8" s="396" t="str">
        <f t="shared" si="10"/>
        <v/>
      </c>
      <c r="AH8" s="393" t="str">
        <f t="shared" si="11"/>
        <v/>
      </c>
      <c r="AI8" s="393" t="str">
        <f t="shared" si="12"/>
        <v/>
      </c>
      <c r="AJ8" s="393" t="str">
        <f t="shared" ref="AJ4:AJ67" si="25">+IF($M8="","",$M8-15)</f>
        <v/>
      </c>
      <c r="AK8" s="393" t="str">
        <f t="shared" si="13"/>
        <v/>
      </c>
      <c r="AL8" s="398" t="str">
        <f t="shared" si="14"/>
        <v/>
      </c>
      <c r="AN8" s="396" t="str">
        <f t="shared" si="15"/>
        <v/>
      </c>
      <c r="AQ8" s="395"/>
      <c r="AR8" s="395"/>
    </row>
    <row r="9" spans="1:52" x14ac:dyDescent="0.2">
      <c r="A9" s="398" t="str">
        <f>IF(B9="","",CONCATENATE("GBL",B9," - ",Mantenedor!E9))</f>
        <v/>
      </c>
      <c r="J9" s="318"/>
      <c r="K9" s="312"/>
      <c r="M9" s="315"/>
      <c r="P9" s="398" t="str">
        <f t="shared" si="0"/>
        <v/>
      </c>
      <c r="Q9" s="401" t="str" cm="1">
        <f t="array" ref="Q9">+_xlfn.IFS(O9="Nacional","CLP",O9="Extranjero","USD",O9="","")</f>
        <v/>
      </c>
      <c r="R9" s="399" t="str">
        <f>IFERROR(IF(O9="Nacional",VLOOKUP(P9,PRICING!$D$4:$E$59,2,FALSE),VLOOKUP(P9,PRICING!$J$4:$K$59,2,FALSE)),"")</f>
        <v/>
      </c>
      <c r="S9"/>
      <c r="V9" s="399">
        <f t="shared" si="1"/>
        <v>0</v>
      </c>
      <c r="W9" s="400">
        <f t="shared" si="2"/>
        <v>0</v>
      </c>
      <c r="X9" s="393" t="str">
        <f t="shared" si="3"/>
        <v/>
      </c>
      <c r="Y9" s="393" t="str">
        <f t="shared" si="4"/>
        <v/>
      </c>
      <c r="Z9" s="393" t="str">
        <f t="shared" si="5"/>
        <v/>
      </c>
      <c r="AA9" s="393" t="str">
        <f t="shared" si="6"/>
        <v/>
      </c>
      <c r="AB9" s="393" t="str">
        <f t="shared" si="7"/>
        <v/>
      </c>
      <c r="AC9" s="393" t="str">
        <f t="shared" si="8"/>
        <v/>
      </c>
      <c r="AD9" s="398" t="str">
        <f t="shared" si="9"/>
        <v/>
      </c>
      <c r="AF9" s="396" t="str">
        <f t="shared" si="10"/>
        <v/>
      </c>
      <c r="AH9" s="393" t="str">
        <f t="shared" si="11"/>
        <v/>
      </c>
      <c r="AI9" s="393" t="str">
        <f t="shared" si="12"/>
        <v/>
      </c>
      <c r="AJ9" s="393" t="str">
        <f t="shared" si="25"/>
        <v/>
      </c>
      <c r="AK9" s="393" t="str">
        <f t="shared" si="13"/>
        <v/>
      </c>
      <c r="AL9" s="398" t="str">
        <f t="shared" si="14"/>
        <v/>
      </c>
      <c r="AN9" s="396" t="str">
        <f t="shared" si="15"/>
        <v/>
      </c>
      <c r="AQ9" s="395"/>
      <c r="AR9" s="395"/>
    </row>
    <row r="10" spans="1:52" x14ac:dyDescent="0.2">
      <c r="A10" s="398" t="str">
        <f>IF(B10="","",CONCATENATE("GBL",B10," - ",Mantenedor!E10))</f>
        <v/>
      </c>
      <c r="J10" s="318"/>
      <c r="K10" s="312"/>
      <c r="M10" s="315"/>
      <c r="P10" s="398" t="str">
        <f t="shared" si="0"/>
        <v/>
      </c>
      <c r="Q10" s="401" t="str" cm="1">
        <f t="array" ref="Q10">+_xlfn.IFS(O10="Nacional","CLP",O10="Extranjero","USD",O10="","")</f>
        <v/>
      </c>
      <c r="R10" s="399" t="str">
        <f>IFERROR(IF(O10="Nacional",VLOOKUP(P10,PRICING!$D$4:$E$59,2,FALSE),VLOOKUP(P10,PRICING!$J$4:$K$59,2,FALSE)),"")</f>
        <v/>
      </c>
      <c r="S10"/>
      <c r="V10" s="399">
        <f t="shared" si="1"/>
        <v>0</v>
      </c>
      <c r="W10" s="400">
        <f t="shared" si="2"/>
        <v>0</v>
      </c>
      <c r="X10" s="393" t="str">
        <f t="shared" si="3"/>
        <v/>
      </c>
      <c r="Y10" s="393" t="str">
        <f t="shared" si="4"/>
        <v/>
      </c>
      <c r="Z10" s="393" t="str">
        <f t="shared" si="5"/>
        <v/>
      </c>
      <c r="AA10" s="393" t="str">
        <f t="shared" si="6"/>
        <v/>
      </c>
      <c r="AB10" s="393" t="str">
        <f t="shared" si="7"/>
        <v/>
      </c>
      <c r="AC10" s="393" t="str">
        <f t="shared" si="8"/>
        <v/>
      </c>
      <c r="AD10" s="398" t="str">
        <f t="shared" si="9"/>
        <v/>
      </c>
      <c r="AF10" s="396" t="str">
        <f t="shared" si="10"/>
        <v/>
      </c>
      <c r="AH10" s="393" t="str">
        <f t="shared" si="11"/>
        <v/>
      </c>
      <c r="AI10" s="393" t="str">
        <f t="shared" si="12"/>
        <v/>
      </c>
      <c r="AJ10" s="393" t="str">
        <f t="shared" si="25"/>
        <v/>
      </c>
      <c r="AK10" s="393" t="str">
        <f t="shared" si="13"/>
        <v/>
      </c>
      <c r="AL10" s="398" t="str">
        <f t="shared" si="14"/>
        <v/>
      </c>
      <c r="AN10" s="396" t="str">
        <f t="shared" si="15"/>
        <v/>
      </c>
      <c r="AQ10" s="395"/>
      <c r="AR10" s="395"/>
    </row>
    <row r="11" spans="1:52" x14ac:dyDescent="0.2">
      <c r="A11" s="398" t="str">
        <f>IF(B11="","",CONCATENATE("GBL",B11," - ",Mantenedor!E11))</f>
        <v/>
      </c>
      <c r="J11" s="318"/>
      <c r="K11" s="312"/>
      <c r="M11" s="315"/>
      <c r="P11" s="398" t="str">
        <f t="shared" si="0"/>
        <v/>
      </c>
      <c r="Q11" s="401" t="str" cm="1">
        <f t="array" ref="Q11">+_xlfn.IFS(O11="Nacional","CLP",O11="Extranjero","USD",O11="","")</f>
        <v/>
      </c>
      <c r="R11" s="399" t="str">
        <f>IFERROR(IF(O11="Nacional",VLOOKUP(P11,PRICING!$D$4:$E$59,2,FALSE),VLOOKUP(P11,PRICING!$J$4:$K$59,2,FALSE)),"")</f>
        <v/>
      </c>
      <c r="S11"/>
      <c r="V11" s="399">
        <f t="shared" si="1"/>
        <v>0</v>
      </c>
      <c r="W11" s="400">
        <f t="shared" si="2"/>
        <v>0</v>
      </c>
      <c r="X11" s="393" t="str">
        <f t="shared" si="3"/>
        <v/>
      </c>
      <c r="Y11" s="393" t="str">
        <f t="shared" si="4"/>
        <v/>
      </c>
      <c r="Z11" s="393" t="str">
        <f t="shared" si="5"/>
        <v/>
      </c>
      <c r="AA11" s="393" t="str">
        <f t="shared" si="6"/>
        <v/>
      </c>
      <c r="AB11" s="393" t="str">
        <f t="shared" si="7"/>
        <v/>
      </c>
      <c r="AC11" s="393" t="str">
        <f t="shared" si="8"/>
        <v/>
      </c>
      <c r="AD11" s="398" t="str">
        <f t="shared" si="9"/>
        <v/>
      </c>
      <c r="AF11" s="396" t="str">
        <f t="shared" si="10"/>
        <v/>
      </c>
      <c r="AH11" s="393" t="str">
        <f t="shared" si="11"/>
        <v/>
      </c>
      <c r="AI11" s="393" t="str">
        <f t="shared" si="12"/>
        <v/>
      </c>
      <c r="AJ11" s="393" t="str">
        <f t="shared" si="25"/>
        <v/>
      </c>
      <c r="AK11" s="393" t="str">
        <f t="shared" si="13"/>
        <v/>
      </c>
      <c r="AL11" s="398" t="str">
        <f t="shared" si="14"/>
        <v/>
      </c>
      <c r="AN11" s="396" t="str">
        <f t="shared" si="15"/>
        <v/>
      </c>
      <c r="AQ11" s="395"/>
      <c r="AR11" s="395"/>
    </row>
    <row r="12" spans="1:52" x14ac:dyDescent="0.2">
      <c r="A12" s="398" t="str">
        <f>IF(B12="","",CONCATENATE("GBL",B12," - ",Mantenedor!E12))</f>
        <v/>
      </c>
      <c r="J12" s="318"/>
      <c r="K12" s="312"/>
      <c r="M12" s="315"/>
      <c r="P12" s="398" t="str">
        <f t="shared" si="0"/>
        <v/>
      </c>
      <c r="Q12" s="401" t="str" cm="1">
        <f t="array" ref="Q12">+_xlfn.IFS(O12="Nacional","CLP",O12="Extranjero","USD",O12="","")</f>
        <v/>
      </c>
      <c r="R12" s="399" t="str">
        <f>IFERROR(IF(O12="Nacional",VLOOKUP(P12,PRICING!$D$4:$E$59,2,FALSE),VLOOKUP(P12,PRICING!$J$4:$K$59,2,FALSE)),"")</f>
        <v/>
      </c>
      <c r="S12"/>
      <c r="V12" s="399">
        <f t="shared" si="1"/>
        <v>0</v>
      </c>
      <c r="W12" s="400">
        <f t="shared" si="2"/>
        <v>0</v>
      </c>
      <c r="X12" s="393" t="str">
        <f t="shared" si="3"/>
        <v/>
      </c>
      <c r="Y12" s="393" t="str">
        <f t="shared" si="4"/>
        <v/>
      </c>
      <c r="Z12" s="393" t="str">
        <f t="shared" si="5"/>
        <v/>
      </c>
      <c r="AA12" s="393" t="str">
        <f t="shared" si="6"/>
        <v/>
      </c>
      <c r="AB12" s="393" t="str">
        <f t="shared" si="7"/>
        <v/>
      </c>
      <c r="AC12" s="393" t="str">
        <f t="shared" si="8"/>
        <v/>
      </c>
      <c r="AD12" s="398" t="str">
        <f t="shared" si="9"/>
        <v/>
      </c>
      <c r="AF12" s="396" t="str">
        <f t="shared" si="10"/>
        <v/>
      </c>
      <c r="AH12" s="393" t="str">
        <f t="shared" si="11"/>
        <v/>
      </c>
      <c r="AI12" s="393" t="str">
        <f t="shared" si="12"/>
        <v/>
      </c>
      <c r="AJ12" s="393" t="str">
        <f t="shared" si="25"/>
        <v/>
      </c>
      <c r="AK12" s="393" t="str">
        <f t="shared" si="13"/>
        <v/>
      </c>
      <c r="AL12" s="398" t="str">
        <f t="shared" si="14"/>
        <v/>
      </c>
      <c r="AN12" s="396" t="str">
        <f t="shared" si="15"/>
        <v/>
      </c>
      <c r="AQ12" s="395"/>
      <c r="AR12" s="395"/>
    </row>
    <row r="13" spans="1:52" x14ac:dyDescent="0.2">
      <c r="A13" s="398" t="str">
        <f>IF(B13="","",CONCATENATE("GBL",B13," - ",Mantenedor!E13))</f>
        <v/>
      </c>
      <c r="J13" s="318"/>
      <c r="K13" s="312"/>
      <c r="M13" s="315"/>
      <c r="P13" s="398" t="str">
        <f t="shared" si="0"/>
        <v/>
      </c>
      <c r="Q13" s="401" t="str" cm="1">
        <f t="array" ref="Q13">+_xlfn.IFS(O13="Nacional","CLP",O13="Extranjero","USD",O13="","")</f>
        <v/>
      </c>
      <c r="R13" s="399" t="str">
        <f>IFERROR(IF(O13="Nacional",VLOOKUP(P13,PRICING!$D$4:$E$59,2,FALSE),VLOOKUP(P13,PRICING!$J$4:$K$59,2,FALSE)),"")</f>
        <v/>
      </c>
      <c r="S13"/>
      <c r="V13" s="399">
        <f t="shared" si="1"/>
        <v>0</v>
      </c>
      <c r="W13" s="400">
        <f t="shared" si="2"/>
        <v>0</v>
      </c>
      <c r="X13" s="393" t="str">
        <f t="shared" si="3"/>
        <v/>
      </c>
      <c r="Y13" s="393" t="str">
        <f t="shared" si="4"/>
        <v/>
      </c>
      <c r="Z13" s="393" t="str">
        <f t="shared" si="5"/>
        <v/>
      </c>
      <c r="AA13" s="393" t="str">
        <f t="shared" si="6"/>
        <v/>
      </c>
      <c r="AB13" s="393" t="str">
        <f t="shared" si="7"/>
        <v/>
      </c>
      <c r="AC13" s="393" t="str">
        <f t="shared" si="8"/>
        <v/>
      </c>
      <c r="AD13" s="398" t="str">
        <f t="shared" si="9"/>
        <v/>
      </c>
      <c r="AF13" s="396" t="str">
        <f t="shared" si="10"/>
        <v/>
      </c>
      <c r="AH13" s="393" t="str">
        <f t="shared" si="11"/>
        <v/>
      </c>
      <c r="AI13" s="393" t="str">
        <f t="shared" si="12"/>
        <v/>
      </c>
      <c r="AJ13" s="393" t="str">
        <f t="shared" si="25"/>
        <v/>
      </c>
      <c r="AK13" s="393" t="str">
        <f t="shared" si="13"/>
        <v/>
      </c>
      <c r="AL13" s="398" t="str">
        <f t="shared" si="14"/>
        <v/>
      </c>
      <c r="AN13" s="396" t="str">
        <f t="shared" si="15"/>
        <v/>
      </c>
      <c r="AQ13" s="395"/>
      <c r="AR13" s="395"/>
    </row>
    <row r="14" spans="1:52" x14ac:dyDescent="0.2">
      <c r="A14" s="398" t="str">
        <f>IF(B14="","",CONCATENATE("GBL",B14," - ",Mantenedor!E14))</f>
        <v/>
      </c>
      <c r="J14" s="318"/>
      <c r="K14" s="312"/>
      <c r="M14" s="315"/>
      <c r="P14" s="398" t="str">
        <f t="shared" si="0"/>
        <v/>
      </c>
      <c r="Q14" s="401" t="str" cm="1">
        <f t="array" ref="Q14">+_xlfn.IFS(O14="Nacional","CLP",O14="Extranjero","USD",O14="","")</f>
        <v/>
      </c>
      <c r="R14" s="399" t="str">
        <f>IFERROR(IF(O14="Nacional",VLOOKUP(P14,PRICING!$D$4:$E$59,2,FALSE),VLOOKUP(P14,PRICING!$J$4:$K$59,2,FALSE)),"")</f>
        <v/>
      </c>
      <c r="S14"/>
      <c r="V14" s="399">
        <f t="shared" si="1"/>
        <v>0</v>
      </c>
      <c r="W14" s="400">
        <f t="shared" si="2"/>
        <v>0</v>
      </c>
      <c r="X14" s="393" t="str">
        <f t="shared" si="3"/>
        <v/>
      </c>
      <c r="Y14" s="393" t="str">
        <f t="shared" si="4"/>
        <v/>
      </c>
      <c r="Z14" s="393" t="str">
        <f t="shared" si="5"/>
        <v/>
      </c>
      <c r="AA14" s="393" t="str">
        <f t="shared" si="6"/>
        <v/>
      </c>
      <c r="AB14" s="393" t="str">
        <f t="shared" si="7"/>
        <v/>
      </c>
      <c r="AC14" s="393" t="str">
        <f t="shared" si="8"/>
        <v/>
      </c>
      <c r="AD14" s="398" t="str">
        <f t="shared" si="9"/>
        <v/>
      </c>
      <c r="AF14" s="396" t="str">
        <f t="shared" si="10"/>
        <v/>
      </c>
      <c r="AH14" s="393" t="str">
        <f t="shared" si="11"/>
        <v/>
      </c>
      <c r="AI14" s="393" t="str">
        <f t="shared" si="12"/>
        <v/>
      </c>
      <c r="AJ14" s="393" t="str">
        <f t="shared" si="25"/>
        <v/>
      </c>
      <c r="AK14" s="393" t="str">
        <f t="shared" si="13"/>
        <v/>
      </c>
      <c r="AL14" s="398" t="str">
        <f t="shared" si="14"/>
        <v/>
      </c>
      <c r="AN14" s="396" t="str">
        <f t="shared" si="15"/>
        <v/>
      </c>
      <c r="AQ14" s="395"/>
      <c r="AR14" s="395"/>
    </row>
    <row r="15" spans="1:52" x14ac:dyDescent="0.2">
      <c r="A15" s="398" t="str">
        <f>IF(B15="","",CONCATENATE("GBL",B15," - ",Mantenedor!E15))</f>
        <v/>
      </c>
      <c r="J15" s="318"/>
      <c r="K15" s="312"/>
      <c r="M15" s="315"/>
      <c r="P15" s="398" t="str">
        <f t="shared" si="0"/>
        <v/>
      </c>
      <c r="Q15" s="401" t="str" cm="1">
        <f t="array" ref="Q15">+_xlfn.IFS(O15="Nacional","CLP",O15="Extranjero","USD",O15="","")</f>
        <v/>
      </c>
      <c r="R15" s="399" t="str">
        <f>IFERROR(IF(O15="Nacional",VLOOKUP(P15,PRICING!$D$4:$E$59,2,FALSE),VLOOKUP(P15,PRICING!$J$4:$K$59,2,FALSE)),"")</f>
        <v/>
      </c>
      <c r="S15"/>
      <c r="V15" s="399">
        <f t="shared" si="1"/>
        <v>0</v>
      </c>
      <c r="W15" s="400">
        <f t="shared" si="2"/>
        <v>0</v>
      </c>
      <c r="X15" s="393" t="str">
        <f t="shared" si="3"/>
        <v/>
      </c>
      <c r="Y15" s="393" t="str">
        <f t="shared" si="4"/>
        <v/>
      </c>
      <c r="Z15" s="393" t="str">
        <f t="shared" si="5"/>
        <v/>
      </c>
      <c r="AA15" s="393" t="str">
        <f t="shared" si="6"/>
        <v/>
      </c>
      <c r="AB15" s="393" t="str">
        <f t="shared" si="7"/>
        <v/>
      </c>
      <c r="AC15" s="393" t="str">
        <f t="shared" si="8"/>
        <v/>
      </c>
      <c r="AD15" s="398" t="str">
        <f t="shared" si="9"/>
        <v/>
      </c>
      <c r="AF15" s="396" t="str">
        <f t="shared" si="10"/>
        <v/>
      </c>
      <c r="AH15" s="393" t="str">
        <f t="shared" si="11"/>
        <v/>
      </c>
      <c r="AI15" s="393" t="str">
        <f t="shared" si="12"/>
        <v/>
      </c>
      <c r="AJ15" s="393" t="str">
        <f t="shared" si="25"/>
        <v/>
      </c>
      <c r="AK15" s="393" t="str">
        <f t="shared" si="13"/>
        <v/>
      </c>
      <c r="AL15" s="398" t="str">
        <f t="shared" si="14"/>
        <v/>
      </c>
      <c r="AN15" s="396" t="str">
        <f t="shared" si="15"/>
        <v/>
      </c>
      <c r="AQ15" s="395"/>
      <c r="AR15" s="395"/>
    </row>
    <row r="16" spans="1:52" x14ac:dyDescent="0.2">
      <c r="A16" s="398" t="str">
        <f>IF(B16="","",CONCATENATE("GBL",B16," - ",Mantenedor!E16))</f>
        <v/>
      </c>
      <c r="J16" s="318"/>
      <c r="K16" s="312"/>
      <c r="M16" s="315"/>
      <c r="P16" s="398" t="str">
        <f t="shared" si="0"/>
        <v/>
      </c>
      <c r="Q16" s="401" t="str" cm="1">
        <f t="array" ref="Q16">+_xlfn.IFS(O16="Nacional","CLP",O16="Extranjero","USD",O16="","")</f>
        <v/>
      </c>
      <c r="R16" s="399" t="str">
        <f>IFERROR(IF(O16="Nacional",VLOOKUP(P16,PRICING!$D$4:$E$59,2,FALSE),VLOOKUP(P16,PRICING!$J$4:$K$59,2,FALSE)),"")</f>
        <v/>
      </c>
      <c r="S16"/>
      <c r="V16" s="399">
        <f t="shared" si="1"/>
        <v>0</v>
      </c>
      <c r="W16" s="400">
        <f t="shared" si="2"/>
        <v>0</v>
      </c>
      <c r="X16" s="393" t="str">
        <f t="shared" si="3"/>
        <v/>
      </c>
      <c r="Y16" s="393" t="str">
        <f t="shared" si="4"/>
        <v/>
      </c>
      <c r="Z16" s="393" t="str">
        <f t="shared" si="5"/>
        <v/>
      </c>
      <c r="AA16" s="393" t="str">
        <f t="shared" si="6"/>
        <v/>
      </c>
      <c r="AB16" s="393" t="str">
        <f t="shared" si="7"/>
        <v/>
      </c>
      <c r="AC16" s="393" t="str">
        <f t="shared" si="8"/>
        <v/>
      </c>
      <c r="AD16" s="398" t="str">
        <f t="shared" si="9"/>
        <v/>
      </c>
      <c r="AF16" s="396" t="str">
        <f t="shared" si="10"/>
        <v/>
      </c>
      <c r="AH16" s="393" t="str">
        <f t="shared" si="11"/>
        <v/>
      </c>
      <c r="AI16" s="393" t="str">
        <f t="shared" si="12"/>
        <v/>
      </c>
      <c r="AJ16" s="393" t="str">
        <f t="shared" si="25"/>
        <v/>
      </c>
      <c r="AK16" s="393" t="str">
        <f t="shared" si="13"/>
        <v/>
      </c>
      <c r="AL16" s="398" t="str">
        <f t="shared" si="14"/>
        <v/>
      </c>
      <c r="AN16" s="396" t="str">
        <f t="shared" si="15"/>
        <v/>
      </c>
      <c r="AQ16" s="395"/>
      <c r="AR16" s="395"/>
    </row>
    <row r="17" spans="1:44" x14ac:dyDescent="0.2">
      <c r="A17" s="398" t="str">
        <f>IF(B17="","",CONCATENATE("GBL",B17," - ",Mantenedor!E17))</f>
        <v/>
      </c>
      <c r="J17" s="318"/>
      <c r="K17" s="312"/>
      <c r="M17" s="315"/>
      <c r="P17" s="398" t="str">
        <f t="shared" si="0"/>
        <v/>
      </c>
      <c r="Q17" s="401" t="str" cm="1">
        <f t="array" ref="Q17">+_xlfn.IFS(O17="Nacional","CLP",O17="Extranjero","USD",O17="","")</f>
        <v/>
      </c>
      <c r="R17" s="399" t="str">
        <f>IFERROR(IF(O17="Nacional",VLOOKUP(P17,PRICING!$D$4:$E$59,2,FALSE),VLOOKUP(P17,PRICING!$J$4:$K$59,2,FALSE)),"")</f>
        <v/>
      </c>
      <c r="S17"/>
      <c r="V17" s="399">
        <f t="shared" si="1"/>
        <v>0</v>
      </c>
      <c r="W17" s="400">
        <f t="shared" si="2"/>
        <v>0</v>
      </c>
      <c r="X17" s="393" t="str">
        <f t="shared" si="3"/>
        <v/>
      </c>
      <c r="Y17" s="393" t="str">
        <f t="shared" si="4"/>
        <v/>
      </c>
      <c r="Z17" s="393" t="str">
        <f t="shared" si="5"/>
        <v/>
      </c>
      <c r="AA17" s="393" t="str">
        <f t="shared" si="6"/>
        <v/>
      </c>
      <c r="AB17" s="393" t="str">
        <f t="shared" si="7"/>
        <v/>
      </c>
      <c r="AC17" s="393" t="str">
        <f t="shared" si="8"/>
        <v/>
      </c>
      <c r="AD17" s="398" t="str">
        <f t="shared" si="9"/>
        <v/>
      </c>
      <c r="AE17" s="312"/>
      <c r="AF17" s="396" t="str">
        <f t="shared" si="10"/>
        <v/>
      </c>
      <c r="AH17" s="393" t="str">
        <f t="shared" si="11"/>
        <v/>
      </c>
      <c r="AI17" s="393" t="str">
        <f t="shared" si="12"/>
        <v/>
      </c>
      <c r="AJ17" s="393" t="str">
        <f t="shared" si="25"/>
        <v/>
      </c>
      <c r="AK17" s="393" t="str">
        <f t="shared" si="13"/>
        <v/>
      </c>
      <c r="AL17" s="398" t="str">
        <f t="shared" si="14"/>
        <v/>
      </c>
      <c r="AN17" s="396" t="str">
        <f t="shared" si="15"/>
        <v/>
      </c>
      <c r="AQ17" s="395"/>
      <c r="AR17" s="395"/>
    </row>
    <row r="18" spans="1:44" x14ac:dyDescent="0.2">
      <c r="A18" s="398" t="str">
        <f>IF(B18="","",CONCATENATE("GBL",B18," - ",Mantenedor!E18))</f>
        <v/>
      </c>
      <c r="J18" s="318"/>
      <c r="K18" s="312"/>
      <c r="M18" s="315"/>
      <c r="P18" s="398" t="str">
        <f t="shared" si="0"/>
        <v/>
      </c>
      <c r="Q18" s="401" t="str" cm="1">
        <f t="array" ref="Q18">+_xlfn.IFS(O18="Nacional","CLP",O18="Extranjero","USD",O18="","")</f>
        <v/>
      </c>
      <c r="R18" s="399" t="str">
        <f>IFERROR(IF(O18="Nacional",VLOOKUP(P18,PRICING!$D$4:$E$59,2,FALSE),VLOOKUP(P18,PRICING!$J$4:$K$59,2,FALSE)),"")</f>
        <v/>
      </c>
      <c r="S18"/>
      <c r="V18" s="399">
        <f t="shared" si="1"/>
        <v>0</v>
      </c>
      <c r="W18" s="400">
        <f t="shared" si="2"/>
        <v>0</v>
      </c>
      <c r="X18" s="393" t="str">
        <f t="shared" si="3"/>
        <v/>
      </c>
      <c r="Y18" s="393" t="str">
        <f t="shared" si="4"/>
        <v/>
      </c>
      <c r="Z18" s="393" t="str">
        <f t="shared" si="5"/>
        <v/>
      </c>
      <c r="AA18" s="393" t="str">
        <f t="shared" si="6"/>
        <v/>
      </c>
      <c r="AB18" s="393" t="str">
        <f t="shared" si="7"/>
        <v/>
      </c>
      <c r="AC18" s="393" t="str">
        <f t="shared" si="8"/>
        <v/>
      </c>
      <c r="AD18" s="398" t="str">
        <f t="shared" si="9"/>
        <v/>
      </c>
      <c r="AE18" s="312"/>
      <c r="AF18" s="396" t="str">
        <f t="shared" si="10"/>
        <v/>
      </c>
      <c r="AH18" s="393" t="str">
        <f t="shared" si="11"/>
        <v/>
      </c>
      <c r="AI18" s="393" t="str">
        <f t="shared" si="12"/>
        <v/>
      </c>
      <c r="AJ18" s="393" t="str">
        <f t="shared" si="25"/>
        <v/>
      </c>
      <c r="AK18" s="393" t="str">
        <f t="shared" si="13"/>
        <v/>
      </c>
      <c r="AL18" s="398" t="str">
        <f t="shared" si="14"/>
        <v/>
      </c>
      <c r="AN18" s="396" t="str">
        <f t="shared" si="15"/>
        <v/>
      </c>
      <c r="AQ18" s="395"/>
      <c r="AR18" s="395"/>
    </row>
    <row r="19" spans="1:44" x14ac:dyDescent="0.2">
      <c r="A19" s="398" t="str">
        <f>IF(B19="","",CONCATENATE("GBL",B19," - ",Mantenedor!E19))</f>
        <v/>
      </c>
      <c r="J19" s="318"/>
      <c r="K19" s="312"/>
      <c r="M19" s="315"/>
      <c r="P19" s="398" t="str">
        <f t="shared" si="0"/>
        <v/>
      </c>
      <c r="Q19" s="401" t="str" cm="1">
        <f t="array" ref="Q19">+_xlfn.IFS(O19="Nacional","CLP",O19="Extranjero","USD",O19="","")</f>
        <v/>
      </c>
      <c r="R19" s="399" t="str">
        <f>IFERROR(IF(O19="Nacional",VLOOKUP(P19,PRICING!$D$4:$E$59,2,FALSE),VLOOKUP(P19,PRICING!$J$4:$K$59,2,FALSE)),"")</f>
        <v/>
      </c>
      <c r="S19"/>
      <c r="V19" s="399">
        <f t="shared" si="1"/>
        <v>0</v>
      </c>
      <c r="W19" s="400">
        <f t="shared" si="2"/>
        <v>0</v>
      </c>
      <c r="X19" s="393" t="str">
        <f t="shared" si="3"/>
        <v/>
      </c>
      <c r="Y19" s="393" t="str">
        <f t="shared" si="4"/>
        <v/>
      </c>
      <c r="Z19" s="393" t="str">
        <f t="shared" si="5"/>
        <v/>
      </c>
      <c r="AA19" s="393" t="str">
        <f t="shared" si="6"/>
        <v/>
      </c>
      <c r="AB19" s="393" t="str">
        <f t="shared" si="7"/>
        <v/>
      </c>
      <c r="AC19" s="393" t="str">
        <f t="shared" si="8"/>
        <v/>
      </c>
      <c r="AD19" s="398" t="str">
        <f t="shared" si="9"/>
        <v/>
      </c>
      <c r="AE19" s="312"/>
      <c r="AF19" s="396" t="str">
        <f t="shared" si="10"/>
        <v/>
      </c>
      <c r="AH19" s="393" t="str">
        <f t="shared" si="11"/>
        <v/>
      </c>
      <c r="AI19" s="393" t="str">
        <f t="shared" si="12"/>
        <v/>
      </c>
      <c r="AJ19" s="393" t="str">
        <f t="shared" si="25"/>
        <v/>
      </c>
      <c r="AK19" s="393" t="str">
        <f t="shared" si="13"/>
        <v/>
      </c>
      <c r="AL19" s="398" t="str">
        <f t="shared" si="14"/>
        <v/>
      </c>
      <c r="AN19" s="396" t="str">
        <f t="shared" si="15"/>
        <v/>
      </c>
      <c r="AQ19" s="395"/>
      <c r="AR19" s="395"/>
    </row>
    <row r="20" spans="1:44" x14ac:dyDescent="0.2">
      <c r="A20" s="398" t="str">
        <f>IF(B20="","",CONCATENATE("GBL",B20," - ",Mantenedor!E20))</f>
        <v/>
      </c>
      <c r="J20" s="318"/>
      <c r="K20" s="312"/>
      <c r="M20" s="315"/>
      <c r="P20" s="398" t="str">
        <f t="shared" si="0"/>
        <v/>
      </c>
      <c r="Q20" s="401" t="str" cm="1">
        <f t="array" ref="Q20">+_xlfn.IFS(O20="Nacional","CLP",O20="Extranjero","USD",O20="","")</f>
        <v/>
      </c>
      <c r="R20" s="399" t="str">
        <f>IFERROR(IF(O20="Nacional",VLOOKUP(P20,PRICING!$D$4:$E$59,2,FALSE),VLOOKUP(P20,PRICING!$J$4:$K$59,2,FALSE)),"")</f>
        <v/>
      </c>
      <c r="S20"/>
      <c r="V20" s="399">
        <f t="shared" si="1"/>
        <v>0</v>
      </c>
      <c r="W20" s="400">
        <f t="shared" si="2"/>
        <v>0</v>
      </c>
      <c r="X20" s="393" t="str">
        <f t="shared" si="3"/>
        <v/>
      </c>
      <c r="Y20" s="393" t="str">
        <f t="shared" si="4"/>
        <v/>
      </c>
      <c r="Z20" s="393" t="str">
        <f t="shared" si="5"/>
        <v/>
      </c>
      <c r="AA20" s="393" t="str">
        <f t="shared" si="6"/>
        <v/>
      </c>
      <c r="AB20" s="393" t="str">
        <f t="shared" si="7"/>
        <v/>
      </c>
      <c r="AC20" s="393" t="str">
        <f t="shared" si="8"/>
        <v/>
      </c>
      <c r="AD20" s="398" t="str">
        <f t="shared" si="9"/>
        <v/>
      </c>
      <c r="AE20" s="312"/>
      <c r="AF20" s="396" t="str">
        <f t="shared" si="10"/>
        <v/>
      </c>
      <c r="AH20" s="393" t="str">
        <f t="shared" si="11"/>
        <v/>
      </c>
      <c r="AI20" s="393" t="str">
        <f t="shared" si="12"/>
        <v/>
      </c>
      <c r="AJ20" s="393" t="str">
        <f t="shared" si="25"/>
        <v/>
      </c>
      <c r="AK20" s="393" t="str">
        <f t="shared" si="13"/>
        <v/>
      </c>
      <c r="AL20" s="398" t="str">
        <f t="shared" si="14"/>
        <v/>
      </c>
      <c r="AN20" s="396" t="str">
        <f t="shared" si="15"/>
        <v/>
      </c>
      <c r="AQ20" s="395"/>
      <c r="AR20" s="395"/>
    </row>
    <row r="21" spans="1:44" x14ac:dyDescent="0.2">
      <c r="A21" s="398" t="str">
        <f>IF(B21="","",CONCATENATE("GBL",B21," - ",Mantenedor!E21))</f>
        <v/>
      </c>
      <c r="J21" s="318"/>
      <c r="K21" s="312"/>
      <c r="M21" s="315"/>
      <c r="P21" s="398" t="str">
        <f t="shared" si="0"/>
        <v/>
      </c>
      <c r="Q21" s="401" t="str" cm="1">
        <f t="array" ref="Q21">+_xlfn.IFS(O21="Nacional","CLP",O21="Extranjero","USD",O21="","")</f>
        <v/>
      </c>
      <c r="R21" s="399" t="str">
        <f>IFERROR(IF(O21="Nacional",VLOOKUP(P21,PRICING!$D$4:$E$59,2,FALSE),VLOOKUP(P21,PRICING!$J$4:$K$59,2,FALSE)),"")</f>
        <v/>
      </c>
      <c r="S21"/>
      <c r="V21" s="399">
        <f t="shared" si="1"/>
        <v>0</v>
      </c>
      <c r="W21" s="400">
        <f t="shared" si="2"/>
        <v>0</v>
      </c>
      <c r="X21" s="393" t="str">
        <f t="shared" si="3"/>
        <v/>
      </c>
      <c r="Y21" s="393" t="str">
        <f t="shared" si="4"/>
        <v/>
      </c>
      <c r="Z21" s="393" t="str">
        <f t="shared" si="5"/>
        <v/>
      </c>
      <c r="AA21" s="393" t="str">
        <f t="shared" si="6"/>
        <v/>
      </c>
      <c r="AB21" s="393" t="str">
        <f t="shared" si="7"/>
        <v/>
      </c>
      <c r="AC21" s="393" t="str">
        <f t="shared" si="8"/>
        <v/>
      </c>
      <c r="AD21" s="398" t="str">
        <f t="shared" si="9"/>
        <v/>
      </c>
      <c r="AF21" s="396" t="str">
        <f t="shared" si="10"/>
        <v/>
      </c>
      <c r="AH21" s="393" t="str">
        <f t="shared" si="11"/>
        <v/>
      </c>
      <c r="AI21" s="393" t="str">
        <f t="shared" si="12"/>
        <v/>
      </c>
      <c r="AJ21" s="393" t="str">
        <f t="shared" si="25"/>
        <v/>
      </c>
      <c r="AK21" s="393" t="str">
        <f t="shared" si="13"/>
        <v/>
      </c>
      <c r="AL21" s="398" t="str">
        <f t="shared" si="14"/>
        <v/>
      </c>
      <c r="AN21" s="396" t="str">
        <f t="shared" si="15"/>
        <v/>
      </c>
      <c r="AQ21" s="395"/>
      <c r="AR21" s="395"/>
    </row>
    <row r="22" spans="1:44" x14ac:dyDescent="0.2">
      <c r="A22" s="398" t="str">
        <f>IF(B22="","",CONCATENATE("GBL",B22," - ",Mantenedor!E22))</f>
        <v/>
      </c>
      <c r="J22" s="318"/>
      <c r="K22" s="312"/>
      <c r="M22" s="315"/>
      <c r="P22" s="398" t="str">
        <f t="shared" si="0"/>
        <v/>
      </c>
      <c r="Q22" s="401" t="str" cm="1">
        <f t="array" ref="Q22">+_xlfn.IFS(O22="Nacional","CLP",O22="Extranjero","USD",O22="","")</f>
        <v/>
      </c>
      <c r="R22" s="399" t="str">
        <f>IFERROR(IF(O22="Nacional",VLOOKUP(P22,PRICING!$D$4:$E$59,2,FALSE),VLOOKUP(P22,PRICING!$J$4:$K$59,2,FALSE)),"")</f>
        <v/>
      </c>
      <c r="S22"/>
      <c r="V22" s="399">
        <f t="shared" si="1"/>
        <v>0</v>
      </c>
      <c r="W22" s="400">
        <f t="shared" si="2"/>
        <v>0</v>
      </c>
      <c r="X22" s="393" t="str">
        <f t="shared" si="3"/>
        <v/>
      </c>
      <c r="Y22" s="393" t="str">
        <f t="shared" si="4"/>
        <v/>
      </c>
      <c r="Z22" s="393" t="str">
        <f t="shared" si="5"/>
        <v/>
      </c>
      <c r="AA22" s="393" t="str">
        <f t="shared" si="6"/>
        <v/>
      </c>
      <c r="AB22" s="393" t="str">
        <f t="shared" si="7"/>
        <v/>
      </c>
      <c r="AC22" s="393" t="str">
        <f t="shared" si="8"/>
        <v/>
      </c>
      <c r="AD22" s="398" t="str">
        <f t="shared" si="9"/>
        <v/>
      </c>
      <c r="AF22" s="396" t="str">
        <f t="shared" si="10"/>
        <v/>
      </c>
      <c r="AH22" s="393" t="str">
        <f t="shared" si="11"/>
        <v/>
      </c>
      <c r="AI22" s="393" t="str">
        <f t="shared" si="12"/>
        <v/>
      </c>
      <c r="AJ22" s="393" t="str">
        <f t="shared" si="25"/>
        <v/>
      </c>
      <c r="AK22" s="393" t="str">
        <f t="shared" si="13"/>
        <v/>
      </c>
      <c r="AL22" s="398" t="str">
        <f t="shared" si="14"/>
        <v/>
      </c>
      <c r="AN22" s="396" t="str">
        <f t="shared" si="15"/>
        <v/>
      </c>
      <c r="AQ22" s="395"/>
      <c r="AR22" s="395"/>
    </row>
    <row r="23" spans="1:44" x14ac:dyDescent="0.2">
      <c r="A23" s="398" t="str">
        <f>IF(B23="","",CONCATENATE("GBL",B23," - ",Mantenedor!E23))</f>
        <v/>
      </c>
      <c r="J23" s="318"/>
      <c r="K23" s="312"/>
      <c r="M23" s="315"/>
      <c r="P23" s="398" t="str">
        <f t="shared" si="0"/>
        <v/>
      </c>
      <c r="Q23" s="401" t="str" cm="1">
        <f t="array" ref="Q23">+_xlfn.IFS(O23="Nacional","CLP",O23="Extranjero","USD",O23="","")</f>
        <v/>
      </c>
      <c r="R23" s="399" t="str">
        <f>IFERROR(IF(O23="Nacional",VLOOKUP(P23,PRICING!$D$4:$E$59,2,FALSE),VLOOKUP(P23,PRICING!$J$4:$K$59,2,FALSE)),"")</f>
        <v/>
      </c>
      <c r="S23"/>
      <c r="V23" s="399">
        <f t="shared" si="1"/>
        <v>0</v>
      </c>
      <c r="W23" s="400">
        <f t="shared" si="2"/>
        <v>0</v>
      </c>
      <c r="X23" s="393" t="str">
        <f t="shared" si="3"/>
        <v/>
      </c>
      <c r="Y23" s="393" t="str">
        <f t="shared" si="4"/>
        <v/>
      </c>
      <c r="Z23" s="393" t="str">
        <f t="shared" si="5"/>
        <v/>
      </c>
      <c r="AA23" s="393" t="str">
        <f t="shared" si="6"/>
        <v/>
      </c>
      <c r="AB23" s="393" t="str">
        <f t="shared" si="7"/>
        <v/>
      </c>
      <c r="AC23" s="393" t="str">
        <f t="shared" si="8"/>
        <v/>
      </c>
      <c r="AD23" s="398" t="str">
        <f t="shared" si="9"/>
        <v/>
      </c>
      <c r="AF23" s="396" t="str">
        <f t="shared" si="10"/>
        <v/>
      </c>
      <c r="AH23" s="393" t="str">
        <f t="shared" si="11"/>
        <v/>
      </c>
      <c r="AI23" s="393" t="str">
        <f t="shared" si="12"/>
        <v/>
      </c>
      <c r="AJ23" s="393" t="str">
        <f t="shared" si="25"/>
        <v/>
      </c>
      <c r="AK23" s="393" t="str">
        <f t="shared" si="13"/>
        <v/>
      </c>
      <c r="AL23" s="398" t="str">
        <f t="shared" si="14"/>
        <v/>
      </c>
      <c r="AN23" s="396" t="str">
        <f t="shared" si="15"/>
        <v/>
      </c>
      <c r="AQ23" s="395"/>
      <c r="AR23" s="395"/>
    </row>
    <row r="24" spans="1:44" x14ac:dyDescent="0.2">
      <c r="A24" s="398" t="str">
        <f>IF(B24="","",CONCATENATE("GBL",B24," - ",Mantenedor!E24))</f>
        <v/>
      </c>
      <c r="J24" s="318"/>
      <c r="K24" s="312"/>
      <c r="M24" s="315"/>
      <c r="P24" s="398" t="str">
        <f t="shared" si="0"/>
        <v/>
      </c>
      <c r="Q24" s="401" t="str" cm="1">
        <f t="array" ref="Q24">+_xlfn.IFS(O24="Nacional","CLP",O24="Extranjero","USD",O24="","")</f>
        <v/>
      </c>
      <c r="R24" s="399" t="str">
        <f>IFERROR(IF(O24="Nacional",VLOOKUP(P24,PRICING!$D$4:$E$59,2,FALSE),VLOOKUP(P24,PRICING!$J$4:$K$59,2,FALSE)),"")</f>
        <v/>
      </c>
      <c r="S24"/>
      <c r="V24" s="399">
        <f t="shared" si="1"/>
        <v>0</v>
      </c>
      <c r="W24" s="400">
        <f t="shared" si="2"/>
        <v>0</v>
      </c>
      <c r="X24" s="393" t="str">
        <f t="shared" si="3"/>
        <v/>
      </c>
      <c r="Y24" s="393" t="str">
        <f t="shared" si="4"/>
        <v/>
      </c>
      <c r="Z24" s="393" t="str">
        <f t="shared" si="5"/>
        <v/>
      </c>
      <c r="AA24" s="393" t="str">
        <f t="shared" si="6"/>
        <v/>
      </c>
      <c r="AB24" s="393" t="str">
        <f t="shared" si="7"/>
        <v/>
      </c>
      <c r="AC24" s="393" t="str">
        <f t="shared" si="8"/>
        <v/>
      </c>
      <c r="AD24" s="398" t="str">
        <f t="shared" si="9"/>
        <v/>
      </c>
      <c r="AF24" s="396" t="str">
        <f t="shared" si="10"/>
        <v/>
      </c>
      <c r="AH24" s="393" t="str">
        <f t="shared" si="11"/>
        <v/>
      </c>
      <c r="AI24" s="393" t="str">
        <f t="shared" si="12"/>
        <v/>
      </c>
      <c r="AJ24" s="393" t="str">
        <f t="shared" si="25"/>
        <v/>
      </c>
      <c r="AK24" s="393" t="str">
        <f t="shared" si="13"/>
        <v/>
      </c>
      <c r="AL24" s="398" t="str">
        <f t="shared" si="14"/>
        <v/>
      </c>
      <c r="AN24" s="396" t="str">
        <f t="shared" si="15"/>
        <v/>
      </c>
      <c r="AQ24" s="395"/>
      <c r="AR24" s="395"/>
    </row>
    <row r="25" spans="1:44" x14ac:dyDescent="0.2">
      <c r="A25" s="398" t="str">
        <f>IF(B25="","",CONCATENATE("GBL",B25," - ",Mantenedor!E25))</f>
        <v/>
      </c>
      <c r="J25" s="318"/>
      <c r="K25" s="312"/>
      <c r="M25" s="315"/>
      <c r="P25" s="398" t="str">
        <f t="shared" si="0"/>
        <v/>
      </c>
      <c r="Q25" s="401" t="str" cm="1">
        <f t="array" ref="Q25">+_xlfn.IFS(O25="Nacional","CLP",O25="Extranjero","USD",O25="","")</f>
        <v/>
      </c>
      <c r="R25" s="399" t="str">
        <f>IFERROR(IF(O25="Nacional",VLOOKUP(P25,PRICING!$D$4:$E$59,2,FALSE),VLOOKUP(P25,PRICING!$J$4:$K$59,2,FALSE)),"")</f>
        <v/>
      </c>
      <c r="S25"/>
      <c r="V25" s="399">
        <f t="shared" si="1"/>
        <v>0</v>
      </c>
      <c r="W25" s="400">
        <f t="shared" si="2"/>
        <v>0</v>
      </c>
      <c r="X25" s="393" t="str">
        <f t="shared" si="3"/>
        <v/>
      </c>
      <c r="Y25" s="393" t="str">
        <f t="shared" si="4"/>
        <v/>
      </c>
      <c r="Z25" s="393" t="str">
        <f t="shared" si="5"/>
        <v/>
      </c>
      <c r="AA25" s="393" t="str">
        <f t="shared" si="6"/>
        <v/>
      </c>
      <c r="AB25" s="393" t="str">
        <f t="shared" si="7"/>
        <v/>
      </c>
      <c r="AC25" s="393" t="str">
        <f t="shared" si="8"/>
        <v/>
      </c>
      <c r="AD25" s="398" t="str">
        <f t="shared" si="9"/>
        <v/>
      </c>
      <c r="AF25" s="396" t="str">
        <f t="shared" si="10"/>
        <v/>
      </c>
      <c r="AH25" s="393" t="str">
        <f t="shared" si="11"/>
        <v/>
      </c>
      <c r="AI25" s="393" t="str">
        <f t="shared" si="12"/>
        <v/>
      </c>
      <c r="AJ25" s="393" t="str">
        <f t="shared" si="25"/>
        <v/>
      </c>
      <c r="AK25" s="393" t="str">
        <f t="shared" si="13"/>
        <v/>
      </c>
      <c r="AL25" s="398" t="str">
        <f t="shared" si="14"/>
        <v/>
      </c>
      <c r="AN25" s="396" t="str">
        <f t="shared" si="15"/>
        <v/>
      </c>
      <c r="AQ25" s="395"/>
      <c r="AR25" s="395"/>
    </row>
    <row r="26" spans="1:44" x14ac:dyDescent="0.2">
      <c r="A26" s="398" t="str">
        <f>IF(B26="","",CONCATENATE("GBL",B26," - ",Mantenedor!E26))</f>
        <v/>
      </c>
      <c r="J26" s="318"/>
      <c r="K26" s="312"/>
      <c r="M26" s="315"/>
      <c r="P26" s="398" t="str">
        <f t="shared" si="0"/>
        <v/>
      </c>
      <c r="Q26" s="401" t="str" cm="1">
        <f t="array" ref="Q26">+_xlfn.IFS(O26="Nacional","CLP",O26="Extranjero","USD",O26="","")</f>
        <v/>
      </c>
      <c r="R26" s="399" t="str">
        <f>IFERROR(IF(O26="Nacional",VLOOKUP(P26,PRICING!$D$4:$E$59,2,FALSE),VLOOKUP(P26,PRICING!$J$4:$K$59,2,FALSE)),"")</f>
        <v/>
      </c>
      <c r="S26"/>
      <c r="V26" s="399">
        <f t="shared" si="1"/>
        <v>0</v>
      </c>
      <c r="W26" s="400">
        <f t="shared" si="2"/>
        <v>0</v>
      </c>
      <c r="X26" s="393" t="str">
        <f t="shared" si="3"/>
        <v/>
      </c>
      <c r="Y26" s="393" t="str">
        <f t="shared" si="4"/>
        <v/>
      </c>
      <c r="Z26" s="393" t="str">
        <f t="shared" si="5"/>
        <v/>
      </c>
      <c r="AA26" s="393" t="str">
        <f t="shared" si="6"/>
        <v/>
      </c>
      <c r="AB26" s="393" t="str">
        <f t="shared" si="7"/>
        <v/>
      </c>
      <c r="AC26" s="393" t="str">
        <f t="shared" si="8"/>
        <v/>
      </c>
      <c r="AD26" s="398" t="str">
        <f t="shared" si="9"/>
        <v/>
      </c>
      <c r="AF26" s="396" t="str">
        <f t="shared" si="10"/>
        <v/>
      </c>
      <c r="AH26" s="393" t="str">
        <f t="shared" si="11"/>
        <v/>
      </c>
      <c r="AI26" s="393" t="str">
        <f t="shared" si="12"/>
        <v/>
      </c>
      <c r="AJ26" s="393" t="str">
        <f t="shared" si="25"/>
        <v/>
      </c>
      <c r="AK26" s="393" t="str">
        <f t="shared" si="13"/>
        <v/>
      </c>
      <c r="AL26" s="398" t="str">
        <f t="shared" si="14"/>
        <v/>
      </c>
      <c r="AN26" s="396" t="str">
        <f t="shared" si="15"/>
        <v/>
      </c>
      <c r="AQ26" s="395"/>
      <c r="AR26" s="395"/>
    </row>
    <row r="27" spans="1:44" x14ac:dyDescent="0.2">
      <c r="A27" s="398" t="str">
        <f>IF(B27="","",CONCATENATE("GBL",B27," - ",Mantenedor!E27))</f>
        <v/>
      </c>
      <c r="J27" s="318"/>
      <c r="K27" s="312"/>
      <c r="M27" s="315"/>
      <c r="P27" s="398" t="str">
        <f t="shared" si="0"/>
        <v/>
      </c>
      <c r="Q27" s="401" t="str" cm="1">
        <f t="array" ref="Q27">+_xlfn.IFS(O27="Nacional","CLP",O27="Extranjero","USD",O27="","")</f>
        <v/>
      </c>
      <c r="R27" s="399" t="str">
        <f>IFERROR(IF(O27="Nacional",VLOOKUP(P27,PRICING!$D$4:$E$59,2,FALSE),VLOOKUP(P27,PRICING!$J$4:$K$59,2,FALSE)),"")</f>
        <v/>
      </c>
      <c r="S27"/>
      <c r="V27" s="399">
        <f t="shared" si="1"/>
        <v>0</v>
      </c>
      <c r="W27" s="400">
        <f t="shared" si="2"/>
        <v>0</v>
      </c>
      <c r="X27" s="393" t="str">
        <f t="shared" si="3"/>
        <v/>
      </c>
      <c r="Y27" s="393" t="str">
        <f t="shared" si="4"/>
        <v/>
      </c>
      <c r="Z27" s="393" t="str">
        <f t="shared" si="5"/>
        <v/>
      </c>
      <c r="AA27" s="393" t="str">
        <f t="shared" si="6"/>
        <v/>
      </c>
      <c r="AB27" s="393" t="str">
        <f t="shared" si="7"/>
        <v/>
      </c>
      <c r="AC27" s="393" t="str">
        <f t="shared" si="8"/>
        <v/>
      </c>
      <c r="AD27" s="398" t="str">
        <f t="shared" si="9"/>
        <v/>
      </c>
      <c r="AF27" s="396" t="str">
        <f t="shared" si="10"/>
        <v/>
      </c>
      <c r="AH27" s="393" t="str">
        <f t="shared" si="11"/>
        <v/>
      </c>
      <c r="AI27" s="393" t="str">
        <f t="shared" si="12"/>
        <v/>
      </c>
      <c r="AJ27" s="393" t="str">
        <f t="shared" si="25"/>
        <v/>
      </c>
      <c r="AK27" s="393" t="str">
        <f t="shared" si="13"/>
        <v/>
      </c>
      <c r="AL27" s="398" t="str">
        <f t="shared" si="14"/>
        <v/>
      </c>
      <c r="AN27" s="396" t="str">
        <f t="shared" si="15"/>
        <v/>
      </c>
      <c r="AQ27" s="395"/>
      <c r="AR27" s="395"/>
    </row>
    <row r="28" spans="1:44" x14ac:dyDescent="0.2">
      <c r="A28" s="398" t="str">
        <f>IF(B28="","",CONCATENATE("GBL",B28," - ",Mantenedor!E28))</f>
        <v/>
      </c>
      <c r="J28" s="318"/>
      <c r="K28" s="312"/>
      <c r="M28" s="315"/>
      <c r="P28" s="398" t="str">
        <f t="shared" si="0"/>
        <v/>
      </c>
      <c r="Q28" s="401" t="str" cm="1">
        <f t="array" ref="Q28">+_xlfn.IFS(O28="Nacional","CLP",O28="Extranjero","USD",O28="","")</f>
        <v/>
      </c>
      <c r="R28" s="399" t="str">
        <f>IFERROR(IF(O28="Nacional",VLOOKUP(P28,PRICING!$D$4:$E$59,2,FALSE),VLOOKUP(P28,PRICING!$J$4:$K$59,2,FALSE)),"")</f>
        <v/>
      </c>
      <c r="S28"/>
      <c r="V28" s="399">
        <f t="shared" si="1"/>
        <v>0</v>
      </c>
      <c r="W28" s="400">
        <f t="shared" si="2"/>
        <v>0</v>
      </c>
      <c r="X28" s="393" t="str">
        <f t="shared" si="3"/>
        <v/>
      </c>
      <c r="Y28" s="393" t="str">
        <f t="shared" si="4"/>
        <v/>
      </c>
      <c r="Z28" s="393" t="str">
        <f t="shared" si="5"/>
        <v/>
      </c>
      <c r="AA28" s="393" t="str">
        <f t="shared" si="6"/>
        <v/>
      </c>
      <c r="AB28" s="393" t="str">
        <f t="shared" si="7"/>
        <v/>
      </c>
      <c r="AC28" s="393" t="str">
        <f t="shared" si="8"/>
        <v/>
      </c>
      <c r="AD28" s="398" t="str">
        <f t="shared" si="9"/>
        <v/>
      </c>
      <c r="AF28" s="396" t="str">
        <f t="shared" si="10"/>
        <v/>
      </c>
      <c r="AH28" s="393" t="str">
        <f t="shared" si="11"/>
        <v/>
      </c>
      <c r="AI28" s="393" t="str">
        <f t="shared" si="12"/>
        <v/>
      </c>
      <c r="AJ28" s="393" t="str">
        <f t="shared" si="25"/>
        <v/>
      </c>
      <c r="AK28" s="393" t="str">
        <f t="shared" si="13"/>
        <v/>
      </c>
      <c r="AL28" s="398" t="str">
        <f t="shared" si="14"/>
        <v/>
      </c>
      <c r="AN28" s="396" t="str">
        <f t="shared" si="15"/>
        <v/>
      </c>
      <c r="AQ28" s="395"/>
      <c r="AR28" s="395"/>
    </row>
    <row r="29" spans="1:44" x14ac:dyDescent="0.2">
      <c r="A29" s="398" t="str">
        <f>IF(B29="","",CONCATENATE("GBL",B29," - ",Mantenedor!E29))</f>
        <v/>
      </c>
      <c r="J29" s="318"/>
      <c r="K29" s="312"/>
      <c r="M29" s="315"/>
      <c r="P29" s="398" t="str">
        <f t="shared" si="0"/>
        <v/>
      </c>
      <c r="Q29" s="401" t="str" cm="1">
        <f t="array" ref="Q29">+_xlfn.IFS(O29="Nacional","CLP",O29="Extranjero","USD",O29="","")</f>
        <v/>
      </c>
      <c r="R29" s="399" t="str">
        <f>IFERROR(IF(O29="Nacional",VLOOKUP(P29,PRICING!$D$4:$E$59,2,FALSE),VLOOKUP(P29,PRICING!$J$4:$K$59,2,FALSE)),"")</f>
        <v/>
      </c>
      <c r="S29"/>
      <c r="V29" s="399">
        <f t="shared" si="1"/>
        <v>0</v>
      </c>
      <c r="W29" s="400">
        <f t="shared" si="2"/>
        <v>0</v>
      </c>
      <c r="X29" s="393" t="str">
        <f t="shared" si="3"/>
        <v/>
      </c>
      <c r="Y29" s="393" t="str">
        <f t="shared" si="4"/>
        <v/>
      </c>
      <c r="Z29" s="393" t="str">
        <f t="shared" si="5"/>
        <v/>
      </c>
      <c r="AA29" s="393" t="str">
        <f t="shared" si="6"/>
        <v/>
      </c>
      <c r="AB29" s="393" t="str">
        <f t="shared" si="7"/>
        <v/>
      </c>
      <c r="AC29" s="393" t="str">
        <f t="shared" si="8"/>
        <v/>
      </c>
      <c r="AD29" s="398" t="str">
        <f t="shared" si="9"/>
        <v/>
      </c>
      <c r="AF29" s="396" t="str">
        <f t="shared" si="10"/>
        <v/>
      </c>
      <c r="AH29" s="393" t="str">
        <f t="shared" si="11"/>
        <v/>
      </c>
      <c r="AI29" s="393" t="str">
        <f t="shared" si="12"/>
        <v/>
      </c>
      <c r="AJ29" s="393" t="str">
        <f t="shared" si="25"/>
        <v/>
      </c>
      <c r="AK29" s="393" t="str">
        <f t="shared" si="13"/>
        <v/>
      </c>
      <c r="AL29" s="398" t="str">
        <f t="shared" si="14"/>
        <v/>
      </c>
      <c r="AN29" s="396" t="str">
        <f t="shared" si="15"/>
        <v/>
      </c>
      <c r="AQ29" s="395"/>
      <c r="AR29" s="395"/>
    </row>
    <row r="30" spans="1:44" x14ac:dyDescent="0.2">
      <c r="A30" s="398" t="str">
        <f>IF(B30="","",CONCATENATE("GBL",B30," - ",Mantenedor!E30))</f>
        <v/>
      </c>
      <c r="J30" s="318"/>
      <c r="K30" s="312"/>
      <c r="M30" s="315"/>
      <c r="P30" s="398" t="str">
        <f t="shared" si="0"/>
        <v/>
      </c>
      <c r="Q30" s="401" t="str" cm="1">
        <f t="array" ref="Q30">+_xlfn.IFS(O30="Nacional","CLP",O30="Extranjero","USD",O30="","")</f>
        <v/>
      </c>
      <c r="R30" s="399" t="str">
        <f>IFERROR(IF(O30="Nacional",VLOOKUP(P30,PRICING!$D$4:$E$59,2,FALSE),VLOOKUP(P30,PRICING!$J$4:$K$59,2,FALSE)),"")</f>
        <v/>
      </c>
      <c r="S30"/>
      <c r="V30" s="399">
        <f t="shared" si="1"/>
        <v>0</v>
      </c>
      <c r="W30" s="400">
        <f t="shared" si="2"/>
        <v>0</v>
      </c>
      <c r="X30" s="393" t="str">
        <f t="shared" si="3"/>
        <v/>
      </c>
      <c r="Y30" s="393" t="str">
        <f t="shared" si="4"/>
        <v/>
      </c>
      <c r="Z30" s="393" t="str">
        <f t="shared" si="5"/>
        <v/>
      </c>
      <c r="AA30" s="393" t="str">
        <f t="shared" si="6"/>
        <v/>
      </c>
      <c r="AB30" s="393" t="str">
        <f t="shared" si="7"/>
        <v/>
      </c>
      <c r="AC30" s="393" t="str">
        <f t="shared" si="8"/>
        <v/>
      </c>
      <c r="AD30" s="398" t="str">
        <f t="shared" si="9"/>
        <v/>
      </c>
      <c r="AF30" s="396" t="str">
        <f t="shared" si="10"/>
        <v/>
      </c>
      <c r="AH30" s="393" t="str">
        <f t="shared" si="11"/>
        <v/>
      </c>
      <c r="AI30" s="393" t="str">
        <f t="shared" si="12"/>
        <v/>
      </c>
      <c r="AJ30" s="393" t="str">
        <f t="shared" si="25"/>
        <v/>
      </c>
      <c r="AK30" s="393" t="str">
        <f t="shared" si="13"/>
        <v/>
      </c>
      <c r="AL30" s="398" t="str">
        <f t="shared" si="14"/>
        <v/>
      </c>
      <c r="AN30" s="396" t="str">
        <f t="shared" si="15"/>
        <v/>
      </c>
      <c r="AQ30" s="395"/>
      <c r="AR30" s="395"/>
    </row>
    <row r="31" spans="1:44" x14ac:dyDescent="0.2">
      <c r="A31" s="398" t="str">
        <f>IF(B31="","",CONCATENATE("GBL",B31," - ",Mantenedor!E31))</f>
        <v/>
      </c>
      <c r="J31" s="318"/>
      <c r="K31" s="312"/>
      <c r="M31" s="315"/>
      <c r="P31" s="398" t="str">
        <f t="shared" si="0"/>
        <v/>
      </c>
      <c r="Q31" s="401" t="str" cm="1">
        <f t="array" ref="Q31">+_xlfn.IFS(O31="Nacional","CLP",O31="Extranjero","USD",O31="","")</f>
        <v/>
      </c>
      <c r="R31" s="399" t="str">
        <f>IFERROR(IF(O31="Nacional",VLOOKUP(P31,PRICING!$D$4:$E$59,2,FALSE),VLOOKUP(P31,PRICING!$J$4:$K$59,2,FALSE)),"")</f>
        <v/>
      </c>
      <c r="S31"/>
      <c r="V31" s="399">
        <f t="shared" si="1"/>
        <v>0</v>
      </c>
      <c r="W31" s="400">
        <f t="shared" si="2"/>
        <v>0</v>
      </c>
      <c r="X31" s="393" t="str">
        <f t="shared" si="3"/>
        <v/>
      </c>
      <c r="Y31" s="393" t="str">
        <f t="shared" si="4"/>
        <v/>
      </c>
      <c r="Z31" s="393" t="str">
        <f t="shared" si="5"/>
        <v/>
      </c>
      <c r="AA31" s="393" t="str">
        <f t="shared" si="6"/>
        <v/>
      </c>
      <c r="AB31" s="393" t="str">
        <f t="shared" si="7"/>
        <v/>
      </c>
      <c r="AC31" s="393" t="str">
        <f t="shared" si="8"/>
        <v/>
      </c>
      <c r="AD31" s="398" t="str">
        <f t="shared" si="9"/>
        <v/>
      </c>
      <c r="AF31" s="396" t="str">
        <f t="shared" si="10"/>
        <v/>
      </c>
      <c r="AH31" s="393" t="str">
        <f t="shared" si="11"/>
        <v/>
      </c>
      <c r="AI31" s="393" t="str">
        <f t="shared" si="12"/>
        <v/>
      </c>
      <c r="AJ31" s="393" t="str">
        <f t="shared" si="25"/>
        <v/>
      </c>
      <c r="AK31" s="393" t="str">
        <f t="shared" si="13"/>
        <v/>
      </c>
      <c r="AL31" s="398" t="str">
        <f t="shared" si="14"/>
        <v/>
      </c>
      <c r="AN31" s="396" t="str">
        <f t="shared" si="15"/>
        <v/>
      </c>
      <c r="AQ31" s="395"/>
      <c r="AR31" s="395"/>
    </row>
    <row r="32" spans="1:44" x14ac:dyDescent="0.2">
      <c r="A32" s="398" t="str">
        <f>IF(B32="","",CONCATENATE("GBL",B32," - ",Mantenedor!E32))</f>
        <v/>
      </c>
      <c r="J32" s="318"/>
      <c r="K32" s="312"/>
      <c r="M32" s="315"/>
      <c r="P32" s="398" t="str">
        <f t="shared" si="0"/>
        <v/>
      </c>
      <c r="Q32" s="401" t="str" cm="1">
        <f t="array" ref="Q32">+_xlfn.IFS(O32="Nacional","CLP",O32="Extranjero","USD",O32="","")</f>
        <v/>
      </c>
      <c r="R32" s="399" t="str">
        <f>IFERROR(IF(O32="Nacional",VLOOKUP(P32,PRICING!$D$4:$E$59,2,FALSE),VLOOKUP(P32,PRICING!$J$4:$K$59,2,FALSE)),"")</f>
        <v/>
      </c>
      <c r="S32"/>
      <c r="V32" s="399">
        <f t="shared" si="1"/>
        <v>0</v>
      </c>
      <c r="W32" s="400">
        <f t="shared" si="2"/>
        <v>0</v>
      </c>
      <c r="X32" s="393" t="str">
        <f t="shared" si="3"/>
        <v/>
      </c>
      <c r="Y32" s="393" t="str">
        <f t="shared" si="4"/>
        <v/>
      </c>
      <c r="Z32" s="393" t="str">
        <f t="shared" si="5"/>
        <v/>
      </c>
      <c r="AA32" s="393" t="str">
        <f t="shared" si="6"/>
        <v/>
      </c>
      <c r="AB32" s="393" t="str">
        <f t="shared" si="7"/>
        <v/>
      </c>
      <c r="AC32" s="393" t="str">
        <f t="shared" si="8"/>
        <v/>
      </c>
      <c r="AD32" s="398" t="str">
        <f t="shared" si="9"/>
        <v/>
      </c>
      <c r="AF32" s="396" t="str">
        <f t="shared" si="10"/>
        <v/>
      </c>
      <c r="AH32" s="393" t="str">
        <f t="shared" si="11"/>
        <v/>
      </c>
      <c r="AI32" s="393" t="str">
        <f t="shared" si="12"/>
        <v/>
      </c>
      <c r="AJ32" s="393" t="str">
        <f t="shared" si="25"/>
        <v/>
      </c>
      <c r="AK32" s="393" t="str">
        <f t="shared" si="13"/>
        <v/>
      </c>
      <c r="AL32" s="398" t="str">
        <f t="shared" si="14"/>
        <v/>
      </c>
      <c r="AN32" s="396" t="str">
        <f t="shared" si="15"/>
        <v/>
      </c>
      <c r="AQ32" s="395"/>
      <c r="AR32" s="395"/>
    </row>
    <row r="33" spans="1:44" x14ac:dyDescent="0.2">
      <c r="A33" s="398" t="str">
        <f>IF(B33="","",CONCATENATE("GBL",B33," - ",Mantenedor!E33))</f>
        <v/>
      </c>
      <c r="J33" s="318"/>
      <c r="K33" s="312"/>
      <c r="M33" s="315"/>
      <c r="P33" s="398" t="str">
        <f t="shared" si="0"/>
        <v/>
      </c>
      <c r="Q33" s="401" t="str" cm="1">
        <f t="array" ref="Q33">+_xlfn.IFS(O33="Nacional","CLP",O33="Extranjero","USD",O33="","")</f>
        <v/>
      </c>
      <c r="R33" s="399" t="str">
        <f>IFERROR(IF(O33="Nacional",VLOOKUP(P33,PRICING!$D$4:$E$59,2,FALSE),VLOOKUP(P33,PRICING!$J$4:$K$59,2,FALSE)),"")</f>
        <v/>
      </c>
      <c r="S33"/>
      <c r="V33" s="399">
        <f t="shared" si="1"/>
        <v>0</v>
      </c>
      <c r="W33" s="400">
        <f t="shared" si="2"/>
        <v>0</v>
      </c>
      <c r="X33" s="393" t="str">
        <f t="shared" si="3"/>
        <v/>
      </c>
      <c r="Y33" s="393" t="str">
        <f t="shared" si="4"/>
        <v/>
      </c>
      <c r="Z33" s="393" t="str">
        <f t="shared" si="5"/>
        <v/>
      </c>
      <c r="AA33" s="393" t="str">
        <f t="shared" si="6"/>
        <v/>
      </c>
      <c r="AB33" s="393" t="str">
        <f t="shared" si="7"/>
        <v/>
      </c>
      <c r="AC33" s="393" t="str">
        <f t="shared" si="8"/>
        <v/>
      </c>
      <c r="AD33" s="398" t="str">
        <f t="shared" si="9"/>
        <v/>
      </c>
      <c r="AF33" s="396" t="str">
        <f t="shared" si="10"/>
        <v/>
      </c>
      <c r="AH33" s="393" t="str">
        <f t="shared" si="11"/>
        <v/>
      </c>
      <c r="AI33" s="393" t="str">
        <f t="shared" si="12"/>
        <v/>
      </c>
      <c r="AJ33" s="393" t="str">
        <f t="shared" si="25"/>
        <v/>
      </c>
      <c r="AK33" s="393" t="str">
        <f t="shared" si="13"/>
        <v/>
      </c>
      <c r="AL33" s="398" t="str">
        <f t="shared" si="14"/>
        <v/>
      </c>
      <c r="AN33" s="396" t="str">
        <f t="shared" si="15"/>
        <v/>
      </c>
      <c r="AQ33" s="395"/>
      <c r="AR33" s="395"/>
    </row>
    <row r="34" spans="1:44" x14ac:dyDescent="0.2">
      <c r="A34" s="398" t="str">
        <f>IF(B34="","",CONCATENATE("GBL",B34," - ",Mantenedor!E34))</f>
        <v/>
      </c>
      <c r="J34" s="318"/>
      <c r="K34" s="312"/>
      <c r="M34" s="315"/>
      <c r="P34" s="398" t="str">
        <f t="shared" si="0"/>
        <v/>
      </c>
      <c r="Q34" s="401" t="str" cm="1">
        <f t="array" ref="Q34">+_xlfn.IFS(O34="Nacional","CLP",O34="Extranjero","USD",O34="","")</f>
        <v/>
      </c>
      <c r="R34" s="399" t="str">
        <f>IFERROR(IF(O34="Nacional",VLOOKUP(P34,PRICING!$D$4:$E$59,2,FALSE),VLOOKUP(P34,PRICING!$J$4:$K$59,2,FALSE)),"")</f>
        <v/>
      </c>
      <c r="S34"/>
      <c r="V34" s="399">
        <f t="shared" si="1"/>
        <v>0</v>
      </c>
      <c r="W34" s="400">
        <f t="shared" si="2"/>
        <v>0</v>
      </c>
      <c r="X34" s="393" t="str">
        <f t="shared" si="3"/>
        <v/>
      </c>
      <c r="Y34" s="393" t="str">
        <f t="shared" si="4"/>
        <v/>
      </c>
      <c r="Z34" s="393" t="str">
        <f t="shared" si="5"/>
        <v/>
      </c>
      <c r="AA34" s="393" t="str">
        <f t="shared" si="6"/>
        <v/>
      </c>
      <c r="AB34" s="393" t="str">
        <f t="shared" si="7"/>
        <v/>
      </c>
      <c r="AC34" s="393" t="str">
        <f t="shared" si="8"/>
        <v/>
      </c>
      <c r="AD34" s="398" t="str">
        <f t="shared" si="9"/>
        <v/>
      </c>
      <c r="AF34" s="396" t="str">
        <f t="shared" si="10"/>
        <v/>
      </c>
      <c r="AH34" s="393" t="str">
        <f t="shared" si="11"/>
        <v/>
      </c>
      <c r="AI34" s="393" t="str">
        <f t="shared" si="12"/>
        <v/>
      </c>
      <c r="AJ34" s="393" t="str">
        <f t="shared" si="25"/>
        <v/>
      </c>
      <c r="AK34" s="393" t="str">
        <f t="shared" si="13"/>
        <v/>
      </c>
      <c r="AL34" s="398" t="str">
        <f t="shared" si="14"/>
        <v/>
      </c>
      <c r="AN34" s="396" t="str">
        <f t="shared" si="15"/>
        <v/>
      </c>
      <c r="AQ34" s="395"/>
      <c r="AR34" s="395"/>
    </row>
    <row r="35" spans="1:44" x14ac:dyDescent="0.2">
      <c r="A35" s="398" t="str">
        <f>IF(B35="","",CONCATENATE("GBL",B35," - ",Mantenedor!E35))</f>
        <v/>
      </c>
      <c r="J35" s="318"/>
      <c r="K35" s="312"/>
      <c r="M35" s="315"/>
      <c r="P35" s="398" t="str">
        <f t="shared" si="0"/>
        <v/>
      </c>
      <c r="Q35" s="401" t="str" cm="1">
        <f t="array" ref="Q35">+_xlfn.IFS(O35="Nacional","CLP",O35="Extranjero","USD",O35="","")</f>
        <v/>
      </c>
      <c r="R35" s="399" t="str">
        <f>IFERROR(IF(O35="Nacional",VLOOKUP(P35,PRICING!$D$4:$E$59,2,FALSE),VLOOKUP(P35,PRICING!$J$4:$K$59,2,FALSE)),"")</f>
        <v/>
      </c>
      <c r="S35"/>
      <c r="V35" s="399">
        <f t="shared" si="1"/>
        <v>0</v>
      </c>
      <c r="W35" s="400">
        <f t="shared" si="2"/>
        <v>0</v>
      </c>
      <c r="X35" s="393" t="str">
        <f t="shared" si="3"/>
        <v/>
      </c>
      <c r="Y35" s="393" t="str">
        <f t="shared" si="4"/>
        <v/>
      </c>
      <c r="Z35" s="393" t="str">
        <f t="shared" si="5"/>
        <v/>
      </c>
      <c r="AA35" s="393" t="str">
        <f t="shared" si="6"/>
        <v/>
      </c>
      <c r="AB35" s="393" t="str">
        <f t="shared" si="7"/>
        <v/>
      </c>
      <c r="AC35" s="393" t="str">
        <f t="shared" si="8"/>
        <v/>
      </c>
      <c r="AD35" s="398" t="str">
        <f t="shared" si="9"/>
        <v/>
      </c>
      <c r="AF35" s="396" t="str">
        <f t="shared" si="10"/>
        <v/>
      </c>
      <c r="AH35" s="393" t="str">
        <f t="shared" si="11"/>
        <v/>
      </c>
      <c r="AI35" s="393" t="str">
        <f t="shared" si="12"/>
        <v/>
      </c>
      <c r="AJ35" s="393" t="str">
        <f t="shared" si="25"/>
        <v/>
      </c>
      <c r="AK35" s="393" t="str">
        <f t="shared" si="13"/>
        <v/>
      </c>
      <c r="AL35" s="398" t="str">
        <f t="shared" si="14"/>
        <v/>
      </c>
      <c r="AN35" s="396" t="str">
        <f t="shared" si="15"/>
        <v/>
      </c>
      <c r="AQ35" s="395"/>
      <c r="AR35" s="395"/>
    </row>
    <row r="36" spans="1:44" x14ac:dyDescent="0.2">
      <c r="A36" s="398" t="str">
        <f>IF(B36="","",CONCATENATE("GBL",B36," - ",Mantenedor!E36))</f>
        <v/>
      </c>
      <c r="J36" s="318"/>
      <c r="K36" s="312"/>
      <c r="M36" s="315"/>
      <c r="P36" s="398" t="str">
        <f t="shared" si="0"/>
        <v/>
      </c>
      <c r="Q36" s="401" t="str" cm="1">
        <f t="array" ref="Q36">+_xlfn.IFS(O36="Nacional","CLP",O36="Extranjero","USD",O36="","")</f>
        <v/>
      </c>
      <c r="R36" s="399" t="str">
        <f>IFERROR(IF(O36="Nacional",VLOOKUP(P36,PRICING!$D$4:$E$59,2,FALSE),VLOOKUP(P36,PRICING!$J$4:$K$59,2,FALSE)),"")</f>
        <v/>
      </c>
      <c r="S36"/>
      <c r="V36" s="399">
        <f t="shared" si="1"/>
        <v>0</v>
      </c>
      <c r="W36" s="400">
        <f t="shared" si="2"/>
        <v>0</v>
      </c>
      <c r="X36" s="393" t="str">
        <f t="shared" si="3"/>
        <v/>
      </c>
      <c r="Y36" s="393" t="str">
        <f t="shared" si="4"/>
        <v/>
      </c>
      <c r="Z36" s="393" t="str">
        <f t="shared" si="5"/>
        <v/>
      </c>
      <c r="AA36" s="393" t="str">
        <f t="shared" si="6"/>
        <v/>
      </c>
      <c r="AB36" s="393" t="str">
        <f t="shared" si="7"/>
        <v/>
      </c>
      <c r="AC36" s="393" t="str">
        <f t="shared" si="8"/>
        <v/>
      </c>
      <c r="AD36" s="398" t="str">
        <f t="shared" si="9"/>
        <v/>
      </c>
      <c r="AF36" s="396" t="str">
        <f t="shared" si="10"/>
        <v/>
      </c>
      <c r="AH36" s="393" t="str">
        <f t="shared" si="11"/>
        <v/>
      </c>
      <c r="AI36" s="393" t="str">
        <f t="shared" si="12"/>
        <v/>
      </c>
      <c r="AJ36" s="393" t="str">
        <f t="shared" si="25"/>
        <v/>
      </c>
      <c r="AK36" s="393" t="str">
        <f t="shared" si="13"/>
        <v/>
      </c>
      <c r="AL36" s="398" t="str">
        <f t="shared" si="14"/>
        <v/>
      </c>
      <c r="AN36" s="396" t="str">
        <f t="shared" si="15"/>
        <v/>
      </c>
      <c r="AQ36" s="395"/>
      <c r="AR36" s="395"/>
    </row>
    <row r="37" spans="1:44" x14ac:dyDescent="0.2">
      <c r="A37" s="398" t="str">
        <f>IF(B37="","",CONCATENATE("GBL",B37," - ",Mantenedor!E37))</f>
        <v/>
      </c>
      <c r="J37" s="318"/>
      <c r="K37" s="312"/>
      <c r="M37" s="315"/>
      <c r="P37" s="398" t="str">
        <f t="shared" si="0"/>
        <v/>
      </c>
      <c r="Q37" s="401" t="str" cm="1">
        <f t="array" ref="Q37">+_xlfn.IFS(O37="Nacional","CLP",O37="Extranjero","USD",O37="","")</f>
        <v/>
      </c>
      <c r="R37" s="399" t="str">
        <f>IFERROR(IF(O37="Nacional",VLOOKUP(P37,PRICING!$D$4:$E$59,2,FALSE),VLOOKUP(P37,PRICING!$J$4:$K$59,2,FALSE)),"")</f>
        <v/>
      </c>
      <c r="S37"/>
      <c r="V37" s="399">
        <f t="shared" si="1"/>
        <v>0</v>
      </c>
      <c r="W37" s="400">
        <f t="shared" si="2"/>
        <v>0</v>
      </c>
      <c r="X37" s="393" t="str">
        <f t="shared" si="3"/>
        <v/>
      </c>
      <c r="Y37" s="393" t="str">
        <f t="shared" si="4"/>
        <v/>
      </c>
      <c r="Z37" s="393" t="str">
        <f t="shared" si="5"/>
        <v/>
      </c>
      <c r="AA37" s="393" t="str">
        <f t="shared" si="6"/>
        <v/>
      </c>
      <c r="AB37" s="393" t="str">
        <f t="shared" si="7"/>
        <v/>
      </c>
      <c r="AC37" s="393" t="str">
        <f t="shared" si="8"/>
        <v/>
      </c>
      <c r="AD37" s="398" t="str">
        <f t="shared" si="9"/>
        <v/>
      </c>
      <c r="AF37" s="396" t="str">
        <f t="shared" si="10"/>
        <v/>
      </c>
      <c r="AH37" s="393" t="str">
        <f t="shared" si="11"/>
        <v/>
      </c>
      <c r="AI37" s="393" t="str">
        <f t="shared" si="12"/>
        <v/>
      </c>
      <c r="AJ37" s="393" t="str">
        <f t="shared" si="25"/>
        <v/>
      </c>
      <c r="AK37" s="393" t="str">
        <f t="shared" si="13"/>
        <v/>
      </c>
      <c r="AL37" s="398" t="str">
        <f t="shared" si="14"/>
        <v/>
      </c>
      <c r="AN37" s="396" t="str">
        <f t="shared" si="15"/>
        <v/>
      </c>
      <c r="AQ37" s="395"/>
      <c r="AR37" s="395"/>
    </row>
    <row r="38" spans="1:44" x14ac:dyDescent="0.2">
      <c r="A38" s="398" t="str">
        <f>IF(B38="","",CONCATENATE("GBL",B38," - ",Mantenedor!E38))</f>
        <v/>
      </c>
      <c r="J38" s="318"/>
      <c r="K38" s="312"/>
      <c r="M38" s="315"/>
      <c r="P38" s="398" t="str">
        <f t="shared" si="0"/>
        <v/>
      </c>
      <c r="Q38" s="401" t="str" cm="1">
        <f t="array" ref="Q38">+_xlfn.IFS(O38="Nacional","CLP",O38="Extranjero","USD",O38="","")</f>
        <v/>
      </c>
      <c r="R38" s="399" t="str">
        <f>IFERROR(IF(O38="Nacional",VLOOKUP(P38,PRICING!$D$4:$E$59,2,FALSE),VLOOKUP(P38,PRICING!$J$4:$K$59,2,FALSE)),"")</f>
        <v/>
      </c>
      <c r="S38"/>
      <c r="V38" s="399">
        <f t="shared" si="1"/>
        <v>0</v>
      </c>
      <c r="W38" s="400">
        <f t="shared" si="2"/>
        <v>0</v>
      </c>
      <c r="X38" s="393" t="str">
        <f t="shared" si="3"/>
        <v/>
      </c>
      <c r="Y38" s="393" t="str">
        <f t="shared" si="4"/>
        <v/>
      </c>
      <c r="Z38" s="393" t="str">
        <f t="shared" si="5"/>
        <v/>
      </c>
      <c r="AA38" s="393" t="str">
        <f t="shared" si="6"/>
        <v/>
      </c>
      <c r="AB38" s="393" t="str">
        <f t="shared" si="7"/>
        <v/>
      </c>
      <c r="AC38" s="393" t="str">
        <f t="shared" si="8"/>
        <v/>
      </c>
      <c r="AD38" s="398" t="str">
        <f t="shared" si="9"/>
        <v/>
      </c>
      <c r="AF38" s="396" t="str">
        <f t="shared" si="10"/>
        <v/>
      </c>
      <c r="AH38" s="393" t="str">
        <f t="shared" si="11"/>
        <v/>
      </c>
      <c r="AI38" s="393" t="str">
        <f t="shared" si="12"/>
        <v/>
      </c>
      <c r="AJ38" s="393" t="str">
        <f t="shared" si="25"/>
        <v/>
      </c>
      <c r="AK38" s="393" t="str">
        <f t="shared" si="13"/>
        <v/>
      </c>
      <c r="AL38" s="398" t="str">
        <f t="shared" si="14"/>
        <v/>
      </c>
      <c r="AN38" s="396" t="str">
        <f t="shared" si="15"/>
        <v/>
      </c>
      <c r="AQ38" s="395"/>
      <c r="AR38" s="395"/>
    </row>
    <row r="39" spans="1:44" x14ac:dyDescent="0.2">
      <c r="A39" s="398" t="str">
        <f>IF(B39="","",CONCATENATE("GBL",B39," - ",Mantenedor!E39))</f>
        <v/>
      </c>
      <c r="J39" s="318"/>
      <c r="K39" s="312"/>
      <c r="M39" s="315"/>
      <c r="P39" s="398" t="str">
        <f t="shared" si="0"/>
        <v/>
      </c>
      <c r="Q39" s="401" t="str" cm="1">
        <f t="array" ref="Q39">+_xlfn.IFS(O39="Nacional","CLP",O39="Extranjero","USD",O39="","")</f>
        <v/>
      </c>
      <c r="R39" s="399" t="str">
        <f>IFERROR(IF(O39="Nacional",VLOOKUP(P39,PRICING!$D$4:$E$59,2,FALSE),VLOOKUP(P39,PRICING!$J$4:$K$59,2,FALSE)),"")</f>
        <v/>
      </c>
      <c r="S39"/>
      <c r="V39" s="399">
        <f t="shared" si="1"/>
        <v>0</v>
      </c>
      <c r="W39" s="400">
        <f t="shared" si="2"/>
        <v>0</v>
      </c>
      <c r="X39" s="393" t="str">
        <f t="shared" si="3"/>
        <v/>
      </c>
      <c r="Y39" s="393" t="str">
        <f t="shared" si="4"/>
        <v/>
      </c>
      <c r="Z39" s="393" t="str">
        <f t="shared" si="5"/>
        <v/>
      </c>
      <c r="AA39" s="393" t="str">
        <f t="shared" si="6"/>
        <v/>
      </c>
      <c r="AB39" s="393" t="str">
        <f t="shared" si="7"/>
        <v/>
      </c>
      <c r="AC39" s="393" t="str">
        <f t="shared" si="8"/>
        <v/>
      </c>
      <c r="AD39" s="398" t="str">
        <f t="shared" si="9"/>
        <v/>
      </c>
      <c r="AF39" s="396" t="str">
        <f t="shared" si="10"/>
        <v/>
      </c>
      <c r="AH39" s="393" t="str">
        <f t="shared" si="11"/>
        <v/>
      </c>
      <c r="AI39" s="393" t="str">
        <f t="shared" si="12"/>
        <v/>
      </c>
      <c r="AJ39" s="393" t="str">
        <f t="shared" si="25"/>
        <v/>
      </c>
      <c r="AK39" s="393" t="str">
        <f t="shared" si="13"/>
        <v/>
      </c>
      <c r="AL39" s="398" t="str">
        <f t="shared" si="14"/>
        <v/>
      </c>
      <c r="AN39" s="396" t="str">
        <f t="shared" si="15"/>
        <v/>
      </c>
      <c r="AQ39" s="395"/>
      <c r="AR39" s="395"/>
    </row>
    <row r="40" spans="1:44" x14ac:dyDescent="0.2">
      <c r="A40" s="398" t="str">
        <f>IF(B40="","",CONCATENATE("GBL",B40," - ",Mantenedor!E40))</f>
        <v/>
      </c>
      <c r="J40" s="318"/>
      <c r="K40" s="312"/>
      <c r="M40" s="315"/>
      <c r="P40" s="398" t="str">
        <f t="shared" si="0"/>
        <v/>
      </c>
      <c r="Q40" s="401" t="str" cm="1">
        <f t="array" ref="Q40">+_xlfn.IFS(O40="Nacional","CLP",O40="Extranjero","USD",O40="","")</f>
        <v/>
      </c>
      <c r="R40" s="399" t="str">
        <f>IFERROR(IF(O40="Nacional",VLOOKUP(P40,PRICING!$D$4:$E$59,2,FALSE),VLOOKUP(P40,PRICING!$J$4:$K$59,2,FALSE)),"")</f>
        <v/>
      </c>
      <c r="S40"/>
      <c r="V40" s="399">
        <f t="shared" si="1"/>
        <v>0</v>
      </c>
      <c r="W40" s="400">
        <f t="shared" si="2"/>
        <v>0</v>
      </c>
      <c r="X40" s="393" t="str">
        <f t="shared" si="3"/>
        <v/>
      </c>
      <c r="Y40" s="393" t="str">
        <f t="shared" si="4"/>
        <v/>
      </c>
      <c r="Z40" s="393" t="str">
        <f t="shared" si="5"/>
        <v/>
      </c>
      <c r="AA40" s="393" t="str">
        <f t="shared" si="6"/>
        <v/>
      </c>
      <c r="AB40" s="393" t="str">
        <f t="shared" si="7"/>
        <v/>
      </c>
      <c r="AC40" s="393" t="str">
        <f t="shared" si="8"/>
        <v/>
      </c>
      <c r="AD40" s="398" t="str">
        <f t="shared" si="9"/>
        <v/>
      </c>
      <c r="AF40" s="396" t="str">
        <f t="shared" si="10"/>
        <v/>
      </c>
      <c r="AH40" s="393" t="str">
        <f t="shared" si="11"/>
        <v/>
      </c>
      <c r="AI40" s="393" t="str">
        <f t="shared" si="12"/>
        <v/>
      </c>
      <c r="AJ40" s="393" t="str">
        <f t="shared" si="25"/>
        <v/>
      </c>
      <c r="AK40" s="393" t="str">
        <f t="shared" si="13"/>
        <v/>
      </c>
      <c r="AL40" s="398" t="str">
        <f t="shared" si="14"/>
        <v/>
      </c>
      <c r="AN40" s="396" t="str">
        <f t="shared" si="15"/>
        <v/>
      </c>
      <c r="AQ40" s="395"/>
      <c r="AR40" s="395"/>
    </row>
    <row r="41" spans="1:44" x14ac:dyDescent="0.2">
      <c r="A41" s="398" t="str">
        <f>IF(B41="","",CONCATENATE("GBL",B41," - ",Mantenedor!E41))</f>
        <v/>
      </c>
      <c r="J41" s="318"/>
      <c r="K41" s="312"/>
      <c r="M41" s="315"/>
      <c r="P41" s="398" t="str">
        <f t="shared" si="0"/>
        <v/>
      </c>
      <c r="Q41" s="401" t="str" cm="1">
        <f t="array" ref="Q41">+_xlfn.IFS(O41="Nacional","CLP",O41="Extranjero","USD",O41="","")</f>
        <v/>
      </c>
      <c r="R41" s="399" t="str">
        <f>IFERROR(IF(O41="Nacional",VLOOKUP(P41,PRICING!$D$4:$E$59,2,FALSE),VLOOKUP(P41,PRICING!$J$4:$K$59,2,FALSE)),"")</f>
        <v/>
      </c>
      <c r="S41"/>
      <c r="V41" s="399">
        <f t="shared" si="1"/>
        <v>0</v>
      </c>
      <c r="W41" s="400">
        <f t="shared" si="2"/>
        <v>0</v>
      </c>
      <c r="X41" s="393" t="str">
        <f t="shared" si="3"/>
        <v/>
      </c>
      <c r="Y41" s="393" t="str">
        <f t="shared" si="4"/>
        <v/>
      </c>
      <c r="Z41" s="393" t="str">
        <f t="shared" si="5"/>
        <v/>
      </c>
      <c r="AA41" s="393" t="str">
        <f t="shared" si="6"/>
        <v/>
      </c>
      <c r="AB41" s="393" t="str">
        <f t="shared" si="7"/>
        <v/>
      </c>
      <c r="AC41" s="393" t="str">
        <f t="shared" si="8"/>
        <v/>
      </c>
      <c r="AD41" s="398" t="str">
        <f t="shared" si="9"/>
        <v/>
      </c>
      <c r="AF41" s="396" t="str">
        <f t="shared" si="10"/>
        <v/>
      </c>
      <c r="AH41" s="393" t="str">
        <f t="shared" si="11"/>
        <v/>
      </c>
      <c r="AI41" s="393" t="str">
        <f t="shared" si="12"/>
        <v/>
      </c>
      <c r="AJ41" s="393" t="str">
        <f t="shared" si="25"/>
        <v/>
      </c>
      <c r="AK41" s="393" t="str">
        <f t="shared" si="13"/>
        <v/>
      </c>
      <c r="AL41" s="398" t="str">
        <f t="shared" si="14"/>
        <v/>
      </c>
      <c r="AN41" s="396" t="str">
        <f t="shared" si="15"/>
        <v/>
      </c>
      <c r="AQ41" s="395"/>
      <c r="AR41" s="395"/>
    </row>
    <row r="42" spans="1:44" x14ac:dyDescent="0.2">
      <c r="A42" s="398" t="str">
        <f>IF(B42="","",CONCATENATE("GBL",B42," - ",Mantenedor!E42))</f>
        <v/>
      </c>
      <c r="J42" s="318"/>
      <c r="K42" s="312"/>
      <c r="M42" s="315"/>
      <c r="P42" s="398" t="str">
        <f t="shared" si="0"/>
        <v/>
      </c>
      <c r="Q42" s="401" t="str" cm="1">
        <f t="array" ref="Q42">+_xlfn.IFS(O42="Nacional","CLP",O42="Extranjero","USD",O42="","")</f>
        <v/>
      </c>
      <c r="R42" s="399" t="str">
        <f>IFERROR(IF(O42="Nacional",VLOOKUP(P42,PRICING!$D$4:$E$59,2,FALSE),VLOOKUP(P42,PRICING!$J$4:$K$59,2,FALSE)),"")</f>
        <v/>
      </c>
      <c r="S42"/>
      <c r="V42" s="399">
        <f t="shared" si="1"/>
        <v>0</v>
      </c>
      <c r="W42" s="400">
        <f t="shared" si="2"/>
        <v>0</v>
      </c>
      <c r="X42" s="393" t="str">
        <f t="shared" si="3"/>
        <v/>
      </c>
      <c r="Y42" s="393" t="str">
        <f t="shared" si="4"/>
        <v/>
      </c>
      <c r="Z42" s="393" t="str">
        <f t="shared" si="5"/>
        <v/>
      </c>
      <c r="AA42" s="393" t="str">
        <f t="shared" si="6"/>
        <v/>
      </c>
      <c r="AB42" s="393" t="str">
        <f t="shared" si="7"/>
        <v/>
      </c>
      <c r="AC42" s="393" t="str">
        <f t="shared" si="8"/>
        <v/>
      </c>
      <c r="AD42" s="398" t="str">
        <f t="shared" si="9"/>
        <v/>
      </c>
      <c r="AF42" s="396" t="str">
        <f t="shared" si="10"/>
        <v/>
      </c>
      <c r="AH42" s="393" t="str">
        <f t="shared" si="11"/>
        <v/>
      </c>
      <c r="AI42" s="393" t="str">
        <f t="shared" si="12"/>
        <v/>
      </c>
      <c r="AJ42" s="393" t="str">
        <f t="shared" si="25"/>
        <v/>
      </c>
      <c r="AK42" s="393" t="str">
        <f t="shared" si="13"/>
        <v/>
      </c>
      <c r="AL42" s="398" t="str">
        <f t="shared" si="14"/>
        <v/>
      </c>
      <c r="AN42" s="396" t="str">
        <f t="shared" si="15"/>
        <v/>
      </c>
      <c r="AQ42" s="395"/>
      <c r="AR42" s="395"/>
    </row>
    <row r="43" spans="1:44" x14ac:dyDescent="0.2">
      <c r="A43" s="398" t="str">
        <f>IF(B43="","",CONCATENATE("GBL",B43," - ",Mantenedor!E43))</f>
        <v/>
      </c>
      <c r="J43" s="318"/>
      <c r="K43" s="312"/>
      <c r="M43" s="315"/>
      <c r="P43" s="398" t="str">
        <f t="shared" si="0"/>
        <v/>
      </c>
      <c r="Q43" s="401" t="str" cm="1">
        <f t="array" ref="Q43">+_xlfn.IFS(O43="Nacional","CLP",O43="Extranjero","USD",O43="","")</f>
        <v/>
      </c>
      <c r="R43" s="399" t="str">
        <f>IFERROR(IF(O43="Nacional",VLOOKUP(P43,PRICING!$D$4:$E$59,2,FALSE),VLOOKUP(P43,PRICING!$J$4:$K$59,2,FALSE)),"")</f>
        <v/>
      </c>
      <c r="S43"/>
      <c r="V43" s="399">
        <f t="shared" si="1"/>
        <v>0</v>
      </c>
      <c r="W43" s="400">
        <f t="shared" si="2"/>
        <v>0</v>
      </c>
      <c r="X43" s="393" t="str">
        <f t="shared" si="3"/>
        <v/>
      </c>
      <c r="Y43" s="393" t="str">
        <f t="shared" si="4"/>
        <v/>
      </c>
      <c r="Z43" s="393" t="str">
        <f t="shared" si="5"/>
        <v/>
      </c>
      <c r="AA43" s="393" t="str">
        <f t="shared" si="6"/>
        <v/>
      </c>
      <c r="AB43" s="393" t="str">
        <f t="shared" si="7"/>
        <v/>
      </c>
      <c r="AC43" s="393" t="str">
        <f t="shared" si="8"/>
        <v/>
      </c>
      <c r="AD43" s="398" t="str">
        <f t="shared" si="9"/>
        <v/>
      </c>
      <c r="AF43" s="396" t="str">
        <f t="shared" si="10"/>
        <v/>
      </c>
      <c r="AH43" s="393" t="str">
        <f t="shared" si="11"/>
        <v/>
      </c>
      <c r="AI43" s="393" t="str">
        <f t="shared" si="12"/>
        <v/>
      </c>
      <c r="AJ43" s="393" t="str">
        <f t="shared" si="25"/>
        <v/>
      </c>
      <c r="AK43" s="393" t="str">
        <f t="shared" si="13"/>
        <v/>
      </c>
      <c r="AL43" s="398" t="str">
        <f t="shared" si="14"/>
        <v/>
      </c>
      <c r="AN43" s="396" t="str">
        <f t="shared" si="15"/>
        <v/>
      </c>
      <c r="AQ43" s="395"/>
      <c r="AR43" s="395"/>
    </row>
    <row r="44" spans="1:44" x14ac:dyDescent="0.2">
      <c r="A44" s="398" t="str">
        <f>IF(B44="","",CONCATENATE("GBL",B44," - ",Mantenedor!E44))</f>
        <v/>
      </c>
      <c r="J44" s="318"/>
      <c r="K44" s="312"/>
      <c r="M44" s="315"/>
      <c r="P44" s="398" t="str">
        <f t="shared" si="0"/>
        <v/>
      </c>
      <c r="Q44" s="401" t="str" cm="1">
        <f t="array" ref="Q44">+_xlfn.IFS(O44="Nacional","CLP",O44="Extranjero","USD",O44="","")</f>
        <v/>
      </c>
      <c r="R44" s="399" t="str">
        <f>IFERROR(IF(O44="Nacional",VLOOKUP(P44,PRICING!$D$4:$E$59,2,FALSE),VLOOKUP(P44,PRICING!$J$4:$K$59,2,FALSE)),"")</f>
        <v/>
      </c>
      <c r="S44"/>
      <c r="V44" s="399">
        <f t="shared" si="1"/>
        <v>0</v>
      </c>
      <c r="W44" s="400">
        <f t="shared" si="2"/>
        <v>0</v>
      </c>
      <c r="X44" s="393" t="str">
        <f t="shared" si="3"/>
        <v/>
      </c>
      <c r="Y44" s="393" t="str">
        <f t="shared" si="4"/>
        <v/>
      </c>
      <c r="Z44" s="393" t="str">
        <f t="shared" si="5"/>
        <v/>
      </c>
      <c r="AA44" s="393" t="str">
        <f t="shared" si="6"/>
        <v/>
      </c>
      <c r="AB44" s="393" t="str">
        <f t="shared" si="7"/>
        <v/>
      </c>
      <c r="AC44" s="393" t="str">
        <f t="shared" si="8"/>
        <v/>
      </c>
      <c r="AD44" s="398" t="str">
        <f t="shared" si="9"/>
        <v/>
      </c>
      <c r="AF44" s="396" t="str">
        <f t="shared" si="10"/>
        <v/>
      </c>
      <c r="AH44" s="393" t="str">
        <f t="shared" si="11"/>
        <v/>
      </c>
      <c r="AI44" s="393" t="str">
        <f t="shared" si="12"/>
        <v/>
      </c>
      <c r="AJ44" s="393" t="str">
        <f t="shared" si="25"/>
        <v/>
      </c>
      <c r="AK44" s="393" t="str">
        <f t="shared" si="13"/>
        <v/>
      </c>
      <c r="AL44" s="398" t="str">
        <f t="shared" si="14"/>
        <v/>
      </c>
      <c r="AN44" s="396" t="str">
        <f t="shared" si="15"/>
        <v/>
      </c>
      <c r="AQ44" s="395"/>
      <c r="AR44" s="395"/>
    </row>
    <row r="45" spans="1:44" x14ac:dyDescent="0.2">
      <c r="A45" s="398" t="str">
        <f>IF(B45="","",CONCATENATE("GBL",B45," - ",Mantenedor!E45))</f>
        <v/>
      </c>
      <c r="J45" s="318"/>
      <c r="K45" s="312"/>
      <c r="M45" s="315"/>
      <c r="P45" s="398" t="str">
        <f t="shared" si="0"/>
        <v/>
      </c>
      <c r="Q45" s="401" t="str" cm="1">
        <f t="array" ref="Q45">+_xlfn.IFS(O45="Nacional","CLP",O45="Extranjero","USD",O45="","")</f>
        <v/>
      </c>
      <c r="R45" s="399" t="str">
        <f>IFERROR(IF(O45="Nacional",VLOOKUP(P45,PRICING!$D$4:$E$59,2,FALSE),VLOOKUP(P45,PRICING!$J$4:$K$59,2,FALSE)),"")</f>
        <v/>
      </c>
      <c r="S45"/>
      <c r="V45" s="399">
        <f t="shared" si="1"/>
        <v>0</v>
      </c>
      <c r="W45" s="400">
        <f t="shared" si="2"/>
        <v>0</v>
      </c>
      <c r="X45" s="393" t="str">
        <f t="shared" si="3"/>
        <v/>
      </c>
      <c r="Y45" s="393" t="str">
        <f t="shared" si="4"/>
        <v/>
      </c>
      <c r="Z45" s="393" t="str">
        <f t="shared" si="5"/>
        <v/>
      </c>
      <c r="AA45" s="393" t="str">
        <f t="shared" si="6"/>
        <v/>
      </c>
      <c r="AB45" s="393" t="str">
        <f t="shared" si="7"/>
        <v/>
      </c>
      <c r="AC45" s="393" t="str">
        <f t="shared" si="8"/>
        <v/>
      </c>
      <c r="AD45" s="398" t="str">
        <f t="shared" si="9"/>
        <v/>
      </c>
      <c r="AF45" s="396" t="str">
        <f t="shared" si="10"/>
        <v/>
      </c>
      <c r="AH45" s="393" t="str">
        <f t="shared" si="11"/>
        <v/>
      </c>
      <c r="AI45" s="393" t="str">
        <f t="shared" si="12"/>
        <v/>
      </c>
      <c r="AJ45" s="393" t="str">
        <f t="shared" si="25"/>
        <v/>
      </c>
      <c r="AK45" s="393" t="str">
        <f t="shared" si="13"/>
        <v/>
      </c>
      <c r="AL45" s="398" t="str">
        <f t="shared" si="14"/>
        <v/>
      </c>
      <c r="AN45" s="396" t="str">
        <f t="shared" si="15"/>
        <v/>
      </c>
      <c r="AQ45" s="395"/>
      <c r="AR45" s="395"/>
    </row>
    <row r="46" spans="1:44" x14ac:dyDescent="0.2">
      <c r="A46" s="398" t="str">
        <f>IF(B46="","",CONCATENATE("GBL",B46," - ",Mantenedor!E46))</f>
        <v/>
      </c>
      <c r="J46" s="318"/>
      <c r="K46" s="312"/>
      <c r="M46" s="315"/>
      <c r="P46" s="398" t="str">
        <f t="shared" si="0"/>
        <v/>
      </c>
      <c r="Q46" s="401" t="str" cm="1">
        <f t="array" ref="Q46">+_xlfn.IFS(O46="Nacional","CLP",O46="Extranjero","USD",O46="","")</f>
        <v/>
      </c>
      <c r="R46" s="399" t="str">
        <f>IFERROR(IF(O46="Nacional",VLOOKUP(P46,PRICING!$D$4:$E$59,2,FALSE),VLOOKUP(P46,PRICING!$J$4:$K$59,2,FALSE)),"")</f>
        <v/>
      </c>
      <c r="S46"/>
      <c r="V46" s="399">
        <f t="shared" si="1"/>
        <v>0</v>
      </c>
      <c r="W46" s="400">
        <f t="shared" si="2"/>
        <v>0</v>
      </c>
      <c r="X46" s="393" t="str">
        <f t="shared" si="3"/>
        <v/>
      </c>
      <c r="Y46" s="393" t="str">
        <f t="shared" si="4"/>
        <v/>
      </c>
      <c r="Z46" s="393" t="str">
        <f t="shared" si="5"/>
        <v/>
      </c>
      <c r="AA46" s="393" t="str">
        <f t="shared" si="6"/>
        <v/>
      </c>
      <c r="AB46" s="393" t="str">
        <f t="shared" si="7"/>
        <v/>
      </c>
      <c r="AC46" s="393" t="str">
        <f t="shared" si="8"/>
        <v/>
      </c>
      <c r="AD46" s="398" t="str">
        <f t="shared" si="9"/>
        <v/>
      </c>
      <c r="AF46" s="396" t="str">
        <f t="shared" si="10"/>
        <v/>
      </c>
      <c r="AH46" s="393" t="str">
        <f t="shared" si="11"/>
        <v/>
      </c>
      <c r="AI46" s="393" t="str">
        <f t="shared" si="12"/>
        <v/>
      </c>
      <c r="AJ46" s="393" t="str">
        <f t="shared" si="25"/>
        <v/>
      </c>
      <c r="AK46" s="393" t="str">
        <f t="shared" si="13"/>
        <v/>
      </c>
      <c r="AL46" s="398" t="str">
        <f t="shared" si="14"/>
        <v/>
      </c>
      <c r="AN46" s="396" t="str">
        <f t="shared" si="15"/>
        <v/>
      </c>
      <c r="AQ46" s="395"/>
      <c r="AR46" s="395"/>
    </row>
    <row r="47" spans="1:44" x14ac:dyDescent="0.2">
      <c r="A47" s="398" t="str">
        <f>IF(B47="","",CONCATENATE("GBL",B47," - ",Mantenedor!E47))</f>
        <v/>
      </c>
      <c r="J47" s="318"/>
      <c r="K47" s="312"/>
      <c r="M47" s="315"/>
      <c r="P47" s="398" t="str">
        <f t="shared" si="0"/>
        <v/>
      </c>
      <c r="Q47" s="401" t="str" cm="1">
        <f t="array" ref="Q47">+_xlfn.IFS(O47="Nacional","CLP",O47="Extranjero","USD",O47="","")</f>
        <v/>
      </c>
      <c r="R47" s="399" t="str">
        <f>IFERROR(IF(O47="Nacional",VLOOKUP(P47,PRICING!$D$4:$E$59,2,FALSE),VLOOKUP(P47,PRICING!$J$4:$K$59,2,FALSE)),"")</f>
        <v/>
      </c>
      <c r="S47"/>
      <c r="V47" s="399">
        <f t="shared" si="1"/>
        <v>0</v>
      </c>
      <c r="W47" s="400">
        <f t="shared" si="2"/>
        <v>0</v>
      </c>
      <c r="X47" s="393" t="str">
        <f t="shared" si="3"/>
        <v/>
      </c>
      <c r="Y47" s="393" t="str">
        <f t="shared" si="4"/>
        <v/>
      </c>
      <c r="Z47" s="393" t="str">
        <f t="shared" si="5"/>
        <v/>
      </c>
      <c r="AA47" s="393" t="str">
        <f t="shared" si="6"/>
        <v/>
      </c>
      <c r="AB47" s="393" t="str">
        <f t="shared" si="7"/>
        <v/>
      </c>
      <c r="AC47" s="393" t="str">
        <f t="shared" si="8"/>
        <v/>
      </c>
      <c r="AD47" s="398" t="str">
        <f t="shared" si="9"/>
        <v/>
      </c>
      <c r="AF47" s="396" t="str">
        <f t="shared" si="10"/>
        <v/>
      </c>
      <c r="AH47" s="393" t="str">
        <f t="shared" si="11"/>
        <v/>
      </c>
      <c r="AI47" s="393" t="str">
        <f t="shared" si="12"/>
        <v/>
      </c>
      <c r="AJ47" s="393" t="str">
        <f t="shared" si="25"/>
        <v/>
      </c>
      <c r="AK47" s="393" t="str">
        <f t="shared" si="13"/>
        <v/>
      </c>
      <c r="AL47" s="398" t="str">
        <f t="shared" si="14"/>
        <v/>
      </c>
      <c r="AN47" s="396" t="str">
        <f t="shared" si="15"/>
        <v/>
      </c>
      <c r="AQ47" s="395"/>
      <c r="AR47" s="395"/>
    </row>
    <row r="48" spans="1:44" x14ac:dyDescent="0.2">
      <c r="A48" s="398" t="str">
        <f>IF(B48="","",CONCATENATE("GBL",B48," - ",Mantenedor!E48))</f>
        <v/>
      </c>
      <c r="J48" s="318"/>
      <c r="K48" s="312"/>
      <c r="M48" s="315"/>
      <c r="P48" s="398" t="str">
        <f t="shared" si="0"/>
        <v/>
      </c>
      <c r="Q48" s="401" t="str" cm="1">
        <f t="array" ref="Q48">+_xlfn.IFS(O48="Nacional","CLP",O48="Extranjero","USD",O48="","")</f>
        <v/>
      </c>
      <c r="R48" s="399" t="str">
        <f>IFERROR(IF(O48="Nacional",VLOOKUP(P48,PRICING!$D$4:$E$59,2,FALSE),VLOOKUP(P48,PRICING!$J$4:$K$59,2,FALSE)),"")</f>
        <v/>
      </c>
      <c r="S48"/>
      <c r="V48" s="399">
        <f t="shared" si="1"/>
        <v>0</v>
      </c>
      <c r="W48" s="400">
        <f t="shared" si="2"/>
        <v>0</v>
      </c>
      <c r="X48" s="393" t="str">
        <f t="shared" si="3"/>
        <v/>
      </c>
      <c r="Y48" s="393" t="str">
        <f t="shared" si="4"/>
        <v/>
      </c>
      <c r="Z48" s="393" t="str">
        <f t="shared" si="5"/>
        <v/>
      </c>
      <c r="AA48" s="393" t="str">
        <f t="shared" si="6"/>
        <v/>
      </c>
      <c r="AB48" s="393" t="str">
        <f t="shared" si="7"/>
        <v/>
      </c>
      <c r="AC48" s="393" t="str">
        <f t="shared" si="8"/>
        <v/>
      </c>
      <c r="AD48" s="398" t="str">
        <f t="shared" si="9"/>
        <v/>
      </c>
      <c r="AF48" s="396" t="str">
        <f t="shared" si="10"/>
        <v/>
      </c>
      <c r="AH48" s="393" t="str">
        <f t="shared" si="11"/>
        <v/>
      </c>
      <c r="AI48" s="393" t="str">
        <f t="shared" si="12"/>
        <v/>
      </c>
      <c r="AJ48" s="393" t="str">
        <f t="shared" si="25"/>
        <v/>
      </c>
      <c r="AK48" s="393" t="str">
        <f t="shared" si="13"/>
        <v/>
      </c>
      <c r="AL48" s="398" t="str">
        <f t="shared" si="14"/>
        <v/>
      </c>
      <c r="AN48" s="396" t="str">
        <f t="shared" si="15"/>
        <v/>
      </c>
      <c r="AQ48" s="395"/>
      <c r="AR48" s="395"/>
    </row>
    <row r="49" spans="1:44" x14ac:dyDescent="0.2">
      <c r="A49" s="398" t="str">
        <f>IF(B49="","",CONCATENATE("GBL",B49," - ",Mantenedor!E49))</f>
        <v/>
      </c>
      <c r="J49" s="318"/>
      <c r="K49" s="312"/>
      <c r="M49" s="315"/>
      <c r="P49" s="398" t="str">
        <f t="shared" si="0"/>
        <v/>
      </c>
      <c r="Q49" s="401" t="str" cm="1">
        <f t="array" ref="Q49">+_xlfn.IFS(O49="Nacional","CLP",O49="Extranjero","USD",O49="","")</f>
        <v/>
      </c>
      <c r="R49" s="399" t="str">
        <f>IFERROR(IF(O49="Nacional",VLOOKUP(P49,PRICING!$D$4:$E$59,2,FALSE),VLOOKUP(P49,PRICING!$J$4:$K$59,2,FALSE)),"")</f>
        <v/>
      </c>
      <c r="S49"/>
      <c r="V49" s="399">
        <f t="shared" si="1"/>
        <v>0</v>
      </c>
      <c r="W49" s="400">
        <f t="shared" si="2"/>
        <v>0</v>
      </c>
      <c r="X49" s="393" t="str">
        <f t="shared" si="3"/>
        <v/>
      </c>
      <c r="Y49" s="393" t="str">
        <f t="shared" si="4"/>
        <v/>
      </c>
      <c r="Z49" s="393" t="str">
        <f t="shared" si="5"/>
        <v/>
      </c>
      <c r="AA49" s="393" t="str">
        <f t="shared" si="6"/>
        <v/>
      </c>
      <c r="AB49" s="393" t="str">
        <f t="shared" si="7"/>
        <v/>
      </c>
      <c r="AC49" s="393" t="str">
        <f t="shared" si="8"/>
        <v/>
      </c>
      <c r="AD49" s="398" t="str">
        <f t="shared" si="9"/>
        <v/>
      </c>
      <c r="AF49" s="396" t="str">
        <f t="shared" si="10"/>
        <v/>
      </c>
      <c r="AH49" s="393" t="str">
        <f t="shared" si="11"/>
        <v/>
      </c>
      <c r="AI49" s="393" t="str">
        <f t="shared" si="12"/>
        <v/>
      </c>
      <c r="AJ49" s="393" t="str">
        <f t="shared" si="25"/>
        <v/>
      </c>
      <c r="AK49" s="393" t="str">
        <f t="shared" si="13"/>
        <v/>
      </c>
      <c r="AL49" s="398" t="str">
        <f t="shared" si="14"/>
        <v/>
      </c>
      <c r="AN49" s="396" t="str">
        <f t="shared" si="15"/>
        <v/>
      </c>
      <c r="AQ49" s="395"/>
      <c r="AR49" s="395"/>
    </row>
    <row r="50" spans="1:44" x14ac:dyDescent="0.2">
      <c r="A50" s="398" t="str">
        <f>IF(B50="","",CONCATENATE("GBL",B50," - ",Mantenedor!E50))</f>
        <v/>
      </c>
      <c r="J50" s="318"/>
      <c r="K50" s="312"/>
      <c r="M50" s="315"/>
      <c r="P50" s="398" t="str">
        <f t="shared" si="0"/>
        <v/>
      </c>
      <c r="Q50" s="401" t="str" cm="1">
        <f t="array" ref="Q50">+_xlfn.IFS(O50="Nacional","CLP",O50="Extranjero","USD",O50="","")</f>
        <v/>
      </c>
      <c r="R50" s="399" t="str">
        <f>IFERROR(IF(O50="Nacional",VLOOKUP(P50,PRICING!$D$4:$E$59,2,FALSE),VLOOKUP(P50,PRICING!$J$4:$K$59,2,FALSE)),"")</f>
        <v/>
      </c>
      <c r="S50"/>
      <c r="V50" s="399">
        <f t="shared" si="1"/>
        <v>0</v>
      </c>
      <c r="W50" s="400">
        <f t="shared" si="2"/>
        <v>0</v>
      </c>
      <c r="X50" s="393" t="str">
        <f t="shared" si="3"/>
        <v/>
      </c>
      <c r="Y50" s="393" t="str">
        <f t="shared" si="4"/>
        <v/>
      </c>
      <c r="Z50" s="393" t="str">
        <f t="shared" si="5"/>
        <v/>
      </c>
      <c r="AA50" s="393" t="str">
        <f t="shared" si="6"/>
        <v/>
      </c>
      <c r="AB50" s="393" t="str">
        <f t="shared" si="7"/>
        <v/>
      </c>
      <c r="AC50" s="393" t="str">
        <f t="shared" si="8"/>
        <v/>
      </c>
      <c r="AD50" s="398" t="str">
        <f t="shared" si="9"/>
        <v/>
      </c>
      <c r="AF50" s="396" t="str">
        <f t="shared" si="10"/>
        <v/>
      </c>
      <c r="AH50" s="393" t="str">
        <f t="shared" si="11"/>
        <v/>
      </c>
      <c r="AI50" s="393" t="str">
        <f t="shared" si="12"/>
        <v/>
      </c>
      <c r="AJ50" s="393" t="str">
        <f t="shared" si="25"/>
        <v/>
      </c>
      <c r="AK50" s="393" t="str">
        <f t="shared" si="13"/>
        <v/>
      </c>
      <c r="AL50" s="398" t="str">
        <f t="shared" si="14"/>
        <v/>
      </c>
      <c r="AN50" s="396" t="str">
        <f t="shared" si="15"/>
        <v/>
      </c>
      <c r="AQ50" s="395"/>
      <c r="AR50" s="395"/>
    </row>
    <row r="51" spans="1:44" x14ac:dyDescent="0.2">
      <c r="A51" s="398" t="str">
        <f>IF(B51="","",CONCATENATE("GBL",B51," - ",Mantenedor!E51))</f>
        <v/>
      </c>
      <c r="J51" s="318"/>
      <c r="K51" s="312"/>
      <c r="M51" s="315"/>
      <c r="P51" s="398" t="str">
        <f t="shared" si="0"/>
        <v/>
      </c>
      <c r="Q51" s="401" t="str" cm="1">
        <f t="array" ref="Q51">+_xlfn.IFS(O51="Nacional","CLP",O51="Extranjero","USD",O51="","")</f>
        <v/>
      </c>
      <c r="R51" s="399" t="str">
        <f>IFERROR(IF(O51="Nacional",VLOOKUP(P51,PRICING!$D$4:$E$59,2,FALSE),VLOOKUP(P51,PRICING!$J$4:$K$59,2,FALSE)),"")</f>
        <v/>
      </c>
      <c r="S51"/>
      <c r="V51" s="399">
        <f t="shared" si="1"/>
        <v>0</v>
      </c>
      <c r="W51" s="400">
        <f t="shared" si="2"/>
        <v>0</v>
      </c>
      <c r="X51" s="393" t="str">
        <f t="shared" si="3"/>
        <v/>
      </c>
      <c r="Y51" s="393" t="str">
        <f t="shared" si="4"/>
        <v/>
      </c>
      <c r="Z51" s="393" t="str">
        <f t="shared" si="5"/>
        <v/>
      </c>
      <c r="AA51" s="393" t="str">
        <f t="shared" si="6"/>
        <v/>
      </c>
      <c r="AB51" s="393" t="str">
        <f t="shared" si="7"/>
        <v/>
      </c>
      <c r="AC51" s="393" t="str">
        <f t="shared" si="8"/>
        <v/>
      </c>
      <c r="AD51" s="398" t="str">
        <f t="shared" si="9"/>
        <v/>
      </c>
      <c r="AF51" s="396" t="str">
        <f t="shared" si="10"/>
        <v/>
      </c>
      <c r="AH51" s="393" t="str">
        <f t="shared" si="11"/>
        <v/>
      </c>
      <c r="AI51" s="393" t="str">
        <f t="shared" si="12"/>
        <v/>
      </c>
      <c r="AJ51" s="393" t="str">
        <f t="shared" si="25"/>
        <v/>
      </c>
      <c r="AK51" s="393" t="str">
        <f t="shared" si="13"/>
        <v/>
      </c>
      <c r="AL51" s="398" t="str">
        <f t="shared" si="14"/>
        <v/>
      </c>
      <c r="AN51" s="396" t="str">
        <f t="shared" si="15"/>
        <v/>
      </c>
      <c r="AQ51" s="395"/>
      <c r="AR51" s="395"/>
    </row>
    <row r="52" spans="1:44" x14ac:dyDescent="0.2">
      <c r="A52" s="398" t="str">
        <f>IF(B52="","",CONCATENATE("GBL",B52," - ",Mantenedor!E52))</f>
        <v/>
      </c>
      <c r="J52" s="318"/>
      <c r="K52" s="312"/>
      <c r="M52" s="315"/>
      <c r="P52" s="398" t="str">
        <f t="shared" si="0"/>
        <v/>
      </c>
      <c r="Q52" s="401" t="str" cm="1">
        <f t="array" ref="Q52">+_xlfn.IFS(O52="Nacional","CLP",O52="Extranjero","USD",O52="","")</f>
        <v/>
      </c>
      <c r="R52" s="399" t="str">
        <f>IFERROR(IF(O52="Nacional",VLOOKUP(P52,PRICING!$D$4:$E$59,2,FALSE),VLOOKUP(P52,PRICING!$J$4:$K$59,2,FALSE)),"")</f>
        <v/>
      </c>
      <c r="S52"/>
      <c r="V52" s="399">
        <f t="shared" si="1"/>
        <v>0</v>
      </c>
      <c r="W52" s="400">
        <f t="shared" si="2"/>
        <v>0</v>
      </c>
      <c r="X52" s="393" t="str">
        <f t="shared" si="3"/>
        <v/>
      </c>
      <c r="Y52" s="393" t="str">
        <f t="shared" si="4"/>
        <v/>
      </c>
      <c r="Z52" s="393" t="str">
        <f t="shared" si="5"/>
        <v/>
      </c>
      <c r="AA52" s="393" t="str">
        <f t="shared" si="6"/>
        <v/>
      </c>
      <c r="AB52" s="393" t="str">
        <f t="shared" si="7"/>
        <v/>
      </c>
      <c r="AC52" s="393" t="str">
        <f t="shared" si="8"/>
        <v/>
      </c>
      <c r="AD52" s="398" t="str">
        <f t="shared" si="9"/>
        <v/>
      </c>
      <c r="AF52" s="396" t="str">
        <f t="shared" si="10"/>
        <v/>
      </c>
      <c r="AH52" s="393" t="str">
        <f t="shared" si="11"/>
        <v/>
      </c>
      <c r="AI52" s="393" t="str">
        <f t="shared" si="12"/>
        <v/>
      </c>
      <c r="AJ52" s="393" t="str">
        <f t="shared" si="25"/>
        <v/>
      </c>
      <c r="AK52" s="393" t="str">
        <f t="shared" si="13"/>
        <v/>
      </c>
      <c r="AL52" s="398" t="str">
        <f t="shared" si="14"/>
        <v/>
      </c>
      <c r="AN52" s="396" t="str">
        <f t="shared" si="15"/>
        <v/>
      </c>
      <c r="AQ52" s="395"/>
      <c r="AR52" s="395"/>
    </row>
    <row r="53" spans="1:44" x14ac:dyDescent="0.2">
      <c r="A53" s="398" t="str">
        <f>IF(B53="","",CONCATENATE("GBL",B53," - ",Mantenedor!E53))</f>
        <v/>
      </c>
      <c r="J53" s="318"/>
      <c r="K53" s="312"/>
      <c r="M53" s="315"/>
      <c r="P53" s="398" t="str">
        <f t="shared" si="0"/>
        <v/>
      </c>
      <c r="Q53" s="401" t="str" cm="1">
        <f t="array" ref="Q53">+_xlfn.IFS(O53="Nacional","CLP",O53="Extranjero","USD",O53="","")</f>
        <v/>
      </c>
      <c r="R53" s="399" t="str">
        <f>IFERROR(IF(O53="Nacional",VLOOKUP(P53,PRICING!$D$4:$E$59,2,FALSE),VLOOKUP(P53,PRICING!$J$4:$K$59,2,FALSE)),"")</f>
        <v/>
      </c>
      <c r="S53"/>
      <c r="V53" s="399">
        <f t="shared" si="1"/>
        <v>0</v>
      </c>
      <c r="W53" s="400">
        <f t="shared" si="2"/>
        <v>0</v>
      </c>
      <c r="X53" s="393" t="str">
        <f t="shared" si="3"/>
        <v/>
      </c>
      <c r="Y53" s="393" t="str">
        <f t="shared" si="4"/>
        <v/>
      </c>
      <c r="Z53" s="393" t="str">
        <f t="shared" si="5"/>
        <v/>
      </c>
      <c r="AA53" s="393" t="str">
        <f t="shared" si="6"/>
        <v/>
      </c>
      <c r="AB53" s="393" t="str">
        <f t="shared" si="7"/>
        <v/>
      </c>
      <c r="AC53" s="393" t="str">
        <f t="shared" si="8"/>
        <v/>
      </c>
      <c r="AD53" s="398" t="str">
        <f t="shared" si="9"/>
        <v/>
      </c>
      <c r="AF53" s="396" t="str">
        <f t="shared" si="10"/>
        <v/>
      </c>
      <c r="AH53" s="393" t="str">
        <f t="shared" si="11"/>
        <v/>
      </c>
      <c r="AI53" s="393" t="str">
        <f t="shared" si="12"/>
        <v/>
      </c>
      <c r="AJ53" s="393" t="str">
        <f t="shared" si="25"/>
        <v/>
      </c>
      <c r="AK53" s="393" t="str">
        <f t="shared" si="13"/>
        <v/>
      </c>
      <c r="AL53" s="398" t="str">
        <f t="shared" si="14"/>
        <v/>
      </c>
      <c r="AN53" s="396" t="str">
        <f t="shared" si="15"/>
        <v/>
      </c>
      <c r="AQ53" s="395"/>
      <c r="AR53" s="395"/>
    </row>
    <row r="54" spans="1:44" x14ac:dyDescent="0.2">
      <c r="A54" s="398" t="str">
        <f>IF(B54="","",CONCATENATE("GBL",B54," - ",Mantenedor!E54))</f>
        <v/>
      </c>
      <c r="J54" s="318"/>
      <c r="K54" s="312"/>
      <c r="M54" s="315"/>
      <c r="P54" s="398" t="str">
        <f t="shared" si="0"/>
        <v/>
      </c>
      <c r="Q54" s="401" t="str" cm="1">
        <f t="array" ref="Q54">+_xlfn.IFS(O54="Nacional","CLP",O54="Extranjero","USD",O54="","")</f>
        <v/>
      </c>
      <c r="R54" s="399" t="str">
        <f>IFERROR(IF(O54="Nacional",VLOOKUP(P54,PRICING!$D$4:$E$59,2,FALSE),VLOOKUP(P54,PRICING!$J$4:$K$59,2,FALSE)),"")</f>
        <v/>
      </c>
      <c r="S54"/>
      <c r="V54" s="399">
        <f t="shared" si="1"/>
        <v>0</v>
      </c>
      <c r="W54" s="400">
        <f t="shared" si="2"/>
        <v>0</v>
      </c>
      <c r="X54" s="393" t="str">
        <f t="shared" si="3"/>
        <v/>
      </c>
      <c r="Y54" s="393" t="str">
        <f t="shared" si="4"/>
        <v/>
      </c>
      <c r="Z54" s="393" t="str">
        <f t="shared" si="5"/>
        <v/>
      </c>
      <c r="AA54" s="393" t="str">
        <f t="shared" si="6"/>
        <v/>
      </c>
      <c r="AB54" s="393" t="str">
        <f t="shared" si="7"/>
        <v/>
      </c>
      <c r="AC54" s="393" t="str">
        <f t="shared" si="8"/>
        <v/>
      </c>
      <c r="AD54" s="398" t="str">
        <f t="shared" si="9"/>
        <v/>
      </c>
      <c r="AF54" s="396" t="str">
        <f t="shared" si="10"/>
        <v/>
      </c>
      <c r="AH54" s="393" t="str">
        <f t="shared" si="11"/>
        <v/>
      </c>
      <c r="AI54" s="393" t="str">
        <f t="shared" si="12"/>
        <v/>
      </c>
      <c r="AJ54" s="393" t="str">
        <f t="shared" si="25"/>
        <v/>
      </c>
      <c r="AK54" s="393" t="str">
        <f t="shared" si="13"/>
        <v/>
      </c>
      <c r="AL54" s="398" t="str">
        <f t="shared" si="14"/>
        <v/>
      </c>
      <c r="AN54" s="396" t="str">
        <f t="shared" si="15"/>
        <v/>
      </c>
      <c r="AQ54" s="395"/>
      <c r="AR54" s="395"/>
    </row>
    <row r="55" spans="1:44" x14ac:dyDescent="0.2">
      <c r="A55" s="398" t="str">
        <f>IF(B55="","",CONCATENATE("GBL",B55," - ",Mantenedor!E55))</f>
        <v/>
      </c>
      <c r="J55" s="318"/>
      <c r="K55" s="312"/>
      <c r="M55" s="315"/>
      <c r="P55" s="398" t="str">
        <f t="shared" si="0"/>
        <v/>
      </c>
      <c r="Q55" s="401" t="str" cm="1">
        <f t="array" ref="Q55">+_xlfn.IFS(O55="Nacional","CLP",O55="Extranjero","USD",O55="","")</f>
        <v/>
      </c>
      <c r="R55" s="399" t="str">
        <f>IFERROR(IF(O55="Nacional",VLOOKUP(P55,PRICING!$D$4:$E$59,2,FALSE),VLOOKUP(P55,PRICING!$J$4:$K$59,2,FALSE)),"")</f>
        <v/>
      </c>
      <c r="S55"/>
      <c r="V55" s="399">
        <f t="shared" si="1"/>
        <v>0</v>
      </c>
      <c r="W55" s="400">
        <f t="shared" si="2"/>
        <v>0</v>
      </c>
      <c r="X55" s="393" t="str">
        <f t="shared" si="3"/>
        <v/>
      </c>
      <c r="Y55" s="393" t="str">
        <f t="shared" si="4"/>
        <v/>
      </c>
      <c r="Z55" s="393" t="str">
        <f t="shared" si="5"/>
        <v/>
      </c>
      <c r="AA55" s="393" t="str">
        <f t="shared" si="6"/>
        <v/>
      </c>
      <c r="AB55" s="393" t="str">
        <f t="shared" si="7"/>
        <v/>
      </c>
      <c r="AC55" s="393" t="str">
        <f t="shared" si="8"/>
        <v/>
      </c>
      <c r="AD55" s="398" t="str">
        <f t="shared" si="9"/>
        <v/>
      </c>
      <c r="AF55" s="396" t="str">
        <f t="shared" si="10"/>
        <v/>
      </c>
      <c r="AH55" s="393" t="str">
        <f t="shared" si="11"/>
        <v/>
      </c>
      <c r="AI55" s="393" t="str">
        <f t="shared" si="12"/>
        <v/>
      </c>
      <c r="AJ55" s="393" t="str">
        <f t="shared" si="25"/>
        <v/>
      </c>
      <c r="AK55" s="393" t="str">
        <f t="shared" si="13"/>
        <v/>
      </c>
      <c r="AL55" s="398" t="str">
        <f t="shared" si="14"/>
        <v/>
      </c>
      <c r="AN55" s="396" t="str">
        <f t="shared" si="15"/>
        <v/>
      </c>
      <c r="AQ55" s="395"/>
      <c r="AR55" s="395"/>
    </row>
    <row r="56" spans="1:44" x14ac:dyDescent="0.2">
      <c r="A56" s="398" t="str">
        <f>IF(B56="","",CONCATENATE("GBL",B56," - ",Mantenedor!E56))</f>
        <v/>
      </c>
      <c r="J56" s="318"/>
      <c r="K56" s="312"/>
      <c r="M56" s="315"/>
      <c r="P56" s="398" t="str">
        <f t="shared" si="0"/>
        <v/>
      </c>
      <c r="Q56" s="401" t="str" cm="1">
        <f t="array" ref="Q56">+_xlfn.IFS(O56="Nacional","CLP",O56="Extranjero","USD",O56="","")</f>
        <v/>
      </c>
      <c r="R56" s="399" t="str">
        <f>IFERROR(IF(O56="Nacional",VLOOKUP(P56,PRICING!$D$4:$E$59,2,FALSE),VLOOKUP(P56,PRICING!$J$4:$K$59,2,FALSE)),"")</f>
        <v/>
      </c>
      <c r="S56"/>
      <c r="V56" s="399">
        <f t="shared" si="1"/>
        <v>0</v>
      </c>
      <c r="W56" s="400">
        <f t="shared" si="2"/>
        <v>0</v>
      </c>
      <c r="X56" s="393" t="str">
        <f t="shared" si="3"/>
        <v/>
      </c>
      <c r="Y56" s="393" t="str">
        <f t="shared" si="4"/>
        <v/>
      </c>
      <c r="Z56" s="393" t="str">
        <f t="shared" si="5"/>
        <v/>
      </c>
      <c r="AA56" s="393" t="str">
        <f t="shared" si="6"/>
        <v/>
      </c>
      <c r="AB56" s="393" t="str">
        <f t="shared" si="7"/>
        <v/>
      </c>
      <c r="AC56" s="393" t="str">
        <f t="shared" si="8"/>
        <v/>
      </c>
      <c r="AD56" s="398" t="str">
        <f t="shared" si="9"/>
        <v/>
      </c>
      <c r="AF56" s="396" t="str">
        <f t="shared" si="10"/>
        <v/>
      </c>
      <c r="AH56" s="393" t="str">
        <f t="shared" si="11"/>
        <v/>
      </c>
      <c r="AI56" s="393" t="str">
        <f t="shared" si="12"/>
        <v/>
      </c>
      <c r="AJ56" s="393" t="str">
        <f t="shared" si="25"/>
        <v/>
      </c>
      <c r="AK56" s="393" t="str">
        <f t="shared" si="13"/>
        <v/>
      </c>
      <c r="AL56" s="398" t="str">
        <f t="shared" si="14"/>
        <v/>
      </c>
      <c r="AN56" s="396" t="str">
        <f t="shared" si="15"/>
        <v/>
      </c>
      <c r="AQ56" s="395"/>
      <c r="AR56" s="395"/>
    </row>
    <row r="57" spans="1:44" x14ac:dyDescent="0.2">
      <c r="A57" s="398" t="str">
        <f>IF(B57="","",CONCATENATE("GBL",B57," - ",Mantenedor!E57))</f>
        <v/>
      </c>
      <c r="J57" s="318"/>
      <c r="K57" s="312"/>
      <c r="M57" s="315"/>
      <c r="P57" s="398" t="str">
        <f t="shared" si="0"/>
        <v/>
      </c>
      <c r="Q57" s="401" t="str" cm="1">
        <f t="array" ref="Q57">+_xlfn.IFS(O57="Nacional","CLP",O57="Extranjero","USD",O57="","")</f>
        <v/>
      </c>
      <c r="R57" s="399" t="str">
        <f>IFERROR(IF(O57="Nacional",VLOOKUP(P57,PRICING!$D$4:$E$59,2,FALSE),VLOOKUP(P57,PRICING!$J$4:$K$59,2,FALSE)),"")</f>
        <v/>
      </c>
      <c r="S57"/>
      <c r="V57" s="399">
        <f t="shared" si="1"/>
        <v>0</v>
      </c>
      <c r="W57" s="400">
        <f t="shared" si="2"/>
        <v>0</v>
      </c>
      <c r="X57" s="393" t="str">
        <f t="shared" si="3"/>
        <v/>
      </c>
      <c r="Y57" s="393" t="str">
        <f t="shared" si="4"/>
        <v/>
      </c>
      <c r="Z57" s="393" t="str">
        <f t="shared" si="5"/>
        <v/>
      </c>
      <c r="AA57" s="393" t="str">
        <f t="shared" si="6"/>
        <v/>
      </c>
      <c r="AB57" s="393" t="str">
        <f t="shared" si="7"/>
        <v/>
      </c>
      <c r="AC57" s="393" t="str">
        <f t="shared" si="8"/>
        <v/>
      </c>
      <c r="AD57" s="398" t="str">
        <f t="shared" si="9"/>
        <v/>
      </c>
      <c r="AF57" s="396" t="str">
        <f t="shared" si="10"/>
        <v/>
      </c>
      <c r="AH57" s="393" t="str">
        <f t="shared" si="11"/>
        <v/>
      </c>
      <c r="AI57" s="393" t="str">
        <f t="shared" si="12"/>
        <v/>
      </c>
      <c r="AJ57" s="393" t="str">
        <f t="shared" si="25"/>
        <v/>
      </c>
      <c r="AK57" s="393" t="str">
        <f t="shared" si="13"/>
        <v/>
      </c>
      <c r="AL57" s="398" t="str">
        <f t="shared" si="14"/>
        <v/>
      </c>
      <c r="AN57" s="396" t="str">
        <f t="shared" si="15"/>
        <v/>
      </c>
      <c r="AQ57" s="395"/>
      <c r="AR57" s="395"/>
    </row>
    <row r="58" spans="1:44" x14ac:dyDescent="0.2">
      <c r="A58" s="398" t="str">
        <f>IF(B58="","",CONCATENATE("GBL",B58," - ",Mantenedor!E58))</f>
        <v/>
      </c>
      <c r="J58" s="318"/>
      <c r="K58" s="312"/>
      <c r="M58" s="315"/>
      <c r="P58" s="398" t="str">
        <f t="shared" si="0"/>
        <v/>
      </c>
      <c r="Q58" s="401" t="str" cm="1">
        <f t="array" ref="Q58">+_xlfn.IFS(O58="Nacional","CLP",O58="Extranjero","USD",O58="","")</f>
        <v/>
      </c>
      <c r="R58" s="399" t="str">
        <f>IFERROR(IF(O58="Nacional",VLOOKUP(P58,PRICING!$D$4:$E$59,2,FALSE),VLOOKUP(P58,PRICING!$J$4:$K$59,2,FALSE)),"")</f>
        <v/>
      </c>
      <c r="S58"/>
      <c r="V58" s="399">
        <f t="shared" si="1"/>
        <v>0</v>
      </c>
      <c r="W58" s="400">
        <f t="shared" si="2"/>
        <v>0</v>
      </c>
      <c r="X58" s="393" t="str">
        <f t="shared" si="3"/>
        <v/>
      </c>
      <c r="Y58" s="393" t="str">
        <f t="shared" si="4"/>
        <v/>
      </c>
      <c r="Z58" s="393" t="str">
        <f t="shared" si="5"/>
        <v/>
      </c>
      <c r="AA58" s="393" t="str">
        <f t="shared" si="6"/>
        <v/>
      </c>
      <c r="AB58" s="393" t="str">
        <f t="shared" si="7"/>
        <v/>
      </c>
      <c r="AC58" s="393" t="str">
        <f t="shared" si="8"/>
        <v/>
      </c>
      <c r="AD58" s="398" t="str">
        <f t="shared" si="9"/>
        <v/>
      </c>
      <c r="AF58" s="396" t="str">
        <f t="shared" si="10"/>
        <v/>
      </c>
      <c r="AH58" s="393" t="str">
        <f t="shared" si="11"/>
        <v/>
      </c>
      <c r="AI58" s="393" t="str">
        <f t="shared" si="12"/>
        <v/>
      </c>
      <c r="AJ58" s="393" t="str">
        <f t="shared" si="25"/>
        <v/>
      </c>
      <c r="AK58" s="393" t="str">
        <f t="shared" si="13"/>
        <v/>
      </c>
      <c r="AL58" s="398" t="str">
        <f t="shared" si="14"/>
        <v/>
      </c>
      <c r="AN58" s="396" t="str">
        <f t="shared" si="15"/>
        <v/>
      </c>
      <c r="AQ58" s="395"/>
      <c r="AR58" s="395"/>
    </row>
    <row r="59" spans="1:44" x14ac:dyDescent="0.2">
      <c r="A59" s="398" t="str">
        <f>IF(B59="","",CONCATENATE("GBL",B59," - ",Mantenedor!E59))</f>
        <v/>
      </c>
      <c r="J59" s="318"/>
      <c r="K59" s="312"/>
      <c r="M59" s="315"/>
      <c r="P59" s="398" t="str">
        <f t="shared" si="0"/>
        <v/>
      </c>
      <c r="Q59" s="401" t="str" cm="1">
        <f t="array" ref="Q59">+_xlfn.IFS(O59="Nacional","CLP",O59="Extranjero","USD",O59="","")</f>
        <v/>
      </c>
      <c r="R59" s="399" t="str">
        <f>IFERROR(IF(O59="Nacional",VLOOKUP(P59,PRICING!$D$4:$E$59,2,FALSE),VLOOKUP(P59,PRICING!$J$4:$K$59,2,FALSE)),"")</f>
        <v/>
      </c>
      <c r="S59"/>
      <c r="V59" s="399">
        <f t="shared" si="1"/>
        <v>0</v>
      </c>
      <c r="W59" s="400">
        <f t="shared" si="2"/>
        <v>0</v>
      </c>
      <c r="X59" s="393" t="str">
        <f t="shared" si="3"/>
        <v/>
      </c>
      <c r="Y59" s="393" t="str">
        <f t="shared" si="4"/>
        <v/>
      </c>
      <c r="Z59" s="393" t="str">
        <f t="shared" si="5"/>
        <v/>
      </c>
      <c r="AA59" s="393" t="str">
        <f t="shared" si="6"/>
        <v/>
      </c>
      <c r="AB59" s="393" t="str">
        <f t="shared" si="7"/>
        <v/>
      </c>
      <c r="AC59" s="393" t="str">
        <f t="shared" si="8"/>
        <v/>
      </c>
      <c r="AD59" s="398" t="str">
        <f t="shared" si="9"/>
        <v/>
      </c>
      <c r="AF59" s="396" t="str">
        <f t="shared" si="10"/>
        <v/>
      </c>
      <c r="AH59" s="393" t="str">
        <f t="shared" si="11"/>
        <v/>
      </c>
      <c r="AI59" s="393" t="str">
        <f t="shared" si="12"/>
        <v/>
      </c>
      <c r="AJ59" s="393" t="str">
        <f t="shared" si="25"/>
        <v/>
      </c>
      <c r="AK59" s="393" t="str">
        <f t="shared" si="13"/>
        <v/>
      </c>
      <c r="AL59" s="398" t="str">
        <f t="shared" si="14"/>
        <v/>
      </c>
      <c r="AN59" s="396" t="str">
        <f t="shared" si="15"/>
        <v/>
      </c>
      <c r="AQ59" s="395"/>
      <c r="AR59" s="395"/>
    </row>
    <row r="60" spans="1:44" x14ac:dyDescent="0.2">
      <c r="A60" s="398" t="str">
        <f>IF(B60="","",CONCATENATE("GBL",B60," - ",Mantenedor!E60))</f>
        <v/>
      </c>
      <c r="J60" s="318"/>
      <c r="K60" s="312"/>
      <c r="M60" s="315"/>
      <c r="P60" s="398" t="str">
        <f t="shared" si="0"/>
        <v/>
      </c>
      <c r="Q60" s="401" t="str" cm="1">
        <f t="array" ref="Q60">+_xlfn.IFS(O60="Nacional","CLP",O60="Extranjero","USD",O60="","")</f>
        <v/>
      </c>
      <c r="R60" s="399" t="str">
        <f>IFERROR(IF(O60="Nacional",VLOOKUP(P60,PRICING!$D$4:$E$59,2,FALSE),VLOOKUP(P60,PRICING!$J$4:$K$59,2,FALSE)),"")</f>
        <v/>
      </c>
      <c r="S60"/>
      <c r="V60" s="399">
        <f t="shared" si="1"/>
        <v>0</v>
      </c>
      <c r="W60" s="400">
        <f t="shared" si="2"/>
        <v>0</v>
      </c>
      <c r="X60" s="393" t="str">
        <f t="shared" si="3"/>
        <v/>
      </c>
      <c r="Y60" s="393" t="str">
        <f t="shared" si="4"/>
        <v/>
      </c>
      <c r="Z60" s="393" t="str">
        <f t="shared" si="5"/>
        <v/>
      </c>
      <c r="AA60" s="393" t="str">
        <f t="shared" si="6"/>
        <v/>
      </c>
      <c r="AB60" s="393" t="str">
        <f t="shared" si="7"/>
        <v/>
      </c>
      <c r="AC60" s="393" t="str">
        <f t="shared" si="8"/>
        <v/>
      </c>
      <c r="AD60" s="398" t="str">
        <f t="shared" si="9"/>
        <v/>
      </c>
      <c r="AF60" s="396" t="str">
        <f t="shared" si="10"/>
        <v/>
      </c>
      <c r="AH60" s="393" t="str">
        <f t="shared" si="11"/>
        <v/>
      </c>
      <c r="AI60" s="393" t="str">
        <f t="shared" si="12"/>
        <v/>
      </c>
      <c r="AJ60" s="393" t="str">
        <f t="shared" si="25"/>
        <v/>
      </c>
      <c r="AK60" s="393" t="str">
        <f t="shared" si="13"/>
        <v/>
      </c>
      <c r="AL60" s="398" t="str">
        <f t="shared" si="14"/>
        <v/>
      </c>
      <c r="AN60" s="396" t="str">
        <f t="shared" si="15"/>
        <v/>
      </c>
      <c r="AQ60" s="395"/>
      <c r="AR60" s="395"/>
    </row>
    <row r="61" spans="1:44" x14ac:dyDescent="0.2">
      <c r="A61" s="398" t="str">
        <f>IF(B61="","",CONCATENATE("GBL",B61," - ",Mantenedor!E61))</f>
        <v/>
      </c>
      <c r="J61" s="318"/>
      <c r="K61" s="312"/>
      <c r="M61" s="315"/>
      <c r="P61" s="398" t="str">
        <f t="shared" si="0"/>
        <v/>
      </c>
      <c r="Q61" s="401" t="str" cm="1">
        <f t="array" ref="Q61">+_xlfn.IFS(O61="Nacional","CLP",O61="Extranjero","USD",O61="","")</f>
        <v/>
      </c>
      <c r="R61" s="399" t="str">
        <f>IFERROR(IF(O61="Nacional",VLOOKUP(P61,PRICING!$D$4:$E$59,2,FALSE),VLOOKUP(P61,PRICING!$J$4:$K$59,2,FALSE)),"")</f>
        <v/>
      </c>
      <c r="S61"/>
      <c r="V61" s="399">
        <f t="shared" si="1"/>
        <v>0</v>
      </c>
      <c r="W61" s="400">
        <f t="shared" si="2"/>
        <v>0</v>
      </c>
      <c r="X61" s="393" t="str">
        <f t="shared" si="3"/>
        <v/>
      </c>
      <c r="Y61" s="393" t="str">
        <f t="shared" si="4"/>
        <v/>
      </c>
      <c r="Z61" s="393" t="str">
        <f t="shared" si="5"/>
        <v/>
      </c>
      <c r="AA61" s="393" t="str">
        <f t="shared" si="6"/>
        <v/>
      </c>
      <c r="AB61" s="393" t="str">
        <f t="shared" si="7"/>
        <v/>
      </c>
      <c r="AC61" s="393" t="str">
        <f t="shared" si="8"/>
        <v/>
      </c>
      <c r="AD61" s="398" t="str">
        <f t="shared" si="9"/>
        <v/>
      </c>
      <c r="AF61" s="396" t="str">
        <f t="shared" si="10"/>
        <v/>
      </c>
      <c r="AH61" s="393" t="str">
        <f t="shared" si="11"/>
        <v/>
      </c>
      <c r="AI61" s="393" t="str">
        <f t="shared" si="12"/>
        <v/>
      </c>
      <c r="AJ61" s="393" t="str">
        <f t="shared" si="25"/>
        <v/>
      </c>
      <c r="AK61" s="393" t="str">
        <f t="shared" si="13"/>
        <v/>
      </c>
      <c r="AL61" s="398" t="str">
        <f t="shared" si="14"/>
        <v/>
      </c>
      <c r="AN61" s="396" t="str">
        <f t="shared" si="15"/>
        <v/>
      </c>
      <c r="AQ61" s="395"/>
      <c r="AR61" s="395"/>
    </row>
    <row r="62" spans="1:44" x14ac:dyDescent="0.2">
      <c r="A62" s="398" t="str">
        <f>IF(B62="","",CONCATENATE("GBL",B62," - ",Mantenedor!E62))</f>
        <v/>
      </c>
      <c r="J62" s="318"/>
      <c r="K62" s="312"/>
      <c r="M62" s="315"/>
      <c r="P62" s="398" t="str">
        <f t="shared" si="0"/>
        <v/>
      </c>
      <c r="Q62" s="401" t="str" cm="1">
        <f t="array" ref="Q62">+_xlfn.IFS(O62="Nacional","CLP",O62="Extranjero","USD",O62="","")</f>
        <v/>
      </c>
      <c r="R62" s="399" t="str">
        <f>IFERROR(IF(O62="Nacional",VLOOKUP(P62,PRICING!$D$4:$E$59,2,FALSE),VLOOKUP(P62,PRICING!$J$4:$K$59,2,FALSE)),"")</f>
        <v/>
      </c>
      <c r="S62"/>
      <c r="V62" s="399">
        <f t="shared" si="1"/>
        <v>0</v>
      </c>
      <c r="W62" s="400">
        <f t="shared" si="2"/>
        <v>0</v>
      </c>
      <c r="X62" s="393" t="str">
        <f t="shared" si="3"/>
        <v/>
      </c>
      <c r="Y62" s="393" t="str">
        <f t="shared" si="4"/>
        <v/>
      </c>
      <c r="Z62" s="393" t="str">
        <f t="shared" si="5"/>
        <v/>
      </c>
      <c r="AA62" s="393" t="str">
        <f t="shared" si="6"/>
        <v/>
      </c>
      <c r="AB62" s="393" t="str">
        <f t="shared" si="7"/>
        <v/>
      </c>
      <c r="AC62" s="393" t="str">
        <f t="shared" si="8"/>
        <v/>
      </c>
      <c r="AD62" s="398" t="str">
        <f t="shared" si="9"/>
        <v/>
      </c>
      <c r="AF62" s="396" t="str">
        <f t="shared" si="10"/>
        <v/>
      </c>
      <c r="AH62" s="393" t="str">
        <f t="shared" si="11"/>
        <v/>
      </c>
      <c r="AI62" s="393" t="str">
        <f t="shared" si="12"/>
        <v/>
      </c>
      <c r="AJ62" s="393" t="str">
        <f t="shared" si="25"/>
        <v/>
      </c>
      <c r="AK62" s="393" t="str">
        <f t="shared" si="13"/>
        <v/>
      </c>
      <c r="AL62" s="398" t="str">
        <f t="shared" si="14"/>
        <v/>
      </c>
      <c r="AN62" s="396" t="str">
        <f t="shared" si="15"/>
        <v/>
      </c>
      <c r="AQ62" s="395"/>
      <c r="AR62" s="395"/>
    </row>
    <row r="63" spans="1:44" x14ac:dyDescent="0.2">
      <c r="A63" s="398" t="str">
        <f>IF(B63="","",CONCATENATE("GBL",B63," - ",Mantenedor!E63))</f>
        <v/>
      </c>
      <c r="J63" s="318"/>
      <c r="K63" s="312"/>
      <c r="M63" s="315"/>
      <c r="P63" s="398" t="str">
        <f t="shared" si="0"/>
        <v/>
      </c>
      <c r="Q63" s="401" t="str" cm="1">
        <f t="array" ref="Q63">+_xlfn.IFS(O63="Nacional","CLP",O63="Extranjero","USD",O63="","")</f>
        <v/>
      </c>
      <c r="R63" s="399" t="str">
        <f>IFERROR(IF(O63="Nacional",VLOOKUP(P63,PRICING!$D$4:$E$59,2,FALSE),VLOOKUP(P63,PRICING!$J$4:$K$59,2,FALSE)),"")</f>
        <v/>
      </c>
      <c r="S63"/>
      <c r="V63" s="399">
        <f t="shared" si="1"/>
        <v>0</v>
      </c>
      <c r="W63" s="400">
        <f t="shared" si="2"/>
        <v>0</v>
      </c>
      <c r="X63" s="393" t="str">
        <f t="shared" si="3"/>
        <v/>
      </c>
      <c r="Y63" s="393" t="str">
        <f t="shared" si="4"/>
        <v/>
      </c>
      <c r="Z63" s="393" t="str">
        <f t="shared" si="5"/>
        <v/>
      </c>
      <c r="AA63" s="393" t="str">
        <f t="shared" si="6"/>
        <v/>
      </c>
      <c r="AB63" s="393" t="str">
        <f t="shared" si="7"/>
        <v/>
      </c>
      <c r="AC63" s="393" t="str">
        <f t="shared" si="8"/>
        <v/>
      </c>
      <c r="AD63" s="398" t="str">
        <f t="shared" si="9"/>
        <v/>
      </c>
      <c r="AF63" s="396" t="str">
        <f t="shared" si="10"/>
        <v/>
      </c>
      <c r="AH63" s="393" t="str">
        <f t="shared" si="11"/>
        <v/>
      </c>
      <c r="AI63" s="393" t="str">
        <f t="shared" si="12"/>
        <v/>
      </c>
      <c r="AJ63" s="393" t="str">
        <f t="shared" si="25"/>
        <v/>
      </c>
      <c r="AK63" s="393" t="str">
        <f t="shared" si="13"/>
        <v/>
      </c>
      <c r="AL63" s="398" t="str">
        <f t="shared" si="14"/>
        <v/>
      </c>
      <c r="AN63" s="396" t="str">
        <f t="shared" si="15"/>
        <v/>
      </c>
      <c r="AQ63" s="395"/>
      <c r="AR63" s="395"/>
    </row>
    <row r="64" spans="1:44" x14ac:dyDescent="0.2">
      <c r="A64" s="398" t="str">
        <f>IF(B64="","",CONCATENATE("GBL",B64," - ",Mantenedor!E64))</f>
        <v/>
      </c>
      <c r="J64" s="318"/>
      <c r="K64" s="312"/>
      <c r="M64" s="315"/>
      <c r="P64" s="398" t="str">
        <f t="shared" si="0"/>
        <v/>
      </c>
      <c r="Q64" s="401" t="str" cm="1">
        <f t="array" ref="Q64">+_xlfn.IFS(O64="Nacional","CLP",O64="Extranjero","USD",O64="","")</f>
        <v/>
      </c>
      <c r="R64" s="399" t="str">
        <f>IFERROR(IF(O64="Nacional",VLOOKUP(P64,PRICING!$D$4:$E$59,2,FALSE),VLOOKUP(P64,PRICING!$J$4:$K$59,2,FALSE)),"")</f>
        <v/>
      </c>
      <c r="S64"/>
      <c r="V64" s="399">
        <f t="shared" si="1"/>
        <v>0</v>
      </c>
      <c r="W64" s="400">
        <f t="shared" si="2"/>
        <v>0</v>
      </c>
      <c r="X64" s="393" t="str">
        <f t="shared" si="3"/>
        <v/>
      </c>
      <c r="Y64" s="393" t="str">
        <f t="shared" si="4"/>
        <v/>
      </c>
      <c r="Z64" s="393" t="str">
        <f t="shared" si="5"/>
        <v/>
      </c>
      <c r="AA64" s="393" t="str">
        <f t="shared" si="6"/>
        <v/>
      </c>
      <c r="AB64" s="393" t="str">
        <f t="shared" si="7"/>
        <v/>
      </c>
      <c r="AC64" s="393" t="str">
        <f t="shared" si="8"/>
        <v/>
      </c>
      <c r="AD64" s="398" t="str">
        <f t="shared" si="9"/>
        <v/>
      </c>
      <c r="AF64" s="396" t="str">
        <f t="shared" si="10"/>
        <v/>
      </c>
      <c r="AH64" s="393" t="str">
        <f t="shared" si="11"/>
        <v/>
      </c>
      <c r="AI64" s="393" t="str">
        <f t="shared" si="12"/>
        <v/>
      </c>
      <c r="AJ64" s="393" t="str">
        <f t="shared" si="25"/>
        <v/>
      </c>
      <c r="AK64" s="393" t="str">
        <f t="shared" si="13"/>
        <v/>
      </c>
      <c r="AL64" s="398" t="str">
        <f t="shared" si="14"/>
        <v/>
      </c>
      <c r="AN64" s="396" t="str">
        <f t="shared" si="15"/>
        <v/>
      </c>
      <c r="AQ64" s="395"/>
      <c r="AR64" s="395"/>
    </row>
    <row r="65" spans="1:44" x14ac:dyDescent="0.2">
      <c r="A65" s="398" t="str">
        <f>IF(B65="","",CONCATENATE("GBL",B65," - ",Mantenedor!E65))</f>
        <v/>
      </c>
      <c r="J65" s="318"/>
      <c r="K65" s="312"/>
      <c r="M65" s="315"/>
      <c r="P65" s="398" t="str">
        <f t="shared" si="0"/>
        <v/>
      </c>
      <c r="Q65" s="401" t="str" cm="1">
        <f t="array" ref="Q65">+_xlfn.IFS(O65="Nacional","CLP",O65="Extranjero","USD",O65="","")</f>
        <v/>
      </c>
      <c r="R65" s="399" t="str">
        <f>IFERROR(IF(O65="Nacional",VLOOKUP(P65,PRICING!$D$4:$E$59,2,FALSE),VLOOKUP(P65,PRICING!$J$4:$K$59,2,FALSE)),"")</f>
        <v/>
      </c>
      <c r="S65"/>
      <c r="V65" s="399">
        <f t="shared" si="1"/>
        <v>0</v>
      </c>
      <c r="W65" s="400">
        <f t="shared" si="2"/>
        <v>0</v>
      </c>
      <c r="X65" s="393" t="str">
        <f t="shared" si="3"/>
        <v/>
      </c>
      <c r="Y65" s="393" t="str">
        <f t="shared" si="4"/>
        <v/>
      </c>
      <c r="Z65" s="393" t="str">
        <f t="shared" si="5"/>
        <v/>
      </c>
      <c r="AA65" s="393" t="str">
        <f t="shared" si="6"/>
        <v/>
      </c>
      <c r="AB65" s="393" t="str">
        <f t="shared" si="7"/>
        <v/>
      </c>
      <c r="AC65" s="393" t="str">
        <f t="shared" si="8"/>
        <v/>
      </c>
      <c r="AD65" s="398" t="str">
        <f t="shared" si="9"/>
        <v/>
      </c>
      <c r="AF65" s="396" t="str">
        <f t="shared" si="10"/>
        <v/>
      </c>
      <c r="AH65" s="393" t="str">
        <f t="shared" si="11"/>
        <v/>
      </c>
      <c r="AI65" s="393" t="str">
        <f t="shared" si="12"/>
        <v/>
      </c>
      <c r="AJ65" s="393" t="str">
        <f t="shared" si="25"/>
        <v/>
      </c>
      <c r="AK65" s="393" t="str">
        <f t="shared" si="13"/>
        <v/>
      </c>
      <c r="AL65" s="398" t="str">
        <f t="shared" si="14"/>
        <v/>
      </c>
      <c r="AN65" s="396" t="str">
        <f t="shared" si="15"/>
        <v/>
      </c>
      <c r="AQ65" s="395"/>
      <c r="AR65" s="395"/>
    </row>
    <row r="66" spans="1:44" x14ac:dyDescent="0.2">
      <c r="A66" s="398" t="str">
        <f>IF(B66="","",CONCATENATE("GBL",B66," - ",Mantenedor!E66))</f>
        <v/>
      </c>
      <c r="J66" s="318"/>
      <c r="K66" s="312"/>
      <c r="M66" s="315"/>
      <c r="P66" s="398" t="str">
        <f t="shared" ref="P66:P129" si="26">IF(N66="","",(IF(L66=1,(CONCATENATE("Base ",N66," ",L66," noche")),(CONCATENATE("Base ",N66," ",L66," noches")))))</f>
        <v/>
      </c>
      <c r="Q66" s="401" t="str" cm="1">
        <f t="array" ref="Q66">+_xlfn.IFS(O66="Nacional","CLP",O66="Extranjero","USD",O66="","")</f>
        <v/>
      </c>
      <c r="R66" s="399" t="str">
        <f>IFERROR(IF(O66="Nacional",VLOOKUP(P66,PRICING!$D$4:$E$59,2,FALSE),VLOOKUP(P66,PRICING!$J$4:$K$59,2,FALSE)),"")</f>
        <v/>
      </c>
      <c r="S66"/>
      <c r="V66" s="399">
        <f t="shared" ref="V66:V129" si="27">+S66*(1-T66)</f>
        <v>0</v>
      </c>
      <c r="W66" s="400">
        <f t="shared" ref="W66:W129" si="28">IFERROR(+V66*(1-T66),"")</f>
        <v>0</v>
      </c>
      <c r="X66" s="393" t="str">
        <f t="shared" ref="X66:X129" si="29">IF($J66="","",$J66-105)</f>
        <v/>
      </c>
      <c r="Y66" s="393" t="str">
        <f t="shared" ref="Y66:Y129" si="30">IF($J66="","",$J66-90)</f>
        <v/>
      </c>
      <c r="Z66" s="393" t="str">
        <f t="shared" ref="Z66:Z129" si="31">IF($J66="","",$J66-75)</f>
        <v/>
      </c>
      <c r="AA66" s="393" t="str">
        <f t="shared" ref="AA66:AA129" si="32">IF($J66="","",$J66-60)</f>
        <v/>
      </c>
      <c r="AB66" s="393" t="str">
        <f t="shared" ref="AB66:AB129" si="33">IF($J66="","",$J66-45)</f>
        <v/>
      </c>
      <c r="AC66" s="393" t="str">
        <f t="shared" ref="AC66:AC129" si="34">IF($J66="","",$J66-30)</f>
        <v/>
      </c>
      <c r="AD66" s="398" t="str">
        <f t="shared" ref="AD66:AD129" si="35">+IF(AC66="","","LLAMAR")</f>
        <v/>
      </c>
      <c r="AF66" s="396" t="str">
        <f t="shared" ref="AF66:AF129" si="36">+IF(AE66="","",W66*0.5)</f>
        <v/>
      </c>
      <c r="AH66" s="393" t="str">
        <f t="shared" ref="AH66:AH129" si="37">+IF($M66="","",$M66-45)</f>
        <v/>
      </c>
      <c r="AI66" s="393" t="str">
        <f t="shared" ref="AI66:AI129" si="38">+IF($M66="","",$M66-30)</f>
        <v/>
      </c>
      <c r="AJ66" s="393" t="str">
        <f t="shared" si="25"/>
        <v/>
      </c>
      <c r="AK66" s="393" t="str">
        <f t="shared" ref="AK66:AK129" si="39">+IF($M66="","",$M66-7)</f>
        <v/>
      </c>
      <c r="AL66" s="398" t="str">
        <f t="shared" ref="AL66:AL129" si="40">+IF(AK66="","","LLAMAR")</f>
        <v/>
      </c>
      <c r="AN66" s="396" t="str">
        <f t="shared" ref="AN66:AN129" si="41">+IF(AM66="","",W66*0.5)</f>
        <v/>
      </c>
      <c r="AQ66" s="395"/>
      <c r="AR66" s="395"/>
    </row>
    <row r="67" spans="1:44" x14ac:dyDescent="0.2">
      <c r="A67" s="398" t="str">
        <f>IF(B67="","",CONCATENATE("GBL",B67," - ",Mantenedor!E67))</f>
        <v/>
      </c>
      <c r="J67" s="318"/>
      <c r="K67" s="312"/>
      <c r="M67" s="315"/>
      <c r="P67" s="398" t="str">
        <f t="shared" si="26"/>
        <v/>
      </c>
      <c r="Q67" s="401" t="str" cm="1">
        <f t="array" ref="Q67">+_xlfn.IFS(O67="Nacional","CLP",O67="Extranjero","USD",O67="","")</f>
        <v/>
      </c>
      <c r="R67" s="399" t="str">
        <f>IFERROR(IF(O67="Nacional",VLOOKUP(P67,PRICING!$D$4:$E$59,2,FALSE),VLOOKUP(P67,PRICING!$J$4:$K$59,2,FALSE)),"")</f>
        <v/>
      </c>
      <c r="S67"/>
      <c r="V67" s="399">
        <f t="shared" si="27"/>
        <v>0</v>
      </c>
      <c r="W67" s="400">
        <f t="shared" si="28"/>
        <v>0</v>
      </c>
      <c r="X67" s="393" t="str">
        <f t="shared" si="29"/>
        <v/>
      </c>
      <c r="Y67" s="393" t="str">
        <f t="shared" si="30"/>
        <v/>
      </c>
      <c r="Z67" s="393" t="str">
        <f t="shared" si="31"/>
        <v/>
      </c>
      <c r="AA67" s="393" t="str">
        <f t="shared" si="32"/>
        <v/>
      </c>
      <c r="AB67" s="393" t="str">
        <f t="shared" si="33"/>
        <v/>
      </c>
      <c r="AC67" s="393" t="str">
        <f t="shared" si="34"/>
        <v/>
      </c>
      <c r="AD67" s="398" t="str">
        <f t="shared" si="35"/>
        <v/>
      </c>
      <c r="AF67" s="396" t="str">
        <f t="shared" si="36"/>
        <v/>
      </c>
      <c r="AH67" s="393" t="str">
        <f t="shared" si="37"/>
        <v/>
      </c>
      <c r="AI67" s="393" t="str">
        <f t="shared" si="38"/>
        <v/>
      </c>
      <c r="AJ67" s="393" t="str">
        <f t="shared" si="25"/>
        <v/>
      </c>
      <c r="AK67" s="393" t="str">
        <f t="shared" si="39"/>
        <v/>
      </c>
      <c r="AL67" s="398" t="str">
        <f t="shared" si="40"/>
        <v/>
      </c>
      <c r="AN67" s="396" t="str">
        <f t="shared" si="41"/>
        <v/>
      </c>
      <c r="AQ67" s="395"/>
      <c r="AR67" s="395"/>
    </row>
    <row r="68" spans="1:44" x14ac:dyDescent="0.2">
      <c r="A68" s="398" t="str">
        <f>IF(B68="","",CONCATENATE("GBL",B68," - ",Mantenedor!E68))</f>
        <v/>
      </c>
      <c r="J68" s="318"/>
      <c r="K68" s="312"/>
      <c r="M68" s="315"/>
      <c r="P68" s="398" t="str">
        <f t="shared" si="26"/>
        <v/>
      </c>
      <c r="Q68" s="401" t="str" cm="1">
        <f t="array" ref="Q68">+_xlfn.IFS(O68="Nacional","CLP",O68="Extranjero","USD",O68="","")</f>
        <v/>
      </c>
      <c r="R68" s="399" t="str">
        <f>IFERROR(IF(O68="Nacional",VLOOKUP(P68,PRICING!$D$4:$E$59,2,FALSE),VLOOKUP(P68,PRICING!$J$4:$K$59,2,FALSE)),"")</f>
        <v/>
      </c>
      <c r="S68"/>
      <c r="V68" s="399">
        <f t="shared" si="27"/>
        <v>0</v>
      </c>
      <c r="W68" s="400">
        <f t="shared" si="28"/>
        <v>0</v>
      </c>
      <c r="X68" s="393" t="str">
        <f t="shared" si="29"/>
        <v/>
      </c>
      <c r="Y68" s="393" t="str">
        <f t="shared" si="30"/>
        <v/>
      </c>
      <c r="Z68" s="393" t="str">
        <f t="shared" si="31"/>
        <v/>
      </c>
      <c r="AA68" s="393" t="str">
        <f t="shared" si="32"/>
        <v/>
      </c>
      <c r="AB68" s="393" t="str">
        <f t="shared" si="33"/>
        <v/>
      </c>
      <c r="AC68" s="393" t="str">
        <f t="shared" si="34"/>
        <v/>
      </c>
      <c r="AD68" s="398" t="str">
        <f t="shared" si="35"/>
        <v/>
      </c>
      <c r="AF68" s="396" t="str">
        <f t="shared" si="36"/>
        <v/>
      </c>
      <c r="AH68" s="393" t="str">
        <f t="shared" si="37"/>
        <v/>
      </c>
      <c r="AI68" s="393" t="str">
        <f t="shared" si="38"/>
        <v/>
      </c>
      <c r="AJ68" s="393" t="str">
        <f t="shared" ref="AJ68:AJ131" si="42">+IF($M68="","",$M68-15)</f>
        <v/>
      </c>
      <c r="AK68" s="393" t="str">
        <f t="shared" si="39"/>
        <v/>
      </c>
      <c r="AL68" s="398" t="str">
        <f t="shared" si="40"/>
        <v/>
      </c>
      <c r="AN68" s="396" t="str">
        <f t="shared" si="41"/>
        <v/>
      </c>
      <c r="AQ68" s="395"/>
      <c r="AR68" s="395"/>
    </row>
    <row r="69" spans="1:44" x14ac:dyDescent="0.2">
      <c r="A69" s="398" t="str">
        <f>IF(B69="","",CONCATENATE("GBL",B69," - ",Mantenedor!E69))</f>
        <v/>
      </c>
      <c r="J69" s="318"/>
      <c r="K69" s="312"/>
      <c r="M69" s="315"/>
      <c r="P69" s="398" t="str">
        <f t="shared" si="26"/>
        <v/>
      </c>
      <c r="Q69" s="401" t="str" cm="1">
        <f t="array" ref="Q69">+_xlfn.IFS(O69="Nacional","CLP",O69="Extranjero","USD",O69="","")</f>
        <v/>
      </c>
      <c r="R69" s="399" t="str">
        <f>IFERROR(IF(O69="Nacional",VLOOKUP(P69,PRICING!$D$4:$E$59,2,FALSE),VLOOKUP(P69,PRICING!$J$4:$K$59,2,FALSE)),"")</f>
        <v/>
      </c>
      <c r="S69"/>
      <c r="V69" s="399">
        <f t="shared" si="27"/>
        <v>0</v>
      </c>
      <c r="W69" s="400">
        <f t="shared" si="28"/>
        <v>0</v>
      </c>
      <c r="X69" s="393" t="str">
        <f t="shared" si="29"/>
        <v/>
      </c>
      <c r="Y69" s="393" t="str">
        <f t="shared" si="30"/>
        <v/>
      </c>
      <c r="Z69" s="393" t="str">
        <f t="shared" si="31"/>
        <v/>
      </c>
      <c r="AA69" s="393" t="str">
        <f t="shared" si="32"/>
        <v/>
      </c>
      <c r="AB69" s="393" t="str">
        <f t="shared" si="33"/>
        <v/>
      </c>
      <c r="AC69" s="393" t="str">
        <f t="shared" si="34"/>
        <v/>
      </c>
      <c r="AD69" s="398" t="str">
        <f t="shared" si="35"/>
        <v/>
      </c>
      <c r="AF69" s="396" t="str">
        <f t="shared" si="36"/>
        <v/>
      </c>
      <c r="AH69" s="393" t="str">
        <f t="shared" si="37"/>
        <v/>
      </c>
      <c r="AI69" s="393" t="str">
        <f t="shared" si="38"/>
        <v/>
      </c>
      <c r="AJ69" s="393" t="str">
        <f t="shared" si="42"/>
        <v/>
      </c>
      <c r="AK69" s="393" t="str">
        <f t="shared" si="39"/>
        <v/>
      </c>
      <c r="AL69" s="398" t="str">
        <f t="shared" si="40"/>
        <v/>
      </c>
      <c r="AN69" s="396" t="str">
        <f t="shared" si="41"/>
        <v/>
      </c>
      <c r="AQ69" s="395"/>
      <c r="AR69" s="395"/>
    </row>
    <row r="70" spans="1:44" x14ac:dyDescent="0.2">
      <c r="A70" s="398" t="str">
        <f>IF(B70="","",CONCATENATE("GBL",B70," - ",Mantenedor!E70))</f>
        <v/>
      </c>
      <c r="J70" s="318"/>
      <c r="K70" s="312"/>
      <c r="M70" s="315"/>
      <c r="P70" s="398" t="str">
        <f t="shared" si="26"/>
        <v/>
      </c>
      <c r="Q70" s="401" t="str" cm="1">
        <f t="array" ref="Q70">+_xlfn.IFS(O70="Nacional","CLP",O70="Extranjero","USD",O70="","")</f>
        <v/>
      </c>
      <c r="R70" s="399" t="str">
        <f>IFERROR(IF(O70="Nacional",VLOOKUP(P70,PRICING!$D$4:$E$59,2,FALSE),VLOOKUP(P70,PRICING!$J$4:$K$59,2,FALSE)),"")</f>
        <v/>
      </c>
      <c r="S70"/>
      <c r="V70" s="399">
        <f t="shared" si="27"/>
        <v>0</v>
      </c>
      <c r="W70" s="400">
        <f t="shared" si="28"/>
        <v>0</v>
      </c>
      <c r="X70" s="393" t="str">
        <f t="shared" si="29"/>
        <v/>
      </c>
      <c r="Y70" s="393" t="str">
        <f t="shared" si="30"/>
        <v/>
      </c>
      <c r="Z70" s="393" t="str">
        <f t="shared" si="31"/>
        <v/>
      </c>
      <c r="AA70" s="393" t="str">
        <f t="shared" si="32"/>
        <v/>
      </c>
      <c r="AB70" s="393" t="str">
        <f t="shared" si="33"/>
        <v/>
      </c>
      <c r="AC70" s="393" t="str">
        <f t="shared" si="34"/>
        <v/>
      </c>
      <c r="AD70" s="398" t="str">
        <f t="shared" si="35"/>
        <v/>
      </c>
      <c r="AF70" s="396" t="str">
        <f t="shared" si="36"/>
        <v/>
      </c>
      <c r="AH70" s="393" t="str">
        <f t="shared" si="37"/>
        <v/>
      </c>
      <c r="AI70" s="393" t="str">
        <f t="shared" si="38"/>
        <v/>
      </c>
      <c r="AJ70" s="393" t="str">
        <f t="shared" si="42"/>
        <v/>
      </c>
      <c r="AK70" s="393" t="str">
        <f t="shared" si="39"/>
        <v/>
      </c>
      <c r="AL70" s="398" t="str">
        <f t="shared" si="40"/>
        <v/>
      </c>
      <c r="AN70" s="396" t="str">
        <f t="shared" si="41"/>
        <v/>
      </c>
      <c r="AQ70" s="395"/>
      <c r="AR70" s="395"/>
    </row>
    <row r="71" spans="1:44" x14ac:dyDescent="0.2">
      <c r="A71" s="398" t="str">
        <f>IF(B71="","",CONCATENATE("GBL",B71," - ",Mantenedor!E71))</f>
        <v/>
      </c>
      <c r="J71" s="318"/>
      <c r="K71" s="312"/>
      <c r="M71" s="315"/>
      <c r="P71" s="398" t="str">
        <f t="shared" si="26"/>
        <v/>
      </c>
      <c r="Q71" s="401" t="str" cm="1">
        <f t="array" ref="Q71">+_xlfn.IFS(O71="Nacional","CLP",O71="Extranjero","USD",O71="","")</f>
        <v/>
      </c>
      <c r="R71" s="399" t="str">
        <f>IFERROR(IF(O71="Nacional",VLOOKUP(P71,PRICING!$D$4:$E$59,2,FALSE),VLOOKUP(P71,PRICING!$J$4:$K$59,2,FALSE)),"")</f>
        <v/>
      </c>
      <c r="S71"/>
      <c r="V71" s="399">
        <f t="shared" si="27"/>
        <v>0</v>
      </c>
      <c r="W71" s="400">
        <f t="shared" si="28"/>
        <v>0</v>
      </c>
      <c r="X71" s="393" t="str">
        <f t="shared" si="29"/>
        <v/>
      </c>
      <c r="Y71" s="393" t="str">
        <f t="shared" si="30"/>
        <v/>
      </c>
      <c r="Z71" s="393" t="str">
        <f t="shared" si="31"/>
        <v/>
      </c>
      <c r="AA71" s="393" t="str">
        <f t="shared" si="32"/>
        <v/>
      </c>
      <c r="AB71" s="393" t="str">
        <f t="shared" si="33"/>
        <v/>
      </c>
      <c r="AC71" s="393" t="str">
        <f t="shared" si="34"/>
        <v/>
      </c>
      <c r="AD71" s="398" t="str">
        <f t="shared" si="35"/>
        <v/>
      </c>
      <c r="AF71" s="396" t="str">
        <f t="shared" si="36"/>
        <v/>
      </c>
      <c r="AH71" s="393" t="str">
        <f t="shared" si="37"/>
        <v/>
      </c>
      <c r="AI71" s="393" t="str">
        <f t="shared" si="38"/>
        <v/>
      </c>
      <c r="AJ71" s="393" t="str">
        <f t="shared" si="42"/>
        <v/>
      </c>
      <c r="AK71" s="393" t="str">
        <f t="shared" si="39"/>
        <v/>
      </c>
      <c r="AL71" s="398" t="str">
        <f t="shared" si="40"/>
        <v/>
      </c>
      <c r="AN71" s="396" t="str">
        <f t="shared" si="41"/>
        <v/>
      </c>
      <c r="AQ71" s="395"/>
      <c r="AR71" s="395"/>
    </row>
    <row r="72" spans="1:44" x14ac:dyDescent="0.2">
      <c r="A72" s="398" t="str">
        <f>IF(B72="","",CONCATENATE("GBL",B72," - ",Mantenedor!E72))</f>
        <v/>
      </c>
      <c r="J72" s="318"/>
      <c r="K72" s="312"/>
      <c r="M72" s="315"/>
      <c r="P72" s="398" t="str">
        <f t="shared" si="26"/>
        <v/>
      </c>
      <c r="Q72" s="401" t="str" cm="1">
        <f t="array" ref="Q72">+_xlfn.IFS(O72="Nacional","CLP",O72="Extranjero","USD",O72="","")</f>
        <v/>
      </c>
      <c r="R72" s="399" t="str">
        <f>IFERROR(IF(O72="Nacional",VLOOKUP(P72,PRICING!$D$4:$E$59,2,FALSE),VLOOKUP(P72,PRICING!$J$4:$K$59,2,FALSE)),"")</f>
        <v/>
      </c>
      <c r="S72"/>
      <c r="V72" s="399">
        <f t="shared" si="27"/>
        <v>0</v>
      </c>
      <c r="W72" s="400">
        <f t="shared" si="28"/>
        <v>0</v>
      </c>
      <c r="X72" s="393" t="str">
        <f t="shared" si="29"/>
        <v/>
      </c>
      <c r="Y72" s="393" t="str">
        <f t="shared" si="30"/>
        <v/>
      </c>
      <c r="Z72" s="393" t="str">
        <f t="shared" si="31"/>
        <v/>
      </c>
      <c r="AA72" s="393" t="str">
        <f t="shared" si="32"/>
        <v/>
      </c>
      <c r="AB72" s="393" t="str">
        <f t="shared" si="33"/>
        <v/>
      </c>
      <c r="AC72" s="393" t="str">
        <f t="shared" si="34"/>
        <v/>
      </c>
      <c r="AD72" s="398" t="str">
        <f t="shared" si="35"/>
        <v/>
      </c>
      <c r="AF72" s="396" t="str">
        <f t="shared" si="36"/>
        <v/>
      </c>
      <c r="AH72" s="393" t="str">
        <f t="shared" si="37"/>
        <v/>
      </c>
      <c r="AI72" s="393" t="str">
        <f t="shared" si="38"/>
        <v/>
      </c>
      <c r="AJ72" s="393" t="str">
        <f t="shared" si="42"/>
        <v/>
      </c>
      <c r="AK72" s="393" t="str">
        <f t="shared" si="39"/>
        <v/>
      </c>
      <c r="AL72" s="398" t="str">
        <f t="shared" si="40"/>
        <v/>
      </c>
      <c r="AN72" s="396" t="str">
        <f t="shared" si="41"/>
        <v/>
      </c>
      <c r="AQ72" s="395"/>
      <c r="AR72" s="395"/>
    </row>
    <row r="73" spans="1:44" x14ac:dyDescent="0.2">
      <c r="A73" s="398" t="str">
        <f>IF(B73="","",CONCATENATE("GBL",B73," - ",Mantenedor!E73))</f>
        <v/>
      </c>
      <c r="J73" s="318"/>
      <c r="K73" s="312"/>
      <c r="M73" s="315"/>
      <c r="P73" s="398" t="str">
        <f t="shared" si="26"/>
        <v/>
      </c>
      <c r="Q73" s="401" t="str" cm="1">
        <f t="array" ref="Q73">+_xlfn.IFS(O73="Nacional","CLP",O73="Extranjero","USD",O73="","")</f>
        <v/>
      </c>
      <c r="R73" s="399" t="str">
        <f>IFERROR(IF(O73="Nacional",VLOOKUP(P73,PRICING!$D$4:$E$59,2,FALSE),VLOOKUP(P73,PRICING!$J$4:$K$59,2,FALSE)),"")</f>
        <v/>
      </c>
      <c r="S73"/>
      <c r="V73" s="399">
        <f t="shared" si="27"/>
        <v>0</v>
      </c>
      <c r="W73" s="400">
        <f t="shared" si="28"/>
        <v>0</v>
      </c>
      <c r="X73" s="393" t="str">
        <f t="shared" si="29"/>
        <v/>
      </c>
      <c r="Y73" s="393" t="str">
        <f t="shared" si="30"/>
        <v/>
      </c>
      <c r="Z73" s="393" t="str">
        <f t="shared" si="31"/>
        <v/>
      </c>
      <c r="AA73" s="393" t="str">
        <f t="shared" si="32"/>
        <v/>
      </c>
      <c r="AB73" s="393" t="str">
        <f t="shared" si="33"/>
        <v/>
      </c>
      <c r="AC73" s="393" t="str">
        <f t="shared" si="34"/>
        <v/>
      </c>
      <c r="AD73" s="398" t="str">
        <f t="shared" si="35"/>
        <v/>
      </c>
      <c r="AF73" s="396" t="str">
        <f t="shared" si="36"/>
        <v/>
      </c>
      <c r="AH73" s="393" t="str">
        <f t="shared" si="37"/>
        <v/>
      </c>
      <c r="AI73" s="393" t="str">
        <f t="shared" si="38"/>
        <v/>
      </c>
      <c r="AJ73" s="393" t="str">
        <f t="shared" si="42"/>
        <v/>
      </c>
      <c r="AK73" s="393" t="str">
        <f t="shared" si="39"/>
        <v/>
      </c>
      <c r="AL73" s="398" t="str">
        <f t="shared" si="40"/>
        <v/>
      </c>
      <c r="AN73" s="396" t="str">
        <f t="shared" si="41"/>
        <v/>
      </c>
      <c r="AQ73" s="395"/>
      <c r="AR73" s="395"/>
    </row>
    <row r="74" spans="1:44" x14ac:dyDescent="0.2">
      <c r="A74" s="398" t="str">
        <f>IF(B74="","",CONCATENATE("GBL",B74," - ",Mantenedor!E74))</f>
        <v/>
      </c>
      <c r="J74" s="318"/>
      <c r="K74" s="312"/>
      <c r="M74" s="315"/>
      <c r="P74" s="398" t="str">
        <f t="shared" si="26"/>
        <v/>
      </c>
      <c r="Q74" s="401" t="str" cm="1">
        <f t="array" ref="Q74">+_xlfn.IFS(O74="Nacional","CLP",O74="Extranjero","USD",O74="","")</f>
        <v/>
      </c>
      <c r="R74" s="399" t="str">
        <f>IFERROR(IF(O74="Nacional",VLOOKUP(P74,PRICING!$D$4:$E$59,2,FALSE),VLOOKUP(P74,PRICING!$J$4:$K$59,2,FALSE)),"")</f>
        <v/>
      </c>
      <c r="S74"/>
      <c r="V74" s="399">
        <f t="shared" si="27"/>
        <v>0</v>
      </c>
      <c r="W74" s="400">
        <f t="shared" si="28"/>
        <v>0</v>
      </c>
      <c r="X74" s="393" t="str">
        <f t="shared" si="29"/>
        <v/>
      </c>
      <c r="Y74" s="393" t="str">
        <f t="shared" si="30"/>
        <v/>
      </c>
      <c r="Z74" s="393" t="str">
        <f t="shared" si="31"/>
        <v/>
      </c>
      <c r="AA74" s="393" t="str">
        <f t="shared" si="32"/>
        <v/>
      </c>
      <c r="AB74" s="393" t="str">
        <f t="shared" si="33"/>
        <v/>
      </c>
      <c r="AC74" s="393" t="str">
        <f t="shared" si="34"/>
        <v/>
      </c>
      <c r="AD74" s="398" t="str">
        <f t="shared" si="35"/>
        <v/>
      </c>
      <c r="AF74" s="396" t="str">
        <f t="shared" si="36"/>
        <v/>
      </c>
      <c r="AH74" s="393" t="str">
        <f t="shared" si="37"/>
        <v/>
      </c>
      <c r="AI74" s="393" t="str">
        <f t="shared" si="38"/>
        <v/>
      </c>
      <c r="AJ74" s="393" t="str">
        <f t="shared" si="42"/>
        <v/>
      </c>
      <c r="AK74" s="393" t="str">
        <f t="shared" si="39"/>
        <v/>
      </c>
      <c r="AL74" s="398" t="str">
        <f t="shared" si="40"/>
        <v/>
      </c>
      <c r="AN74" s="396" t="str">
        <f t="shared" si="41"/>
        <v/>
      </c>
      <c r="AQ74" s="395"/>
      <c r="AR74" s="395"/>
    </row>
    <row r="75" spans="1:44" x14ac:dyDescent="0.2">
      <c r="A75" s="398" t="str">
        <f>IF(B75="","",CONCATENATE("GBL",B75," - ",Mantenedor!E75))</f>
        <v/>
      </c>
      <c r="J75" s="318"/>
      <c r="K75" s="312"/>
      <c r="M75" s="315"/>
      <c r="P75" s="398" t="str">
        <f t="shared" si="26"/>
        <v/>
      </c>
      <c r="Q75" s="401" t="str" cm="1">
        <f t="array" ref="Q75">+_xlfn.IFS(O75="Nacional","CLP",O75="Extranjero","USD",O75="","")</f>
        <v/>
      </c>
      <c r="R75" s="399" t="str">
        <f>IFERROR(IF(O75="Nacional",VLOOKUP(P75,PRICING!$D$4:$E$59,2,FALSE),VLOOKUP(P75,PRICING!$J$4:$K$59,2,FALSE)),"")</f>
        <v/>
      </c>
      <c r="S75"/>
      <c r="V75" s="399">
        <f t="shared" si="27"/>
        <v>0</v>
      </c>
      <c r="W75" s="400">
        <f t="shared" si="28"/>
        <v>0</v>
      </c>
      <c r="X75" s="393" t="str">
        <f t="shared" si="29"/>
        <v/>
      </c>
      <c r="Y75" s="393" t="str">
        <f t="shared" si="30"/>
        <v/>
      </c>
      <c r="Z75" s="393" t="str">
        <f t="shared" si="31"/>
        <v/>
      </c>
      <c r="AA75" s="393" t="str">
        <f t="shared" si="32"/>
        <v/>
      </c>
      <c r="AB75" s="393" t="str">
        <f t="shared" si="33"/>
        <v/>
      </c>
      <c r="AC75" s="393" t="str">
        <f t="shared" si="34"/>
        <v/>
      </c>
      <c r="AD75" s="398" t="str">
        <f t="shared" si="35"/>
        <v/>
      </c>
      <c r="AF75" s="396" t="str">
        <f t="shared" si="36"/>
        <v/>
      </c>
      <c r="AH75" s="393" t="str">
        <f t="shared" si="37"/>
        <v/>
      </c>
      <c r="AI75" s="393" t="str">
        <f t="shared" si="38"/>
        <v/>
      </c>
      <c r="AJ75" s="393" t="str">
        <f t="shared" si="42"/>
        <v/>
      </c>
      <c r="AK75" s="393" t="str">
        <f t="shared" si="39"/>
        <v/>
      </c>
      <c r="AL75" s="398" t="str">
        <f t="shared" si="40"/>
        <v/>
      </c>
      <c r="AN75" s="396" t="str">
        <f t="shared" si="41"/>
        <v/>
      </c>
      <c r="AQ75" s="395"/>
      <c r="AR75" s="395"/>
    </row>
    <row r="76" spans="1:44" x14ac:dyDescent="0.2">
      <c r="A76" s="398" t="str">
        <f>IF(B76="","",CONCATENATE("GBL",B76," - ",Mantenedor!E76))</f>
        <v/>
      </c>
      <c r="J76" s="318"/>
      <c r="K76" s="312"/>
      <c r="M76" s="315"/>
      <c r="P76" s="398" t="str">
        <f t="shared" si="26"/>
        <v/>
      </c>
      <c r="Q76" s="401" t="str" cm="1">
        <f t="array" ref="Q76">+_xlfn.IFS(O76="Nacional","CLP",O76="Extranjero","USD",O76="","")</f>
        <v/>
      </c>
      <c r="R76" s="399" t="str">
        <f>IFERROR(IF(O76="Nacional",VLOOKUP(P76,PRICING!$D$4:$E$59,2,FALSE),VLOOKUP(P76,PRICING!$J$4:$K$59,2,FALSE)),"")</f>
        <v/>
      </c>
      <c r="S76"/>
      <c r="V76" s="399">
        <f t="shared" si="27"/>
        <v>0</v>
      </c>
      <c r="W76" s="400">
        <f t="shared" si="28"/>
        <v>0</v>
      </c>
      <c r="X76" s="393" t="str">
        <f t="shared" si="29"/>
        <v/>
      </c>
      <c r="Y76" s="393" t="str">
        <f t="shared" si="30"/>
        <v/>
      </c>
      <c r="Z76" s="393" t="str">
        <f t="shared" si="31"/>
        <v/>
      </c>
      <c r="AA76" s="393" t="str">
        <f t="shared" si="32"/>
        <v/>
      </c>
      <c r="AB76" s="393" t="str">
        <f t="shared" si="33"/>
        <v/>
      </c>
      <c r="AC76" s="393" t="str">
        <f t="shared" si="34"/>
        <v/>
      </c>
      <c r="AD76" s="398" t="str">
        <f t="shared" si="35"/>
        <v/>
      </c>
      <c r="AF76" s="396" t="str">
        <f t="shared" si="36"/>
        <v/>
      </c>
      <c r="AH76" s="393" t="str">
        <f t="shared" si="37"/>
        <v/>
      </c>
      <c r="AI76" s="393" t="str">
        <f t="shared" si="38"/>
        <v/>
      </c>
      <c r="AJ76" s="393" t="str">
        <f t="shared" si="42"/>
        <v/>
      </c>
      <c r="AK76" s="393" t="str">
        <f t="shared" si="39"/>
        <v/>
      </c>
      <c r="AL76" s="398" t="str">
        <f t="shared" si="40"/>
        <v/>
      </c>
      <c r="AN76" s="396" t="str">
        <f t="shared" si="41"/>
        <v/>
      </c>
      <c r="AQ76" s="395"/>
      <c r="AR76" s="395"/>
    </row>
    <row r="77" spans="1:44" x14ac:dyDescent="0.2">
      <c r="A77" s="398" t="str">
        <f>IF(B77="","",CONCATENATE("GBL",B77," - ",Mantenedor!E77))</f>
        <v/>
      </c>
      <c r="J77" s="318"/>
      <c r="K77" s="312"/>
      <c r="M77" s="315"/>
      <c r="P77" s="398" t="str">
        <f t="shared" si="26"/>
        <v/>
      </c>
      <c r="Q77" s="401" t="str" cm="1">
        <f t="array" ref="Q77">+_xlfn.IFS(O77="Nacional","CLP",O77="Extranjero","USD",O77="","")</f>
        <v/>
      </c>
      <c r="R77" s="399" t="str">
        <f>IFERROR(IF(O77="Nacional",VLOOKUP(P77,PRICING!$D$4:$E$59,2,FALSE),VLOOKUP(P77,PRICING!$J$4:$K$59,2,FALSE)),"")</f>
        <v/>
      </c>
      <c r="S77"/>
      <c r="V77" s="399">
        <f t="shared" si="27"/>
        <v>0</v>
      </c>
      <c r="W77" s="400">
        <f t="shared" si="28"/>
        <v>0</v>
      </c>
      <c r="X77" s="393" t="str">
        <f t="shared" si="29"/>
        <v/>
      </c>
      <c r="Y77" s="393" t="str">
        <f t="shared" si="30"/>
        <v/>
      </c>
      <c r="Z77" s="393" t="str">
        <f t="shared" si="31"/>
        <v/>
      </c>
      <c r="AA77" s="393" t="str">
        <f t="shared" si="32"/>
        <v/>
      </c>
      <c r="AB77" s="393" t="str">
        <f t="shared" si="33"/>
        <v/>
      </c>
      <c r="AC77" s="393" t="str">
        <f t="shared" si="34"/>
        <v/>
      </c>
      <c r="AD77" s="398" t="str">
        <f t="shared" si="35"/>
        <v/>
      </c>
      <c r="AF77" s="396" t="str">
        <f t="shared" si="36"/>
        <v/>
      </c>
      <c r="AH77" s="393" t="str">
        <f t="shared" si="37"/>
        <v/>
      </c>
      <c r="AI77" s="393" t="str">
        <f t="shared" si="38"/>
        <v/>
      </c>
      <c r="AJ77" s="393" t="str">
        <f t="shared" si="42"/>
        <v/>
      </c>
      <c r="AK77" s="393" t="str">
        <f t="shared" si="39"/>
        <v/>
      </c>
      <c r="AL77" s="398" t="str">
        <f t="shared" si="40"/>
        <v/>
      </c>
      <c r="AN77" s="396" t="str">
        <f t="shared" si="41"/>
        <v/>
      </c>
      <c r="AQ77" s="395"/>
      <c r="AR77" s="395"/>
    </row>
    <row r="78" spans="1:44" x14ac:dyDescent="0.2">
      <c r="A78" s="398" t="str">
        <f>IF(B78="","",CONCATENATE("GBL",B78," - ",Mantenedor!E78))</f>
        <v/>
      </c>
      <c r="J78" s="318"/>
      <c r="K78" s="312"/>
      <c r="M78" s="315"/>
      <c r="P78" s="398" t="str">
        <f t="shared" si="26"/>
        <v/>
      </c>
      <c r="Q78" s="401" t="str" cm="1">
        <f t="array" ref="Q78">+_xlfn.IFS(O78="Nacional","CLP",O78="Extranjero","USD",O78="","")</f>
        <v/>
      </c>
      <c r="R78" s="399" t="str">
        <f>IFERROR(IF(O78="Nacional",VLOOKUP(P78,PRICING!$D$4:$E$59,2,FALSE),VLOOKUP(P78,PRICING!$J$4:$K$59,2,FALSE)),"")</f>
        <v/>
      </c>
      <c r="S78"/>
      <c r="V78" s="399">
        <f t="shared" si="27"/>
        <v>0</v>
      </c>
      <c r="W78" s="400">
        <f t="shared" si="28"/>
        <v>0</v>
      </c>
      <c r="X78" s="393" t="str">
        <f t="shared" si="29"/>
        <v/>
      </c>
      <c r="Y78" s="393" t="str">
        <f t="shared" si="30"/>
        <v/>
      </c>
      <c r="Z78" s="393" t="str">
        <f t="shared" si="31"/>
        <v/>
      </c>
      <c r="AA78" s="393" t="str">
        <f t="shared" si="32"/>
        <v/>
      </c>
      <c r="AB78" s="393" t="str">
        <f t="shared" si="33"/>
        <v/>
      </c>
      <c r="AC78" s="393" t="str">
        <f t="shared" si="34"/>
        <v/>
      </c>
      <c r="AD78" s="398" t="str">
        <f t="shared" si="35"/>
        <v/>
      </c>
      <c r="AF78" s="396" t="str">
        <f t="shared" si="36"/>
        <v/>
      </c>
      <c r="AH78" s="393" t="str">
        <f t="shared" si="37"/>
        <v/>
      </c>
      <c r="AI78" s="393" t="str">
        <f t="shared" si="38"/>
        <v/>
      </c>
      <c r="AJ78" s="393" t="str">
        <f t="shared" si="42"/>
        <v/>
      </c>
      <c r="AK78" s="393" t="str">
        <f t="shared" si="39"/>
        <v/>
      </c>
      <c r="AL78" s="398" t="str">
        <f t="shared" si="40"/>
        <v/>
      </c>
      <c r="AN78" s="396" t="str">
        <f t="shared" si="41"/>
        <v/>
      </c>
      <c r="AQ78" s="395"/>
      <c r="AR78" s="395"/>
    </row>
    <row r="79" spans="1:44" x14ac:dyDescent="0.2">
      <c r="A79" s="398" t="str">
        <f>IF(B79="","",CONCATENATE("GBL",B79," - ",Mantenedor!E79))</f>
        <v/>
      </c>
      <c r="J79" s="318"/>
      <c r="K79" s="312"/>
      <c r="M79" s="315"/>
      <c r="P79" s="398" t="str">
        <f t="shared" si="26"/>
        <v/>
      </c>
      <c r="Q79" s="401" t="str" cm="1">
        <f t="array" ref="Q79">+_xlfn.IFS(O79="Nacional","CLP",O79="Extranjero","USD",O79="","")</f>
        <v/>
      </c>
      <c r="R79" s="399" t="str">
        <f>IFERROR(IF(O79="Nacional",VLOOKUP(P79,PRICING!$D$4:$E$59,2,FALSE),VLOOKUP(P79,PRICING!$J$4:$K$59,2,FALSE)),"")</f>
        <v/>
      </c>
      <c r="S79"/>
      <c r="V79" s="399">
        <f t="shared" si="27"/>
        <v>0</v>
      </c>
      <c r="W79" s="400">
        <f t="shared" si="28"/>
        <v>0</v>
      </c>
      <c r="X79" s="393" t="str">
        <f t="shared" si="29"/>
        <v/>
      </c>
      <c r="Y79" s="393" t="str">
        <f t="shared" si="30"/>
        <v/>
      </c>
      <c r="Z79" s="393" t="str">
        <f t="shared" si="31"/>
        <v/>
      </c>
      <c r="AA79" s="393" t="str">
        <f t="shared" si="32"/>
        <v/>
      </c>
      <c r="AB79" s="393" t="str">
        <f t="shared" si="33"/>
        <v/>
      </c>
      <c r="AC79" s="393" t="str">
        <f t="shared" si="34"/>
        <v/>
      </c>
      <c r="AD79" s="398" t="str">
        <f t="shared" si="35"/>
        <v/>
      </c>
      <c r="AF79" s="396" t="str">
        <f t="shared" si="36"/>
        <v/>
      </c>
      <c r="AH79" s="393" t="str">
        <f t="shared" si="37"/>
        <v/>
      </c>
      <c r="AI79" s="393" t="str">
        <f t="shared" si="38"/>
        <v/>
      </c>
      <c r="AJ79" s="393" t="str">
        <f t="shared" si="42"/>
        <v/>
      </c>
      <c r="AK79" s="393" t="str">
        <f t="shared" si="39"/>
        <v/>
      </c>
      <c r="AL79" s="398" t="str">
        <f t="shared" si="40"/>
        <v/>
      </c>
      <c r="AN79" s="396" t="str">
        <f t="shared" si="41"/>
        <v/>
      </c>
      <c r="AQ79" s="395"/>
      <c r="AR79" s="395"/>
    </row>
    <row r="80" spans="1:44" x14ac:dyDescent="0.2">
      <c r="A80" s="398" t="str">
        <f>IF(B80="","",CONCATENATE("GBL",B80," - ",Mantenedor!E80))</f>
        <v/>
      </c>
      <c r="J80" s="318"/>
      <c r="K80" s="312"/>
      <c r="M80" s="315"/>
      <c r="P80" s="398" t="str">
        <f t="shared" si="26"/>
        <v/>
      </c>
      <c r="Q80" s="401" t="str" cm="1">
        <f t="array" ref="Q80">+_xlfn.IFS(O80="Nacional","CLP",O80="Extranjero","USD",O80="","")</f>
        <v/>
      </c>
      <c r="R80" s="399" t="str">
        <f>IFERROR(IF(O80="Nacional",VLOOKUP(P80,PRICING!$D$4:$E$59,2,FALSE),VLOOKUP(P80,PRICING!$J$4:$K$59,2,FALSE)),"")</f>
        <v/>
      </c>
      <c r="S80"/>
      <c r="V80" s="399">
        <f t="shared" si="27"/>
        <v>0</v>
      </c>
      <c r="W80" s="400">
        <f t="shared" si="28"/>
        <v>0</v>
      </c>
      <c r="X80" s="393" t="str">
        <f t="shared" si="29"/>
        <v/>
      </c>
      <c r="Y80" s="393" t="str">
        <f t="shared" si="30"/>
        <v/>
      </c>
      <c r="Z80" s="393" t="str">
        <f t="shared" si="31"/>
        <v/>
      </c>
      <c r="AA80" s="393" t="str">
        <f t="shared" si="32"/>
        <v/>
      </c>
      <c r="AB80" s="393" t="str">
        <f t="shared" si="33"/>
        <v/>
      </c>
      <c r="AC80" s="393" t="str">
        <f t="shared" si="34"/>
        <v/>
      </c>
      <c r="AD80" s="398" t="str">
        <f t="shared" si="35"/>
        <v/>
      </c>
      <c r="AF80" s="396" t="str">
        <f t="shared" si="36"/>
        <v/>
      </c>
      <c r="AH80" s="393" t="str">
        <f t="shared" si="37"/>
        <v/>
      </c>
      <c r="AI80" s="393" t="str">
        <f t="shared" si="38"/>
        <v/>
      </c>
      <c r="AJ80" s="393" t="str">
        <f t="shared" si="42"/>
        <v/>
      </c>
      <c r="AK80" s="393" t="str">
        <f t="shared" si="39"/>
        <v/>
      </c>
      <c r="AL80" s="398" t="str">
        <f t="shared" si="40"/>
        <v/>
      </c>
      <c r="AN80" s="396" t="str">
        <f t="shared" si="41"/>
        <v/>
      </c>
      <c r="AQ80" s="395"/>
      <c r="AR80" s="395"/>
    </row>
    <row r="81" spans="1:44" x14ac:dyDescent="0.2">
      <c r="A81" s="398" t="str">
        <f>IF(B81="","",CONCATENATE("GBL",B81," - ",Mantenedor!E81))</f>
        <v/>
      </c>
      <c r="J81" s="318"/>
      <c r="K81" s="312"/>
      <c r="M81" s="315"/>
      <c r="P81" s="398" t="str">
        <f t="shared" si="26"/>
        <v/>
      </c>
      <c r="Q81" s="401" t="str" cm="1">
        <f t="array" ref="Q81">+_xlfn.IFS(O81="Nacional","CLP",O81="Extranjero","USD",O81="","")</f>
        <v/>
      </c>
      <c r="R81" s="399" t="str">
        <f>IFERROR(IF(O81="Nacional",VLOOKUP(P81,PRICING!$D$4:$E$59,2,FALSE),VLOOKUP(P81,PRICING!$J$4:$K$59,2,FALSE)),"")</f>
        <v/>
      </c>
      <c r="S81"/>
      <c r="V81" s="399">
        <f t="shared" si="27"/>
        <v>0</v>
      </c>
      <c r="W81" s="400">
        <f t="shared" si="28"/>
        <v>0</v>
      </c>
      <c r="X81" s="393" t="str">
        <f t="shared" si="29"/>
        <v/>
      </c>
      <c r="Y81" s="393" t="str">
        <f t="shared" si="30"/>
        <v/>
      </c>
      <c r="Z81" s="393" t="str">
        <f t="shared" si="31"/>
        <v/>
      </c>
      <c r="AA81" s="393" t="str">
        <f t="shared" si="32"/>
        <v/>
      </c>
      <c r="AB81" s="393" t="str">
        <f t="shared" si="33"/>
        <v/>
      </c>
      <c r="AC81" s="393" t="str">
        <f t="shared" si="34"/>
        <v/>
      </c>
      <c r="AD81" s="398" t="str">
        <f t="shared" si="35"/>
        <v/>
      </c>
      <c r="AF81" s="396" t="str">
        <f t="shared" si="36"/>
        <v/>
      </c>
      <c r="AH81" s="393" t="str">
        <f t="shared" si="37"/>
        <v/>
      </c>
      <c r="AI81" s="393" t="str">
        <f t="shared" si="38"/>
        <v/>
      </c>
      <c r="AJ81" s="393" t="str">
        <f t="shared" si="42"/>
        <v/>
      </c>
      <c r="AK81" s="393" t="str">
        <f t="shared" si="39"/>
        <v/>
      </c>
      <c r="AL81" s="398" t="str">
        <f t="shared" si="40"/>
        <v/>
      </c>
      <c r="AN81" s="396" t="str">
        <f t="shared" si="41"/>
        <v/>
      </c>
      <c r="AQ81" s="395"/>
      <c r="AR81" s="395"/>
    </row>
    <row r="82" spans="1:44" x14ac:dyDescent="0.2">
      <c r="A82" s="398" t="str">
        <f>IF(B82="","",CONCATENATE("GBL",B82," - ",Mantenedor!E82))</f>
        <v/>
      </c>
      <c r="J82" s="318"/>
      <c r="K82" s="312"/>
      <c r="M82" s="315"/>
      <c r="P82" s="398" t="str">
        <f t="shared" si="26"/>
        <v/>
      </c>
      <c r="Q82" s="401" t="str" cm="1">
        <f t="array" ref="Q82">+_xlfn.IFS(O82="Nacional","CLP",O82="Extranjero","USD",O82="","")</f>
        <v/>
      </c>
      <c r="R82" s="399" t="str">
        <f>IFERROR(IF(O82="Nacional",VLOOKUP(P82,PRICING!$D$4:$E$59,2,FALSE),VLOOKUP(P82,PRICING!$J$4:$K$59,2,FALSE)),"")</f>
        <v/>
      </c>
      <c r="S82"/>
      <c r="V82" s="399">
        <f t="shared" si="27"/>
        <v>0</v>
      </c>
      <c r="W82" s="400">
        <f t="shared" si="28"/>
        <v>0</v>
      </c>
      <c r="X82" s="393" t="str">
        <f t="shared" si="29"/>
        <v/>
      </c>
      <c r="Y82" s="393" t="str">
        <f t="shared" si="30"/>
        <v/>
      </c>
      <c r="Z82" s="393" t="str">
        <f t="shared" si="31"/>
        <v/>
      </c>
      <c r="AA82" s="393" t="str">
        <f t="shared" si="32"/>
        <v/>
      </c>
      <c r="AB82" s="393" t="str">
        <f t="shared" si="33"/>
        <v/>
      </c>
      <c r="AC82" s="393" t="str">
        <f t="shared" si="34"/>
        <v/>
      </c>
      <c r="AD82" s="398" t="str">
        <f t="shared" si="35"/>
        <v/>
      </c>
      <c r="AF82" s="396" t="str">
        <f t="shared" si="36"/>
        <v/>
      </c>
      <c r="AH82" s="393" t="str">
        <f t="shared" si="37"/>
        <v/>
      </c>
      <c r="AI82" s="393" t="str">
        <f t="shared" si="38"/>
        <v/>
      </c>
      <c r="AJ82" s="393" t="str">
        <f t="shared" si="42"/>
        <v/>
      </c>
      <c r="AK82" s="393" t="str">
        <f t="shared" si="39"/>
        <v/>
      </c>
      <c r="AL82" s="398" t="str">
        <f t="shared" si="40"/>
        <v/>
      </c>
      <c r="AN82" s="396" t="str">
        <f t="shared" si="41"/>
        <v/>
      </c>
      <c r="AQ82" s="395"/>
      <c r="AR82" s="395"/>
    </row>
    <row r="83" spans="1:44" x14ac:dyDescent="0.2">
      <c r="A83" s="398" t="str">
        <f>IF(B83="","",CONCATENATE("GBL",B83," - ",Mantenedor!E83))</f>
        <v/>
      </c>
      <c r="J83" s="318"/>
      <c r="K83" s="312"/>
      <c r="M83" s="315"/>
      <c r="P83" s="398" t="str">
        <f t="shared" si="26"/>
        <v/>
      </c>
      <c r="Q83" s="401" t="str" cm="1">
        <f t="array" ref="Q83">+_xlfn.IFS(O83="Nacional","CLP",O83="Extranjero","USD",O83="","")</f>
        <v/>
      </c>
      <c r="R83" s="399" t="str">
        <f>IFERROR(IF(O83="Nacional",VLOOKUP(P83,PRICING!$D$4:$E$59,2,FALSE),VLOOKUP(P83,PRICING!$J$4:$K$59,2,FALSE)),"")</f>
        <v/>
      </c>
      <c r="S83"/>
      <c r="V83" s="399">
        <f t="shared" si="27"/>
        <v>0</v>
      </c>
      <c r="W83" s="400">
        <f t="shared" si="28"/>
        <v>0</v>
      </c>
      <c r="X83" s="393" t="str">
        <f t="shared" si="29"/>
        <v/>
      </c>
      <c r="Y83" s="393" t="str">
        <f t="shared" si="30"/>
        <v/>
      </c>
      <c r="Z83" s="393" t="str">
        <f t="shared" si="31"/>
        <v/>
      </c>
      <c r="AA83" s="393" t="str">
        <f t="shared" si="32"/>
        <v/>
      </c>
      <c r="AB83" s="393" t="str">
        <f t="shared" si="33"/>
        <v/>
      </c>
      <c r="AC83" s="393" t="str">
        <f t="shared" si="34"/>
        <v/>
      </c>
      <c r="AD83" s="398" t="str">
        <f t="shared" si="35"/>
        <v/>
      </c>
      <c r="AF83" s="396" t="str">
        <f t="shared" si="36"/>
        <v/>
      </c>
      <c r="AH83" s="393" t="str">
        <f t="shared" si="37"/>
        <v/>
      </c>
      <c r="AI83" s="393" t="str">
        <f t="shared" si="38"/>
        <v/>
      </c>
      <c r="AJ83" s="393" t="str">
        <f t="shared" si="42"/>
        <v/>
      </c>
      <c r="AK83" s="393" t="str">
        <f t="shared" si="39"/>
        <v/>
      </c>
      <c r="AL83" s="398" t="str">
        <f t="shared" si="40"/>
        <v/>
      </c>
      <c r="AN83" s="396" t="str">
        <f t="shared" si="41"/>
        <v/>
      </c>
      <c r="AQ83" s="395"/>
      <c r="AR83" s="395"/>
    </row>
    <row r="84" spans="1:44" x14ac:dyDescent="0.2">
      <c r="A84" s="398" t="str">
        <f>IF(B84="","",CONCATENATE("GBL",B84," - ",Mantenedor!E84))</f>
        <v/>
      </c>
      <c r="J84" s="318"/>
      <c r="K84" s="312"/>
      <c r="M84" s="315"/>
      <c r="P84" s="398" t="str">
        <f t="shared" si="26"/>
        <v/>
      </c>
      <c r="Q84" s="401" t="str" cm="1">
        <f t="array" ref="Q84">+_xlfn.IFS(O84="Nacional","CLP",O84="Extranjero","USD",O84="","")</f>
        <v/>
      </c>
      <c r="R84" s="399" t="str">
        <f>IFERROR(IF(O84="Nacional",VLOOKUP(P84,PRICING!$D$4:$E$59,2,FALSE),VLOOKUP(P84,PRICING!$J$4:$K$59,2,FALSE)),"")</f>
        <v/>
      </c>
      <c r="S84"/>
      <c r="V84" s="399">
        <f t="shared" si="27"/>
        <v>0</v>
      </c>
      <c r="W84" s="400">
        <f t="shared" si="28"/>
        <v>0</v>
      </c>
      <c r="X84" s="393" t="str">
        <f t="shared" si="29"/>
        <v/>
      </c>
      <c r="Y84" s="393" t="str">
        <f t="shared" si="30"/>
        <v/>
      </c>
      <c r="Z84" s="393" t="str">
        <f t="shared" si="31"/>
        <v/>
      </c>
      <c r="AA84" s="393" t="str">
        <f t="shared" si="32"/>
        <v/>
      </c>
      <c r="AB84" s="393" t="str">
        <f t="shared" si="33"/>
        <v/>
      </c>
      <c r="AC84" s="393" t="str">
        <f t="shared" si="34"/>
        <v/>
      </c>
      <c r="AD84" s="398" t="str">
        <f t="shared" si="35"/>
        <v/>
      </c>
      <c r="AF84" s="396" t="str">
        <f t="shared" si="36"/>
        <v/>
      </c>
      <c r="AH84" s="393" t="str">
        <f t="shared" si="37"/>
        <v/>
      </c>
      <c r="AI84" s="393" t="str">
        <f t="shared" si="38"/>
        <v/>
      </c>
      <c r="AJ84" s="393" t="str">
        <f t="shared" si="42"/>
        <v/>
      </c>
      <c r="AK84" s="393" t="str">
        <f t="shared" si="39"/>
        <v/>
      </c>
      <c r="AL84" s="398" t="str">
        <f t="shared" si="40"/>
        <v/>
      </c>
      <c r="AN84" s="396" t="str">
        <f t="shared" si="41"/>
        <v/>
      </c>
      <c r="AQ84" s="395"/>
      <c r="AR84" s="395"/>
    </row>
    <row r="85" spans="1:44" x14ac:dyDescent="0.2">
      <c r="A85" s="398" t="str">
        <f>IF(B85="","",CONCATENATE("GBL",B85," - ",Mantenedor!E85))</f>
        <v/>
      </c>
      <c r="J85" s="318"/>
      <c r="K85" s="312"/>
      <c r="M85" s="315"/>
      <c r="P85" s="398" t="str">
        <f t="shared" si="26"/>
        <v/>
      </c>
      <c r="Q85" s="401" t="str" cm="1">
        <f t="array" ref="Q85">+_xlfn.IFS(O85="Nacional","CLP",O85="Extranjero","USD",O85="","")</f>
        <v/>
      </c>
      <c r="R85" s="399" t="str">
        <f>IFERROR(IF(O85="Nacional",VLOOKUP(P85,PRICING!$D$4:$E$59,2,FALSE),VLOOKUP(P85,PRICING!$J$4:$K$59,2,FALSE)),"")</f>
        <v/>
      </c>
      <c r="S85"/>
      <c r="V85" s="399">
        <f t="shared" si="27"/>
        <v>0</v>
      </c>
      <c r="W85" s="400">
        <f t="shared" si="28"/>
        <v>0</v>
      </c>
      <c r="X85" s="393" t="str">
        <f t="shared" si="29"/>
        <v/>
      </c>
      <c r="Y85" s="393" t="str">
        <f t="shared" si="30"/>
        <v/>
      </c>
      <c r="Z85" s="393" t="str">
        <f t="shared" si="31"/>
        <v/>
      </c>
      <c r="AA85" s="393" t="str">
        <f t="shared" si="32"/>
        <v/>
      </c>
      <c r="AB85" s="393" t="str">
        <f t="shared" si="33"/>
        <v/>
      </c>
      <c r="AC85" s="393" t="str">
        <f t="shared" si="34"/>
        <v/>
      </c>
      <c r="AD85" s="398" t="str">
        <f t="shared" si="35"/>
        <v/>
      </c>
      <c r="AF85" s="396" t="str">
        <f t="shared" si="36"/>
        <v/>
      </c>
      <c r="AH85" s="393" t="str">
        <f t="shared" si="37"/>
        <v/>
      </c>
      <c r="AI85" s="393" t="str">
        <f t="shared" si="38"/>
        <v/>
      </c>
      <c r="AJ85" s="393" t="str">
        <f t="shared" si="42"/>
        <v/>
      </c>
      <c r="AK85" s="393" t="str">
        <f t="shared" si="39"/>
        <v/>
      </c>
      <c r="AL85" s="398" t="str">
        <f t="shared" si="40"/>
        <v/>
      </c>
      <c r="AN85" s="396" t="str">
        <f t="shared" si="41"/>
        <v/>
      </c>
      <c r="AQ85" s="395"/>
      <c r="AR85" s="395"/>
    </row>
    <row r="86" spans="1:44" x14ac:dyDescent="0.2">
      <c r="A86" s="398" t="str">
        <f>IF(B86="","",CONCATENATE("GBL",B86," - ",Mantenedor!E86))</f>
        <v/>
      </c>
      <c r="J86" s="318"/>
      <c r="K86" s="312"/>
      <c r="M86" s="315"/>
      <c r="P86" s="398" t="str">
        <f t="shared" si="26"/>
        <v/>
      </c>
      <c r="Q86" s="401" t="str" cm="1">
        <f t="array" ref="Q86">+_xlfn.IFS(O86="Nacional","CLP",O86="Extranjero","USD",O86="","")</f>
        <v/>
      </c>
      <c r="R86" s="399" t="str">
        <f>IFERROR(IF(O86="Nacional",VLOOKUP(P86,PRICING!$D$4:$E$59,2,FALSE),VLOOKUP(P86,PRICING!$J$4:$K$59,2,FALSE)),"")</f>
        <v/>
      </c>
      <c r="S86"/>
      <c r="V86" s="399">
        <f t="shared" si="27"/>
        <v>0</v>
      </c>
      <c r="W86" s="400">
        <f t="shared" si="28"/>
        <v>0</v>
      </c>
      <c r="X86" s="393" t="str">
        <f t="shared" si="29"/>
        <v/>
      </c>
      <c r="Y86" s="393" t="str">
        <f t="shared" si="30"/>
        <v/>
      </c>
      <c r="Z86" s="393" t="str">
        <f t="shared" si="31"/>
        <v/>
      </c>
      <c r="AA86" s="393" t="str">
        <f t="shared" si="32"/>
        <v/>
      </c>
      <c r="AB86" s="393" t="str">
        <f t="shared" si="33"/>
        <v/>
      </c>
      <c r="AC86" s="393" t="str">
        <f t="shared" si="34"/>
        <v/>
      </c>
      <c r="AD86" s="398" t="str">
        <f t="shared" si="35"/>
        <v/>
      </c>
      <c r="AF86" s="396" t="str">
        <f t="shared" si="36"/>
        <v/>
      </c>
      <c r="AH86" s="393" t="str">
        <f t="shared" si="37"/>
        <v/>
      </c>
      <c r="AI86" s="393" t="str">
        <f t="shared" si="38"/>
        <v/>
      </c>
      <c r="AJ86" s="393" t="str">
        <f t="shared" si="42"/>
        <v/>
      </c>
      <c r="AK86" s="393" t="str">
        <f t="shared" si="39"/>
        <v/>
      </c>
      <c r="AL86" s="398" t="str">
        <f t="shared" si="40"/>
        <v/>
      </c>
      <c r="AN86" s="396" t="str">
        <f t="shared" si="41"/>
        <v/>
      </c>
      <c r="AQ86" s="395"/>
      <c r="AR86" s="395"/>
    </row>
    <row r="87" spans="1:44" x14ac:dyDescent="0.2">
      <c r="A87" s="398" t="str">
        <f>IF(B87="","",CONCATENATE("GBL",B87," - ",Mantenedor!E87))</f>
        <v/>
      </c>
      <c r="J87" s="318"/>
      <c r="K87" s="312"/>
      <c r="M87" s="315"/>
      <c r="P87" s="398" t="str">
        <f t="shared" si="26"/>
        <v/>
      </c>
      <c r="Q87" s="401" t="str" cm="1">
        <f t="array" ref="Q87">+_xlfn.IFS(O87="Nacional","CLP",O87="Extranjero","USD",O87="","")</f>
        <v/>
      </c>
      <c r="R87" s="399" t="str">
        <f>IFERROR(IF(O87="Nacional",VLOOKUP(P87,PRICING!$D$4:$E$59,2,FALSE),VLOOKUP(P87,PRICING!$J$4:$K$59,2,FALSE)),"")</f>
        <v/>
      </c>
      <c r="S87"/>
      <c r="V87" s="399">
        <f t="shared" si="27"/>
        <v>0</v>
      </c>
      <c r="W87" s="400">
        <f t="shared" si="28"/>
        <v>0</v>
      </c>
      <c r="X87" s="393" t="str">
        <f t="shared" si="29"/>
        <v/>
      </c>
      <c r="Y87" s="393" t="str">
        <f t="shared" si="30"/>
        <v/>
      </c>
      <c r="Z87" s="393" t="str">
        <f t="shared" si="31"/>
        <v/>
      </c>
      <c r="AA87" s="393" t="str">
        <f t="shared" si="32"/>
        <v/>
      </c>
      <c r="AB87" s="393" t="str">
        <f t="shared" si="33"/>
        <v/>
      </c>
      <c r="AC87" s="393" t="str">
        <f t="shared" si="34"/>
        <v/>
      </c>
      <c r="AD87" s="398" t="str">
        <f t="shared" si="35"/>
        <v/>
      </c>
      <c r="AF87" s="396" t="str">
        <f t="shared" si="36"/>
        <v/>
      </c>
      <c r="AH87" s="393" t="str">
        <f t="shared" si="37"/>
        <v/>
      </c>
      <c r="AI87" s="393" t="str">
        <f t="shared" si="38"/>
        <v/>
      </c>
      <c r="AJ87" s="393" t="str">
        <f t="shared" si="42"/>
        <v/>
      </c>
      <c r="AK87" s="393" t="str">
        <f t="shared" si="39"/>
        <v/>
      </c>
      <c r="AL87" s="398" t="str">
        <f t="shared" si="40"/>
        <v/>
      </c>
      <c r="AN87" s="396" t="str">
        <f t="shared" si="41"/>
        <v/>
      </c>
      <c r="AQ87" s="395"/>
      <c r="AR87" s="395"/>
    </row>
    <row r="88" spans="1:44" x14ac:dyDescent="0.2">
      <c r="A88" s="398" t="str">
        <f>IF(B88="","",CONCATENATE("GBL",B88," - ",Mantenedor!E88))</f>
        <v/>
      </c>
      <c r="J88" s="318"/>
      <c r="K88" s="312"/>
      <c r="M88" s="315"/>
      <c r="P88" s="398" t="str">
        <f t="shared" si="26"/>
        <v/>
      </c>
      <c r="Q88" s="401" t="str" cm="1">
        <f t="array" ref="Q88">+_xlfn.IFS(O88="Nacional","CLP",O88="Extranjero","USD",O88="","")</f>
        <v/>
      </c>
      <c r="R88" s="399" t="str">
        <f>IFERROR(IF(O88="Nacional",VLOOKUP(P88,PRICING!$D$4:$E$59,2,FALSE),VLOOKUP(P88,PRICING!$J$4:$K$59,2,FALSE)),"")</f>
        <v/>
      </c>
      <c r="S88"/>
      <c r="V88" s="399">
        <f t="shared" si="27"/>
        <v>0</v>
      </c>
      <c r="W88" s="400">
        <f t="shared" si="28"/>
        <v>0</v>
      </c>
      <c r="X88" s="393" t="str">
        <f t="shared" si="29"/>
        <v/>
      </c>
      <c r="Y88" s="393" t="str">
        <f t="shared" si="30"/>
        <v/>
      </c>
      <c r="Z88" s="393" t="str">
        <f t="shared" si="31"/>
        <v/>
      </c>
      <c r="AA88" s="393" t="str">
        <f t="shared" si="32"/>
        <v/>
      </c>
      <c r="AB88" s="393" t="str">
        <f t="shared" si="33"/>
        <v/>
      </c>
      <c r="AC88" s="393" t="str">
        <f t="shared" si="34"/>
        <v/>
      </c>
      <c r="AD88" s="398" t="str">
        <f t="shared" si="35"/>
        <v/>
      </c>
      <c r="AF88" s="396" t="str">
        <f t="shared" si="36"/>
        <v/>
      </c>
      <c r="AH88" s="393" t="str">
        <f t="shared" si="37"/>
        <v/>
      </c>
      <c r="AI88" s="393" t="str">
        <f t="shared" si="38"/>
        <v/>
      </c>
      <c r="AJ88" s="393" t="str">
        <f t="shared" si="42"/>
        <v/>
      </c>
      <c r="AK88" s="393" t="str">
        <f t="shared" si="39"/>
        <v/>
      </c>
      <c r="AL88" s="398" t="str">
        <f t="shared" si="40"/>
        <v/>
      </c>
      <c r="AN88" s="396" t="str">
        <f t="shared" si="41"/>
        <v/>
      </c>
      <c r="AQ88" s="395"/>
      <c r="AR88" s="395"/>
    </row>
    <row r="89" spans="1:44" x14ac:dyDescent="0.2">
      <c r="A89" s="398" t="str">
        <f>IF(B89="","",CONCATENATE("GBL",B89," - ",Mantenedor!E89))</f>
        <v/>
      </c>
      <c r="J89" s="318"/>
      <c r="K89" s="312"/>
      <c r="M89" s="315"/>
      <c r="P89" s="398" t="str">
        <f t="shared" si="26"/>
        <v/>
      </c>
      <c r="Q89" s="401" t="str" cm="1">
        <f t="array" ref="Q89">+_xlfn.IFS(O89="Nacional","CLP",O89="Extranjero","USD",O89="","")</f>
        <v/>
      </c>
      <c r="R89" s="399" t="str">
        <f>IFERROR(IF(O89="Nacional",VLOOKUP(P89,PRICING!$D$4:$E$59,2,FALSE),VLOOKUP(P89,PRICING!$J$4:$K$59,2,FALSE)),"")</f>
        <v/>
      </c>
      <c r="S89"/>
      <c r="V89" s="399">
        <f t="shared" si="27"/>
        <v>0</v>
      </c>
      <c r="W89" s="400">
        <f t="shared" si="28"/>
        <v>0</v>
      </c>
      <c r="X89" s="393" t="str">
        <f t="shared" si="29"/>
        <v/>
      </c>
      <c r="Y89" s="393" t="str">
        <f t="shared" si="30"/>
        <v/>
      </c>
      <c r="Z89" s="393" t="str">
        <f t="shared" si="31"/>
        <v/>
      </c>
      <c r="AA89" s="393" t="str">
        <f t="shared" si="32"/>
        <v/>
      </c>
      <c r="AB89" s="393" t="str">
        <f t="shared" si="33"/>
        <v/>
      </c>
      <c r="AC89" s="393" t="str">
        <f t="shared" si="34"/>
        <v/>
      </c>
      <c r="AD89" s="398" t="str">
        <f t="shared" si="35"/>
        <v/>
      </c>
      <c r="AF89" s="396" t="str">
        <f t="shared" si="36"/>
        <v/>
      </c>
      <c r="AH89" s="393" t="str">
        <f t="shared" si="37"/>
        <v/>
      </c>
      <c r="AI89" s="393" t="str">
        <f t="shared" si="38"/>
        <v/>
      </c>
      <c r="AJ89" s="393" t="str">
        <f t="shared" si="42"/>
        <v/>
      </c>
      <c r="AK89" s="393" t="str">
        <f t="shared" si="39"/>
        <v/>
      </c>
      <c r="AL89" s="398" t="str">
        <f t="shared" si="40"/>
        <v/>
      </c>
      <c r="AN89" s="396" t="str">
        <f t="shared" si="41"/>
        <v/>
      </c>
      <c r="AQ89" s="395"/>
      <c r="AR89" s="395"/>
    </row>
    <row r="90" spans="1:44" x14ac:dyDescent="0.2">
      <c r="A90" s="398" t="str">
        <f>IF(B90="","",CONCATENATE("GBL",B90," - ",Mantenedor!E90))</f>
        <v/>
      </c>
      <c r="J90" s="318"/>
      <c r="K90" s="312"/>
      <c r="M90" s="315"/>
      <c r="P90" s="398" t="str">
        <f t="shared" si="26"/>
        <v/>
      </c>
      <c r="Q90" s="401" t="str" cm="1">
        <f t="array" ref="Q90">+_xlfn.IFS(O90="Nacional","CLP",O90="Extranjero","USD",O90="","")</f>
        <v/>
      </c>
      <c r="R90" s="399" t="str">
        <f>IFERROR(IF(O90="Nacional",VLOOKUP(P90,PRICING!$D$4:$E$59,2,FALSE),VLOOKUP(P90,PRICING!$J$4:$K$59,2,FALSE)),"")</f>
        <v/>
      </c>
      <c r="S90"/>
      <c r="V90" s="399">
        <f t="shared" si="27"/>
        <v>0</v>
      </c>
      <c r="W90" s="400">
        <f t="shared" si="28"/>
        <v>0</v>
      </c>
      <c r="X90" s="393" t="str">
        <f t="shared" si="29"/>
        <v/>
      </c>
      <c r="Y90" s="393" t="str">
        <f t="shared" si="30"/>
        <v/>
      </c>
      <c r="Z90" s="393" t="str">
        <f t="shared" si="31"/>
        <v/>
      </c>
      <c r="AA90" s="393" t="str">
        <f t="shared" si="32"/>
        <v/>
      </c>
      <c r="AB90" s="393" t="str">
        <f t="shared" si="33"/>
        <v/>
      </c>
      <c r="AC90" s="393" t="str">
        <f t="shared" si="34"/>
        <v/>
      </c>
      <c r="AD90" s="398" t="str">
        <f t="shared" si="35"/>
        <v/>
      </c>
      <c r="AF90" s="396" t="str">
        <f t="shared" si="36"/>
        <v/>
      </c>
      <c r="AH90" s="393" t="str">
        <f t="shared" si="37"/>
        <v/>
      </c>
      <c r="AI90" s="393" t="str">
        <f t="shared" si="38"/>
        <v/>
      </c>
      <c r="AJ90" s="393" t="str">
        <f t="shared" si="42"/>
        <v/>
      </c>
      <c r="AK90" s="393" t="str">
        <f t="shared" si="39"/>
        <v/>
      </c>
      <c r="AL90" s="398" t="str">
        <f t="shared" si="40"/>
        <v/>
      </c>
      <c r="AN90" s="396" t="str">
        <f t="shared" si="41"/>
        <v/>
      </c>
      <c r="AQ90" s="395"/>
      <c r="AR90" s="395"/>
    </row>
    <row r="91" spans="1:44" x14ac:dyDescent="0.2">
      <c r="A91" s="398" t="str">
        <f>IF(B91="","",CONCATENATE("GBL",B91," - ",Mantenedor!E91))</f>
        <v/>
      </c>
      <c r="J91" s="318"/>
      <c r="K91" s="312"/>
      <c r="M91" s="315"/>
      <c r="P91" s="398" t="str">
        <f t="shared" si="26"/>
        <v/>
      </c>
      <c r="Q91" s="401" t="str" cm="1">
        <f t="array" ref="Q91">+_xlfn.IFS(O91="Nacional","CLP",O91="Extranjero","USD",O91="","")</f>
        <v/>
      </c>
      <c r="R91" s="399" t="str">
        <f>IFERROR(IF(O91="Nacional",VLOOKUP(P91,PRICING!$D$4:$E$59,2,FALSE),VLOOKUP(P91,PRICING!$J$4:$K$59,2,FALSE)),"")</f>
        <v/>
      </c>
      <c r="S91"/>
      <c r="V91" s="399">
        <f t="shared" si="27"/>
        <v>0</v>
      </c>
      <c r="W91" s="400">
        <f t="shared" si="28"/>
        <v>0</v>
      </c>
      <c r="X91" s="393" t="str">
        <f t="shared" si="29"/>
        <v/>
      </c>
      <c r="Y91" s="393" t="str">
        <f t="shared" si="30"/>
        <v/>
      </c>
      <c r="Z91" s="393" t="str">
        <f t="shared" si="31"/>
        <v/>
      </c>
      <c r="AA91" s="393" t="str">
        <f t="shared" si="32"/>
        <v/>
      </c>
      <c r="AB91" s="393" t="str">
        <f t="shared" si="33"/>
        <v/>
      </c>
      <c r="AC91" s="393" t="str">
        <f t="shared" si="34"/>
        <v/>
      </c>
      <c r="AD91" s="398" t="str">
        <f t="shared" si="35"/>
        <v/>
      </c>
      <c r="AF91" s="396" t="str">
        <f t="shared" si="36"/>
        <v/>
      </c>
      <c r="AH91" s="393" t="str">
        <f t="shared" si="37"/>
        <v/>
      </c>
      <c r="AI91" s="393" t="str">
        <f t="shared" si="38"/>
        <v/>
      </c>
      <c r="AJ91" s="393" t="str">
        <f t="shared" si="42"/>
        <v/>
      </c>
      <c r="AK91" s="393" t="str">
        <f t="shared" si="39"/>
        <v/>
      </c>
      <c r="AL91" s="398" t="str">
        <f t="shared" si="40"/>
        <v/>
      </c>
      <c r="AN91" s="396" t="str">
        <f t="shared" si="41"/>
        <v/>
      </c>
      <c r="AQ91" s="395"/>
      <c r="AR91" s="395"/>
    </row>
    <row r="92" spans="1:44" x14ac:dyDescent="0.2">
      <c r="A92" s="398" t="str">
        <f>IF(B92="","",CONCATENATE("GBL",B92," - ",Mantenedor!E92))</f>
        <v/>
      </c>
      <c r="J92" s="318"/>
      <c r="K92" s="312"/>
      <c r="M92" s="315"/>
      <c r="P92" s="398" t="str">
        <f t="shared" si="26"/>
        <v/>
      </c>
      <c r="Q92" s="401" t="str" cm="1">
        <f t="array" ref="Q92">+_xlfn.IFS(O92="Nacional","CLP",O92="Extranjero","USD",O92="","")</f>
        <v/>
      </c>
      <c r="R92" s="399" t="str">
        <f>IFERROR(IF(O92="Nacional",VLOOKUP(P92,PRICING!$D$4:$E$59,2,FALSE),VLOOKUP(P92,PRICING!$J$4:$K$59,2,FALSE)),"")</f>
        <v/>
      </c>
      <c r="S92"/>
      <c r="V92" s="399">
        <f t="shared" si="27"/>
        <v>0</v>
      </c>
      <c r="W92" s="400">
        <f t="shared" si="28"/>
        <v>0</v>
      </c>
      <c r="X92" s="393" t="str">
        <f t="shared" si="29"/>
        <v/>
      </c>
      <c r="Y92" s="393" t="str">
        <f t="shared" si="30"/>
        <v/>
      </c>
      <c r="Z92" s="393" t="str">
        <f t="shared" si="31"/>
        <v/>
      </c>
      <c r="AA92" s="393" t="str">
        <f t="shared" si="32"/>
        <v/>
      </c>
      <c r="AB92" s="393" t="str">
        <f t="shared" si="33"/>
        <v/>
      </c>
      <c r="AC92" s="393" t="str">
        <f t="shared" si="34"/>
        <v/>
      </c>
      <c r="AD92" s="398" t="str">
        <f t="shared" si="35"/>
        <v/>
      </c>
      <c r="AF92" s="396" t="str">
        <f t="shared" si="36"/>
        <v/>
      </c>
      <c r="AH92" s="393" t="str">
        <f t="shared" si="37"/>
        <v/>
      </c>
      <c r="AI92" s="393" t="str">
        <f t="shared" si="38"/>
        <v/>
      </c>
      <c r="AJ92" s="393" t="str">
        <f t="shared" si="42"/>
        <v/>
      </c>
      <c r="AK92" s="393" t="str">
        <f t="shared" si="39"/>
        <v/>
      </c>
      <c r="AL92" s="398" t="str">
        <f t="shared" si="40"/>
        <v/>
      </c>
      <c r="AN92" s="396" t="str">
        <f t="shared" si="41"/>
        <v/>
      </c>
      <c r="AQ92" s="395"/>
      <c r="AR92" s="395"/>
    </row>
    <row r="93" spans="1:44" x14ac:dyDescent="0.2">
      <c r="A93" s="398" t="str">
        <f>IF(B93="","",CONCATENATE("GBL",B93," - ",Mantenedor!E93))</f>
        <v/>
      </c>
      <c r="J93" s="318"/>
      <c r="K93" s="312"/>
      <c r="M93" s="315"/>
      <c r="P93" s="398" t="str">
        <f t="shared" si="26"/>
        <v/>
      </c>
      <c r="Q93" s="401" t="str" cm="1">
        <f t="array" ref="Q93">+_xlfn.IFS(O93="Nacional","CLP",O93="Extranjero","USD",O93="","")</f>
        <v/>
      </c>
      <c r="R93" s="399" t="str">
        <f>IFERROR(IF(O93="Nacional",VLOOKUP(P93,PRICING!$D$4:$E$59,2,FALSE),VLOOKUP(P93,PRICING!$J$4:$K$59,2,FALSE)),"")</f>
        <v/>
      </c>
      <c r="S93"/>
      <c r="V93" s="399">
        <f t="shared" si="27"/>
        <v>0</v>
      </c>
      <c r="W93" s="400">
        <f t="shared" si="28"/>
        <v>0</v>
      </c>
      <c r="X93" s="393" t="str">
        <f t="shared" si="29"/>
        <v/>
      </c>
      <c r="Y93" s="393" t="str">
        <f t="shared" si="30"/>
        <v/>
      </c>
      <c r="Z93" s="393" t="str">
        <f t="shared" si="31"/>
        <v/>
      </c>
      <c r="AA93" s="393" t="str">
        <f t="shared" si="32"/>
        <v/>
      </c>
      <c r="AB93" s="393" t="str">
        <f t="shared" si="33"/>
        <v/>
      </c>
      <c r="AC93" s="393" t="str">
        <f t="shared" si="34"/>
        <v/>
      </c>
      <c r="AD93" s="398" t="str">
        <f t="shared" si="35"/>
        <v/>
      </c>
      <c r="AF93" s="396" t="str">
        <f t="shared" si="36"/>
        <v/>
      </c>
      <c r="AH93" s="393" t="str">
        <f t="shared" si="37"/>
        <v/>
      </c>
      <c r="AI93" s="393" t="str">
        <f t="shared" si="38"/>
        <v/>
      </c>
      <c r="AJ93" s="393" t="str">
        <f t="shared" si="42"/>
        <v/>
      </c>
      <c r="AK93" s="393" t="str">
        <f t="shared" si="39"/>
        <v/>
      </c>
      <c r="AL93" s="398" t="str">
        <f t="shared" si="40"/>
        <v/>
      </c>
      <c r="AN93" s="396" t="str">
        <f t="shared" si="41"/>
        <v/>
      </c>
      <c r="AQ93" s="395"/>
      <c r="AR93" s="395"/>
    </row>
    <row r="94" spans="1:44" x14ac:dyDescent="0.2">
      <c r="A94" s="398" t="str">
        <f>IF(B94="","",CONCATENATE("GBL",B94," - ",Mantenedor!E94))</f>
        <v/>
      </c>
      <c r="J94" s="318"/>
      <c r="K94" s="312"/>
      <c r="M94" s="315"/>
      <c r="P94" s="398" t="str">
        <f t="shared" si="26"/>
        <v/>
      </c>
      <c r="Q94" s="401" t="str" cm="1">
        <f t="array" ref="Q94">+_xlfn.IFS(O94="Nacional","CLP",O94="Extranjero","USD",O94="","")</f>
        <v/>
      </c>
      <c r="R94" s="399" t="str">
        <f>IFERROR(IF(O94="Nacional",VLOOKUP(P94,PRICING!$D$4:$E$59,2,FALSE),VLOOKUP(P94,PRICING!$J$4:$K$59,2,FALSE)),"")</f>
        <v/>
      </c>
      <c r="S94"/>
      <c r="V94" s="399">
        <f t="shared" si="27"/>
        <v>0</v>
      </c>
      <c r="W94" s="400">
        <f t="shared" si="28"/>
        <v>0</v>
      </c>
      <c r="X94" s="393" t="str">
        <f t="shared" si="29"/>
        <v/>
      </c>
      <c r="Y94" s="393" t="str">
        <f t="shared" si="30"/>
        <v/>
      </c>
      <c r="Z94" s="393" t="str">
        <f t="shared" si="31"/>
        <v/>
      </c>
      <c r="AA94" s="393" t="str">
        <f t="shared" si="32"/>
        <v/>
      </c>
      <c r="AB94" s="393" t="str">
        <f t="shared" si="33"/>
        <v/>
      </c>
      <c r="AC94" s="393" t="str">
        <f t="shared" si="34"/>
        <v/>
      </c>
      <c r="AD94" s="398" t="str">
        <f t="shared" si="35"/>
        <v/>
      </c>
      <c r="AF94" s="396" t="str">
        <f t="shared" si="36"/>
        <v/>
      </c>
      <c r="AH94" s="393" t="str">
        <f t="shared" si="37"/>
        <v/>
      </c>
      <c r="AI94" s="393" t="str">
        <f t="shared" si="38"/>
        <v/>
      </c>
      <c r="AJ94" s="393" t="str">
        <f t="shared" si="42"/>
        <v/>
      </c>
      <c r="AK94" s="393" t="str">
        <f t="shared" si="39"/>
        <v/>
      </c>
      <c r="AL94" s="398" t="str">
        <f t="shared" si="40"/>
        <v/>
      </c>
      <c r="AN94" s="396" t="str">
        <f t="shared" si="41"/>
        <v/>
      </c>
      <c r="AQ94" s="395"/>
      <c r="AR94" s="395"/>
    </row>
    <row r="95" spans="1:44" x14ac:dyDescent="0.2">
      <c r="A95" s="398" t="str">
        <f>IF(B95="","",CONCATENATE("GBL",B95," - ",Mantenedor!E95))</f>
        <v/>
      </c>
      <c r="J95" s="318"/>
      <c r="K95" s="312"/>
      <c r="M95" s="315"/>
      <c r="P95" s="398" t="str">
        <f t="shared" si="26"/>
        <v/>
      </c>
      <c r="Q95" s="401" t="str" cm="1">
        <f t="array" ref="Q95">+_xlfn.IFS(O95="Nacional","CLP",O95="Extranjero","USD",O95="","")</f>
        <v/>
      </c>
      <c r="R95" s="399" t="str">
        <f>IFERROR(IF(O95="Nacional",VLOOKUP(P95,PRICING!$D$4:$E$59,2,FALSE),VLOOKUP(P95,PRICING!$J$4:$K$59,2,FALSE)),"")</f>
        <v/>
      </c>
      <c r="S95"/>
      <c r="V95" s="399">
        <f t="shared" si="27"/>
        <v>0</v>
      </c>
      <c r="W95" s="400">
        <f t="shared" si="28"/>
        <v>0</v>
      </c>
      <c r="X95" s="393" t="str">
        <f t="shared" si="29"/>
        <v/>
      </c>
      <c r="Y95" s="393" t="str">
        <f t="shared" si="30"/>
        <v/>
      </c>
      <c r="Z95" s="393" t="str">
        <f t="shared" si="31"/>
        <v/>
      </c>
      <c r="AA95" s="393" t="str">
        <f t="shared" si="32"/>
        <v/>
      </c>
      <c r="AB95" s="393" t="str">
        <f t="shared" si="33"/>
        <v/>
      </c>
      <c r="AC95" s="393" t="str">
        <f t="shared" si="34"/>
        <v/>
      </c>
      <c r="AD95" s="398" t="str">
        <f t="shared" si="35"/>
        <v/>
      </c>
      <c r="AF95" s="396" t="str">
        <f t="shared" si="36"/>
        <v/>
      </c>
      <c r="AH95" s="393" t="str">
        <f t="shared" si="37"/>
        <v/>
      </c>
      <c r="AI95" s="393" t="str">
        <f t="shared" si="38"/>
        <v/>
      </c>
      <c r="AJ95" s="393" t="str">
        <f t="shared" si="42"/>
        <v/>
      </c>
      <c r="AK95" s="393" t="str">
        <f t="shared" si="39"/>
        <v/>
      </c>
      <c r="AL95" s="398" t="str">
        <f t="shared" si="40"/>
        <v/>
      </c>
      <c r="AN95" s="396" t="str">
        <f t="shared" si="41"/>
        <v/>
      </c>
      <c r="AQ95" s="395"/>
      <c r="AR95" s="395"/>
    </row>
    <row r="96" spans="1:44" x14ac:dyDescent="0.2">
      <c r="A96" s="398" t="str">
        <f>IF(B96="","",CONCATENATE("GBL",B96," - ",Mantenedor!E96))</f>
        <v/>
      </c>
      <c r="J96" s="318"/>
      <c r="K96" s="312"/>
      <c r="M96" s="315"/>
      <c r="P96" s="398" t="str">
        <f t="shared" si="26"/>
        <v/>
      </c>
      <c r="Q96" s="401" t="str" cm="1">
        <f t="array" ref="Q96">+_xlfn.IFS(O96="Nacional","CLP",O96="Extranjero","USD",O96="","")</f>
        <v/>
      </c>
      <c r="R96" s="399" t="str">
        <f>IFERROR(IF(O96="Nacional",VLOOKUP(P96,PRICING!$D$4:$E$59,2,FALSE),VLOOKUP(P96,PRICING!$J$4:$K$59,2,FALSE)),"")</f>
        <v/>
      </c>
      <c r="S96"/>
      <c r="V96" s="399">
        <f t="shared" si="27"/>
        <v>0</v>
      </c>
      <c r="W96" s="400">
        <f t="shared" si="28"/>
        <v>0</v>
      </c>
      <c r="X96" s="393" t="str">
        <f t="shared" si="29"/>
        <v/>
      </c>
      <c r="Y96" s="393" t="str">
        <f t="shared" si="30"/>
        <v/>
      </c>
      <c r="Z96" s="393" t="str">
        <f t="shared" si="31"/>
        <v/>
      </c>
      <c r="AA96" s="393" t="str">
        <f t="shared" si="32"/>
        <v/>
      </c>
      <c r="AB96" s="393" t="str">
        <f t="shared" si="33"/>
        <v/>
      </c>
      <c r="AC96" s="393" t="str">
        <f t="shared" si="34"/>
        <v/>
      </c>
      <c r="AD96" s="398" t="str">
        <f t="shared" si="35"/>
        <v/>
      </c>
      <c r="AF96" s="396" t="str">
        <f t="shared" si="36"/>
        <v/>
      </c>
      <c r="AH96" s="393" t="str">
        <f t="shared" si="37"/>
        <v/>
      </c>
      <c r="AI96" s="393" t="str">
        <f t="shared" si="38"/>
        <v/>
      </c>
      <c r="AJ96" s="393" t="str">
        <f t="shared" si="42"/>
        <v/>
      </c>
      <c r="AK96" s="393" t="str">
        <f t="shared" si="39"/>
        <v/>
      </c>
      <c r="AL96" s="398" t="str">
        <f t="shared" si="40"/>
        <v/>
      </c>
      <c r="AN96" s="396" t="str">
        <f t="shared" si="41"/>
        <v/>
      </c>
      <c r="AQ96" s="395"/>
      <c r="AR96" s="395"/>
    </row>
    <row r="97" spans="1:44" x14ac:dyDescent="0.2">
      <c r="A97" s="398" t="str">
        <f>IF(B97="","",CONCATENATE("GBL",B97," - ",Mantenedor!E97))</f>
        <v/>
      </c>
      <c r="J97" s="318"/>
      <c r="K97" s="312"/>
      <c r="M97" s="315"/>
      <c r="P97" s="398" t="str">
        <f t="shared" si="26"/>
        <v/>
      </c>
      <c r="Q97" s="401" t="str" cm="1">
        <f t="array" ref="Q97">+_xlfn.IFS(O97="Nacional","CLP",O97="Extranjero","USD",O97="","")</f>
        <v/>
      </c>
      <c r="R97" s="399" t="str">
        <f>IFERROR(IF(O97="Nacional",VLOOKUP(P97,PRICING!$D$4:$E$59,2,FALSE),VLOOKUP(P97,PRICING!$J$4:$K$59,2,FALSE)),"")</f>
        <v/>
      </c>
      <c r="S97"/>
      <c r="V97" s="399">
        <f t="shared" si="27"/>
        <v>0</v>
      </c>
      <c r="W97" s="400">
        <f t="shared" si="28"/>
        <v>0</v>
      </c>
      <c r="X97" s="393" t="str">
        <f t="shared" si="29"/>
        <v/>
      </c>
      <c r="Y97" s="393" t="str">
        <f t="shared" si="30"/>
        <v/>
      </c>
      <c r="Z97" s="393" t="str">
        <f t="shared" si="31"/>
        <v/>
      </c>
      <c r="AA97" s="393" t="str">
        <f t="shared" si="32"/>
        <v/>
      </c>
      <c r="AB97" s="393" t="str">
        <f t="shared" si="33"/>
        <v/>
      </c>
      <c r="AC97" s="393" t="str">
        <f t="shared" si="34"/>
        <v/>
      </c>
      <c r="AD97" s="398" t="str">
        <f t="shared" si="35"/>
        <v/>
      </c>
      <c r="AF97" s="396" t="str">
        <f t="shared" si="36"/>
        <v/>
      </c>
      <c r="AH97" s="393" t="str">
        <f t="shared" si="37"/>
        <v/>
      </c>
      <c r="AI97" s="393" t="str">
        <f t="shared" si="38"/>
        <v/>
      </c>
      <c r="AJ97" s="393" t="str">
        <f t="shared" si="42"/>
        <v/>
      </c>
      <c r="AK97" s="393" t="str">
        <f t="shared" si="39"/>
        <v/>
      </c>
      <c r="AL97" s="398" t="str">
        <f t="shared" si="40"/>
        <v/>
      </c>
      <c r="AN97" s="396" t="str">
        <f t="shared" si="41"/>
        <v/>
      </c>
      <c r="AQ97" s="395"/>
      <c r="AR97" s="395"/>
    </row>
    <row r="98" spans="1:44" x14ac:dyDescent="0.2">
      <c r="A98" s="398" t="str">
        <f>IF(B98="","",CONCATENATE("GBL",B98," - ",Mantenedor!E98))</f>
        <v/>
      </c>
      <c r="J98" s="318"/>
      <c r="K98" s="312"/>
      <c r="M98" s="315"/>
      <c r="P98" s="398" t="str">
        <f t="shared" si="26"/>
        <v/>
      </c>
      <c r="Q98" s="401" t="str" cm="1">
        <f t="array" ref="Q98">+_xlfn.IFS(O98="Nacional","CLP",O98="Extranjero","USD",O98="","")</f>
        <v/>
      </c>
      <c r="R98" s="399" t="str">
        <f>IFERROR(IF(O98="Nacional",VLOOKUP(P98,PRICING!$D$4:$E$59,2,FALSE),VLOOKUP(P98,PRICING!$J$4:$K$59,2,FALSE)),"")</f>
        <v/>
      </c>
      <c r="S98"/>
      <c r="V98" s="399">
        <f t="shared" si="27"/>
        <v>0</v>
      </c>
      <c r="W98" s="400">
        <f t="shared" si="28"/>
        <v>0</v>
      </c>
      <c r="X98" s="393" t="str">
        <f t="shared" si="29"/>
        <v/>
      </c>
      <c r="Y98" s="393" t="str">
        <f t="shared" si="30"/>
        <v/>
      </c>
      <c r="Z98" s="393" t="str">
        <f t="shared" si="31"/>
        <v/>
      </c>
      <c r="AA98" s="393" t="str">
        <f t="shared" si="32"/>
        <v/>
      </c>
      <c r="AB98" s="393" t="str">
        <f t="shared" si="33"/>
        <v/>
      </c>
      <c r="AC98" s="393" t="str">
        <f t="shared" si="34"/>
        <v/>
      </c>
      <c r="AD98" s="398" t="str">
        <f t="shared" si="35"/>
        <v/>
      </c>
      <c r="AF98" s="396" t="str">
        <f t="shared" si="36"/>
        <v/>
      </c>
      <c r="AH98" s="393" t="str">
        <f t="shared" si="37"/>
        <v/>
      </c>
      <c r="AI98" s="393" t="str">
        <f t="shared" si="38"/>
        <v/>
      </c>
      <c r="AJ98" s="393" t="str">
        <f t="shared" si="42"/>
        <v/>
      </c>
      <c r="AK98" s="393" t="str">
        <f t="shared" si="39"/>
        <v/>
      </c>
      <c r="AL98" s="398" t="str">
        <f t="shared" si="40"/>
        <v/>
      </c>
      <c r="AN98" s="396" t="str">
        <f t="shared" si="41"/>
        <v/>
      </c>
      <c r="AQ98" s="395"/>
      <c r="AR98" s="395"/>
    </row>
    <row r="99" spans="1:44" x14ac:dyDescent="0.2">
      <c r="A99" s="398" t="str">
        <f>IF(B99="","",CONCATENATE("GBL",B99," - ",Mantenedor!E99))</f>
        <v/>
      </c>
      <c r="J99" s="318"/>
      <c r="K99" s="312"/>
      <c r="M99" s="315"/>
      <c r="P99" s="398" t="str">
        <f t="shared" si="26"/>
        <v/>
      </c>
      <c r="Q99" s="401" t="str" cm="1">
        <f t="array" ref="Q99">+_xlfn.IFS(O99="Nacional","CLP",O99="Extranjero","USD",O99="","")</f>
        <v/>
      </c>
      <c r="R99" s="399" t="str">
        <f>IFERROR(IF(O99="Nacional",VLOOKUP(P99,PRICING!$D$4:$E$59,2,FALSE),VLOOKUP(P99,PRICING!$J$4:$K$59,2,FALSE)),"")</f>
        <v/>
      </c>
      <c r="S99"/>
      <c r="V99" s="399">
        <f t="shared" si="27"/>
        <v>0</v>
      </c>
      <c r="W99" s="400">
        <f t="shared" si="28"/>
        <v>0</v>
      </c>
      <c r="X99" s="393" t="str">
        <f t="shared" si="29"/>
        <v/>
      </c>
      <c r="Y99" s="393" t="str">
        <f t="shared" si="30"/>
        <v/>
      </c>
      <c r="Z99" s="393" t="str">
        <f t="shared" si="31"/>
        <v/>
      </c>
      <c r="AA99" s="393" t="str">
        <f t="shared" si="32"/>
        <v/>
      </c>
      <c r="AB99" s="393" t="str">
        <f t="shared" si="33"/>
        <v/>
      </c>
      <c r="AC99" s="393" t="str">
        <f t="shared" si="34"/>
        <v/>
      </c>
      <c r="AD99" s="398" t="str">
        <f t="shared" si="35"/>
        <v/>
      </c>
      <c r="AF99" s="396" t="str">
        <f t="shared" si="36"/>
        <v/>
      </c>
      <c r="AH99" s="393" t="str">
        <f t="shared" si="37"/>
        <v/>
      </c>
      <c r="AI99" s="393" t="str">
        <f t="shared" si="38"/>
        <v/>
      </c>
      <c r="AJ99" s="393" t="str">
        <f t="shared" si="42"/>
        <v/>
      </c>
      <c r="AK99" s="393" t="str">
        <f t="shared" si="39"/>
        <v/>
      </c>
      <c r="AL99" s="398" t="str">
        <f t="shared" si="40"/>
        <v/>
      </c>
      <c r="AN99" s="396" t="str">
        <f t="shared" si="41"/>
        <v/>
      </c>
      <c r="AQ99" s="395"/>
      <c r="AR99" s="395"/>
    </row>
    <row r="100" spans="1:44" x14ac:dyDescent="0.2">
      <c r="A100" s="398" t="str">
        <f>IF(B100="","",CONCATENATE("GBL",B100," - ",Mantenedor!E100))</f>
        <v/>
      </c>
      <c r="J100" s="318"/>
      <c r="K100" s="312"/>
      <c r="M100" s="315"/>
      <c r="P100" s="398" t="str">
        <f t="shared" si="26"/>
        <v/>
      </c>
      <c r="Q100" s="401" t="str" cm="1">
        <f t="array" ref="Q100">+_xlfn.IFS(O100="Nacional","CLP",O100="Extranjero","USD",O100="","")</f>
        <v/>
      </c>
      <c r="R100" s="399" t="str">
        <f>IFERROR(IF(O100="Nacional",VLOOKUP(P100,PRICING!$D$4:$E$59,2,FALSE),VLOOKUP(P100,PRICING!$J$4:$K$59,2,FALSE)),"")</f>
        <v/>
      </c>
      <c r="S100"/>
      <c r="V100" s="399">
        <f t="shared" si="27"/>
        <v>0</v>
      </c>
      <c r="W100" s="400">
        <f t="shared" si="28"/>
        <v>0</v>
      </c>
      <c r="X100" s="393" t="str">
        <f t="shared" si="29"/>
        <v/>
      </c>
      <c r="Y100" s="393" t="str">
        <f t="shared" si="30"/>
        <v/>
      </c>
      <c r="Z100" s="393" t="str">
        <f t="shared" si="31"/>
        <v/>
      </c>
      <c r="AA100" s="393" t="str">
        <f t="shared" si="32"/>
        <v/>
      </c>
      <c r="AB100" s="393" t="str">
        <f t="shared" si="33"/>
        <v/>
      </c>
      <c r="AC100" s="393" t="str">
        <f t="shared" si="34"/>
        <v/>
      </c>
      <c r="AD100" s="398" t="str">
        <f t="shared" si="35"/>
        <v/>
      </c>
      <c r="AF100" s="396" t="str">
        <f t="shared" si="36"/>
        <v/>
      </c>
      <c r="AH100" s="393" t="str">
        <f t="shared" si="37"/>
        <v/>
      </c>
      <c r="AI100" s="393" t="str">
        <f t="shared" si="38"/>
        <v/>
      </c>
      <c r="AJ100" s="393" t="str">
        <f t="shared" si="42"/>
        <v/>
      </c>
      <c r="AK100" s="393" t="str">
        <f t="shared" si="39"/>
        <v/>
      </c>
      <c r="AL100" s="398" t="str">
        <f t="shared" si="40"/>
        <v/>
      </c>
      <c r="AN100" s="396" t="str">
        <f t="shared" si="41"/>
        <v/>
      </c>
      <c r="AQ100" s="395"/>
      <c r="AR100" s="395"/>
    </row>
    <row r="101" spans="1:44" x14ac:dyDescent="0.2">
      <c r="A101" s="398" t="str">
        <f>IF(B101="","",CONCATENATE("GBL",B101," - ",Mantenedor!E101))</f>
        <v/>
      </c>
      <c r="J101" s="318"/>
      <c r="K101" s="312"/>
      <c r="M101" s="315"/>
      <c r="P101" s="398" t="str">
        <f t="shared" si="26"/>
        <v/>
      </c>
      <c r="Q101" s="401" t="str" cm="1">
        <f t="array" ref="Q101">+_xlfn.IFS(O101="Nacional","CLP",O101="Extranjero","USD",O101="","")</f>
        <v/>
      </c>
      <c r="R101" s="399" t="str">
        <f>IFERROR(IF(O101="Nacional",VLOOKUP(P101,PRICING!$D$4:$E$59,2,FALSE),VLOOKUP(P101,PRICING!$J$4:$K$59,2,FALSE)),"")</f>
        <v/>
      </c>
      <c r="S101"/>
      <c r="V101" s="399">
        <f t="shared" si="27"/>
        <v>0</v>
      </c>
      <c r="W101" s="400">
        <f t="shared" si="28"/>
        <v>0</v>
      </c>
      <c r="X101" s="393" t="str">
        <f t="shared" si="29"/>
        <v/>
      </c>
      <c r="Y101" s="393" t="str">
        <f t="shared" si="30"/>
        <v/>
      </c>
      <c r="Z101" s="393" t="str">
        <f t="shared" si="31"/>
        <v/>
      </c>
      <c r="AA101" s="393" t="str">
        <f t="shared" si="32"/>
        <v/>
      </c>
      <c r="AB101" s="393" t="str">
        <f t="shared" si="33"/>
        <v/>
      </c>
      <c r="AC101" s="393" t="str">
        <f t="shared" si="34"/>
        <v/>
      </c>
      <c r="AD101" s="398" t="str">
        <f t="shared" si="35"/>
        <v/>
      </c>
      <c r="AF101" s="396" t="str">
        <f t="shared" si="36"/>
        <v/>
      </c>
      <c r="AH101" s="393" t="str">
        <f t="shared" si="37"/>
        <v/>
      </c>
      <c r="AI101" s="393" t="str">
        <f t="shared" si="38"/>
        <v/>
      </c>
      <c r="AJ101" s="393" t="str">
        <f t="shared" si="42"/>
        <v/>
      </c>
      <c r="AK101" s="393" t="str">
        <f t="shared" si="39"/>
        <v/>
      </c>
      <c r="AL101" s="398" t="str">
        <f t="shared" si="40"/>
        <v/>
      </c>
      <c r="AN101" s="396" t="str">
        <f t="shared" si="41"/>
        <v/>
      </c>
      <c r="AQ101" s="395"/>
      <c r="AR101" s="395"/>
    </row>
    <row r="102" spans="1:44" x14ac:dyDescent="0.2">
      <c r="A102" s="398" t="str">
        <f>IF(B102="","",CONCATENATE("GBL",B102," - ",Mantenedor!E102))</f>
        <v/>
      </c>
      <c r="J102" s="318"/>
      <c r="K102" s="312"/>
      <c r="M102" s="315"/>
      <c r="P102" s="398" t="str">
        <f t="shared" si="26"/>
        <v/>
      </c>
      <c r="Q102" s="401" t="str" cm="1">
        <f t="array" ref="Q102">+_xlfn.IFS(O102="Nacional","CLP",O102="Extranjero","USD",O102="","")</f>
        <v/>
      </c>
      <c r="R102" s="399" t="str">
        <f>IFERROR(IF(O102="Nacional",VLOOKUP(P102,PRICING!$D$4:$E$59,2,FALSE),VLOOKUP(P102,PRICING!$J$4:$K$59,2,FALSE)),"")</f>
        <v/>
      </c>
      <c r="S102"/>
      <c r="V102" s="399">
        <f t="shared" si="27"/>
        <v>0</v>
      </c>
      <c r="W102" s="400">
        <f t="shared" si="28"/>
        <v>0</v>
      </c>
      <c r="X102" s="393" t="str">
        <f t="shared" si="29"/>
        <v/>
      </c>
      <c r="Y102" s="393" t="str">
        <f t="shared" si="30"/>
        <v/>
      </c>
      <c r="Z102" s="393" t="str">
        <f t="shared" si="31"/>
        <v/>
      </c>
      <c r="AA102" s="393" t="str">
        <f t="shared" si="32"/>
        <v/>
      </c>
      <c r="AB102" s="393" t="str">
        <f t="shared" si="33"/>
        <v/>
      </c>
      <c r="AC102" s="393" t="str">
        <f t="shared" si="34"/>
        <v/>
      </c>
      <c r="AD102" s="398" t="str">
        <f t="shared" si="35"/>
        <v/>
      </c>
      <c r="AF102" s="396" t="str">
        <f t="shared" si="36"/>
        <v/>
      </c>
      <c r="AH102" s="393" t="str">
        <f t="shared" si="37"/>
        <v/>
      </c>
      <c r="AI102" s="393" t="str">
        <f t="shared" si="38"/>
        <v/>
      </c>
      <c r="AJ102" s="393" t="str">
        <f t="shared" si="42"/>
        <v/>
      </c>
      <c r="AK102" s="393" t="str">
        <f t="shared" si="39"/>
        <v/>
      </c>
      <c r="AL102" s="398" t="str">
        <f t="shared" si="40"/>
        <v/>
      </c>
      <c r="AN102" s="396" t="str">
        <f t="shared" si="41"/>
        <v/>
      </c>
      <c r="AQ102" s="395"/>
      <c r="AR102" s="395"/>
    </row>
    <row r="103" spans="1:44" x14ac:dyDescent="0.2">
      <c r="A103" s="398" t="str">
        <f>IF(B103="","",CONCATENATE("GBL",B103," - ",Mantenedor!E103))</f>
        <v/>
      </c>
      <c r="J103" s="318"/>
      <c r="K103" s="312"/>
      <c r="M103" s="315"/>
      <c r="P103" s="398" t="str">
        <f t="shared" si="26"/>
        <v/>
      </c>
      <c r="Q103" s="401" t="str" cm="1">
        <f t="array" ref="Q103">+_xlfn.IFS(O103="Nacional","CLP",O103="Extranjero","USD",O103="","")</f>
        <v/>
      </c>
      <c r="R103" s="399" t="str">
        <f>IFERROR(IF(O103="Nacional",VLOOKUP(P103,PRICING!$D$4:$E$59,2,FALSE),VLOOKUP(P103,PRICING!$J$4:$K$59,2,FALSE)),"")</f>
        <v/>
      </c>
      <c r="S103"/>
      <c r="V103" s="399">
        <f t="shared" si="27"/>
        <v>0</v>
      </c>
      <c r="W103" s="400">
        <f t="shared" si="28"/>
        <v>0</v>
      </c>
      <c r="X103" s="393" t="str">
        <f t="shared" si="29"/>
        <v/>
      </c>
      <c r="Y103" s="393" t="str">
        <f t="shared" si="30"/>
        <v/>
      </c>
      <c r="Z103" s="393" t="str">
        <f t="shared" si="31"/>
        <v/>
      </c>
      <c r="AA103" s="393" t="str">
        <f t="shared" si="32"/>
        <v/>
      </c>
      <c r="AB103" s="393" t="str">
        <f t="shared" si="33"/>
        <v/>
      </c>
      <c r="AC103" s="393" t="str">
        <f t="shared" si="34"/>
        <v/>
      </c>
      <c r="AD103" s="398" t="str">
        <f t="shared" si="35"/>
        <v/>
      </c>
      <c r="AF103" s="396" t="str">
        <f t="shared" si="36"/>
        <v/>
      </c>
      <c r="AH103" s="393" t="str">
        <f t="shared" si="37"/>
        <v/>
      </c>
      <c r="AI103" s="393" t="str">
        <f t="shared" si="38"/>
        <v/>
      </c>
      <c r="AJ103" s="393" t="str">
        <f t="shared" si="42"/>
        <v/>
      </c>
      <c r="AK103" s="393" t="str">
        <f t="shared" si="39"/>
        <v/>
      </c>
      <c r="AL103" s="398" t="str">
        <f t="shared" si="40"/>
        <v/>
      </c>
      <c r="AN103" s="396" t="str">
        <f t="shared" si="41"/>
        <v/>
      </c>
      <c r="AQ103" s="395"/>
      <c r="AR103" s="395"/>
    </row>
    <row r="104" spans="1:44" x14ac:dyDescent="0.2">
      <c r="A104" s="398" t="str">
        <f>IF(B104="","",CONCATENATE("GBL",B104," - ",Mantenedor!E104))</f>
        <v/>
      </c>
      <c r="J104" s="318"/>
      <c r="K104" s="312"/>
      <c r="M104" s="315"/>
      <c r="P104" s="398" t="str">
        <f t="shared" si="26"/>
        <v/>
      </c>
      <c r="Q104" s="401" t="str" cm="1">
        <f t="array" ref="Q104">+_xlfn.IFS(O104="Nacional","CLP",O104="Extranjero","USD",O104="","")</f>
        <v/>
      </c>
      <c r="R104" s="399" t="str">
        <f>IFERROR(IF(O104="Nacional",VLOOKUP(P104,PRICING!$D$4:$E$59,2,FALSE),VLOOKUP(P104,PRICING!$J$4:$K$59,2,FALSE)),"")</f>
        <v/>
      </c>
      <c r="S104"/>
      <c r="V104" s="399">
        <f t="shared" si="27"/>
        <v>0</v>
      </c>
      <c r="W104" s="400">
        <f t="shared" si="28"/>
        <v>0</v>
      </c>
      <c r="X104" s="393" t="str">
        <f t="shared" si="29"/>
        <v/>
      </c>
      <c r="Y104" s="393" t="str">
        <f t="shared" si="30"/>
        <v/>
      </c>
      <c r="Z104" s="393" t="str">
        <f t="shared" si="31"/>
        <v/>
      </c>
      <c r="AA104" s="393" t="str">
        <f t="shared" si="32"/>
        <v/>
      </c>
      <c r="AB104" s="393" t="str">
        <f t="shared" si="33"/>
        <v/>
      </c>
      <c r="AC104" s="393" t="str">
        <f t="shared" si="34"/>
        <v/>
      </c>
      <c r="AD104" s="398" t="str">
        <f t="shared" si="35"/>
        <v/>
      </c>
      <c r="AF104" s="396" t="str">
        <f t="shared" si="36"/>
        <v/>
      </c>
      <c r="AH104" s="393" t="str">
        <f t="shared" si="37"/>
        <v/>
      </c>
      <c r="AI104" s="393" t="str">
        <f t="shared" si="38"/>
        <v/>
      </c>
      <c r="AJ104" s="393" t="str">
        <f t="shared" si="42"/>
        <v/>
      </c>
      <c r="AK104" s="393" t="str">
        <f t="shared" si="39"/>
        <v/>
      </c>
      <c r="AL104" s="398" t="str">
        <f t="shared" si="40"/>
        <v/>
      </c>
      <c r="AN104" s="396" t="str">
        <f t="shared" si="41"/>
        <v/>
      </c>
      <c r="AQ104" s="395"/>
      <c r="AR104" s="395"/>
    </row>
    <row r="105" spans="1:44" x14ac:dyDescent="0.2">
      <c r="A105" s="398" t="str">
        <f>IF(B105="","",CONCATENATE("GBL",B105," - ",Mantenedor!E105))</f>
        <v/>
      </c>
      <c r="J105" s="318"/>
      <c r="K105" s="312"/>
      <c r="M105" s="315"/>
      <c r="P105" s="398" t="str">
        <f t="shared" si="26"/>
        <v/>
      </c>
      <c r="Q105" s="401" t="str" cm="1">
        <f t="array" ref="Q105">+_xlfn.IFS(O105="Nacional","CLP",O105="Extranjero","USD",O105="","")</f>
        <v/>
      </c>
      <c r="R105" s="399" t="str">
        <f>IFERROR(IF(O105="Nacional",VLOOKUP(P105,PRICING!$D$4:$E$59,2,FALSE),VLOOKUP(P105,PRICING!$J$4:$K$59,2,FALSE)),"")</f>
        <v/>
      </c>
      <c r="S105"/>
      <c r="V105" s="399">
        <f t="shared" si="27"/>
        <v>0</v>
      </c>
      <c r="W105" s="400">
        <f t="shared" si="28"/>
        <v>0</v>
      </c>
      <c r="X105" s="393" t="str">
        <f t="shared" si="29"/>
        <v/>
      </c>
      <c r="Y105" s="393" t="str">
        <f t="shared" si="30"/>
        <v/>
      </c>
      <c r="Z105" s="393" t="str">
        <f t="shared" si="31"/>
        <v/>
      </c>
      <c r="AA105" s="393" t="str">
        <f t="shared" si="32"/>
        <v/>
      </c>
      <c r="AB105" s="393" t="str">
        <f t="shared" si="33"/>
        <v/>
      </c>
      <c r="AC105" s="393" t="str">
        <f t="shared" si="34"/>
        <v/>
      </c>
      <c r="AD105" s="398" t="str">
        <f t="shared" si="35"/>
        <v/>
      </c>
      <c r="AF105" s="396" t="str">
        <f t="shared" si="36"/>
        <v/>
      </c>
      <c r="AH105" s="393" t="str">
        <f t="shared" si="37"/>
        <v/>
      </c>
      <c r="AI105" s="393" t="str">
        <f t="shared" si="38"/>
        <v/>
      </c>
      <c r="AJ105" s="393" t="str">
        <f t="shared" si="42"/>
        <v/>
      </c>
      <c r="AK105" s="393" t="str">
        <f t="shared" si="39"/>
        <v/>
      </c>
      <c r="AL105" s="398" t="str">
        <f t="shared" si="40"/>
        <v/>
      </c>
      <c r="AN105" s="396" t="str">
        <f t="shared" si="41"/>
        <v/>
      </c>
      <c r="AQ105" s="395"/>
      <c r="AR105" s="395"/>
    </row>
    <row r="106" spans="1:44" x14ac:dyDescent="0.2">
      <c r="A106" s="398" t="str">
        <f>IF(B106="","",CONCATENATE("GBL",B106," - ",Mantenedor!E106))</f>
        <v/>
      </c>
      <c r="J106" s="318"/>
      <c r="K106" s="312"/>
      <c r="M106" s="315"/>
      <c r="P106" s="398" t="str">
        <f t="shared" si="26"/>
        <v/>
      </c>
      <c r="Q106" s="401" t="str" cm="1">
        <f t="array" ref="Q106">+_xlfn.IFS(O106="Nacional","CLP",O106="Extranjero","USD",O106="","")</f>
        <v/>
      </c>
      <c r="R106" s="399" t="str">
        <f>IFERROR(IF(O106="Nacional",VLOOKUP(P106,PRICING!$D$4:$E$59,2,FALSE),VLOOKUP(P106,PRICING!$J$4:$K$59,2,FALSE)),"")</f>
        <v/>
      </c>
      <c r="S106"/>
      <c r="V106" s="399">
        <f t="shared" si="27"/>
        <v>0</v>
      </c>
      <c r="W106" s="400">
        <f t="shared" si="28"/>
        <v>0</v>
      </c>
      <c r="X106" s="393" t="str">
        <f t="shared" si="29"/>
        <v/>
      </c>
      <c r="Y106" s="393" t="str">
        <f t="shared" si="30"/>
        <v/>
      </c>
      <c r="Z106" s="393" t="str">
        <f t="shared" si="31"/>
        <v/>
      </c>
      <c r="AA106" s="393" t="str">
        <f t="shared" si="32"/>
        <v/>
      </c>
      <c r="AB106" s="393" t="str">
        <f t="shared" si="33"/>
        <v/>
      </c>
      <c r="AC106" s="393" t="str">
        <f t="shared" si="34"/>
        <v/>
      </c>
      <c r="AD106" s="398" t="str">
        <f t="shared" si="35"/>
        <v/>
      </c>
      <c r="AF106" s="396" t="str">
        <f t="shared" si="36"/>
        <v/>
      </c>
      <c r="AH106" s="393" t="str">
        <f t="shared" si="37"/>
        <v/>
      </c>
      <c r="AI106" s="393" t="str">
        <f t="shared" si="38"/>
        <v/>
      </c>
      <c r="AJ106" s="393" t="str">
        <f t="shared" si="42"/>
        <v/>
      </c>
      <c r="AK106" s="393" t="str">
        <f t="shared" si="39"/>
        <v/>
      </c>
      <c r="AL106" s="398" t="str">
        <f t="shared" si="40"/>
        <v/>
      </c>
      <c r="AN106" s="396" t="str">
        <f t="shared" si="41"/>
        <v/>
      </c>
      <c r="AQ106" s="395"/>
      <c r="AR106" s="395"/>
    </row>
    <row r="107" spans="1:44" x14ac:dyDescent="0.2">
      <c r="A107" s="398" t="str">
        <f>IF(B107="","",CONCATENATE("GBL",B107," - ",Mantenedor!E107))</f>
        <v/>
      </c>
      <c r="J107" s="318"/>
      <c r="K107" s="312"/>
      <c r="M107" s="315"/>
      <c r="P107" s="398" t="str">
        <f t="shared" si="26"/>
        <v/>
      </c>
      <c r="Q107" s="401" t="str" cm="1">
        <f t="array" ref="Q107">+_xlfn.IFS(O107="Nacional","CLP",O107="Extranjero","USD",O107="","")</f>
        <v/>
      </c>
      <c r="R107" s="399" t="str">
        <f>IFERROR(IF(O107="Nacional",VLOOKUP(P107,PRICING!$D$4:$E$59,2,FALSE),VLOOKUP(P107,PRICING!$J$4:$K$59,2,FALSE)),"")</f>
        <v/>
      </c>
      <c r="S107"/>
      <c r="V107" s="399">
        <f t="shared" si="27"/>
        <v>0</v>
      </c>
      <c r="W107" s="400">
        <f t="shared" si="28"/>
        <v>0</v>
      </c>
      <c r="X107" s="393" t="str">
        <f t="shared" si="29"/>
        <v/>
      </c>
      <c r="Y107" s="393" t="str">
        <f t="shared" si="30"/>
        <v/>
      </c>
      <c r="Z107" s="393" t="str">
        <f t="shared" si="31"/>
        <v/>
      </c>
      <c r="AA107" s="393" t="str">
        <f t="shared" si="32"/>
        <v/>
      </c>
      <c r="AB107" s="393" t="str">
        <f t="shared" si="33"/>
        <v/>
      </c>
      <c r="AC107" s="393" t="str">
        <f t="shared" si="34"/>
        <v/>
      </c>
      <c r="AD107" s="398" t="str">
        <f t="shared" si="35"/>
        <v/>
      </c>
      <c r="AF107" s="396" t="str">
        <f t="shared" si="36"/>
        <v/>
      </c>
      <c r="AH107" s="393" t="str">
        <f t="shared" si="37"/>
        <v/>
      </c>
      <c r="AI107" s="393" t="str">
        <f t="shared" si="38"/>
        <v/>
      </c>
      <c r="AJ107" s="393" t="str">
        <f t="shared" si="42"/>
        <v/>
      </c>
      <c r="AK107" s="393" t="str">
        <f t="shared" si="39"/>
        <v/>
      </c>
      <c r="AL107" s="398" t="str">
        <f t="shared" si="40"/>
        <v/>
      </c>
      <c r="AN107" s="396" t="str">
        <f t="shared" si="41"/>
        <v/>
      </c>
      <c r="AQ107" s="395"/>
      <c r="AR107" s="395"/>
    </row>
    <row r="108" spans="1:44" x14ac:dyDescent="0.2">
      <c r="A108" s="398" t="str">
        <f>IF(B108="","",CONCATENATE("GBL",B108," - ",Mantenedor!E108))</f>
        <v/>
      </c>
      <c r="J108" s="318"/>
      <c r="K108" s="312"/>
      <c r="M108" s="315"/>
      <c r="P108" s="398" t="str">
        <f t="shared" si="26"/>
        <v/>
      </c>
      <c r="Q108" s="401" t="str" cm="1">
        <f t="array" ref="Q108">+_xlfn.IFS(O108="Nacional","CLP",O108="Extranjero","USD",O108="","")</f>
        <v/>
      </c>
      <c r="R108" s="399" t="str">
        <f>IFERROR(IF(O108="Nacional",VLOOKUP(P108,PRICING!$D$4:$E$59,2,FALSE),VLOOKUP(P108,PRICING!$J$4:$K$59,2,FALSE)),"")</f>
        <v/>
      </c>
      <c r="S108"/>
      <c r="V108" s="399">
        <f t="shared" si="27"/>
        <v>0</v>
      </c>
      <c r="W108" s="400">
        <f t="shared" si="28"/>
        <v>0</v>
      </c>
      <c r="X108" s="393" t="str">
        <f t="shared" si="29"/>
        <v/>
      </c>
      <c r="Y108" s="393" t="str">
        <f t="shared" si="30"/>
        <v/>
      </c>
      <c r="Z108" s="393" t="str">
        <f t="shared" si="31"/>
        <v/>
      </c>
      <c r="AA108" s="393" t="str">
        <f t="shared" si="32"/>
        <v/>
      </c>
      <c r="AB108" s="393" t="str">
        <f t="shared" si="33"/>
        <v/>
      </c>
      <c r="AC108" s="393" t="str">
        <f t="shared" si="34"/>
        <v/>
      </c>
      <c r="AD108" s="398" t="str">
        <f t="shared" si="35"/>
        <v/>
      </c>
      <c r="AF108" s="396" t="str">
        <f t="shared" si="36"/>
        <v/>
      </c>
      <c r="AH108" s="393" t="str">
        <f t="shared" si="37"/>
        <v/>
      </c>
      <c r="AI108" s="393" t="str">
        <f t="shared" si="38"/>
        <v/>
      </c>
      <c r="AJ108" s="393" t="str">
        <f t="shared" si="42"/>
        <v/>
      </c>
      <c r="AK108" s="393" t="str">
        <f t="shared" si="39"/>
        <v/>
      </c>
      <c r="AL108" s="398" t="str">
        <f t="shared" si="40"/>
        <v/>
      </c>
      <c r="AN108" s="396" t="str">
        <f t="shared" si="41"/>
        <v/>
      </c>
      <c r="AQ108" s="395"/>
      <c r="AR108" s="395"/>
    </row>
    <row r="109" spans="1:44" x14ac:dyDescent="0.2">
      <c r="A109" s="398" t="str">
        <f>IF(B109="","",CONCATENATE("GBL",B109," - ",Mantenedor!E109))</f>
        <v/>
      </c>
      <c r="J109" s="318"/>
      <c r="K109" s="312"/>
      <c r="M109" s="315"/>
      <c r="P109" s="398" t="str">
        <f t="shared" si="26"/>
        <v/>
      </c>
      <c r="Q109" s="401" t="str" cm="1">
        <f t="array" ref="Q109">+_xlfn.IFS(O109="Nacional","CLP",O109="Extranjero","USD",O109="","")</f>
        <v/>
      </c>
      <c r="R109" s="399" t="str">
        <f>IFERROR(IF(O109="Nacional",VLOOKUP(P109,PRICING!$D$4:$E$59,2,FALSE),VLOOKUP(P109,PRICING!$J$4:$K$59,2,FALSE)),"")</f>
        <v/>
      </c>
      <c r="S109"/>
      <c r="V109" s="399">
        <f t="shared" si="27"/>
        <v>0</v>
      </c>
      <c r="W109" s="400">
        <f t="shared" si="28"/>
        <v>0</v>
      </c>
      <c r="X109" s="393" t="str">
        <f t="shared" si="29"/>
        <v/>
      </c>
      <c r="Y109" s="393" t="str">
        <f t="shared" si="30"/>
        <v/>
      </c>
      <c r="Z109" s="393" t="str">
        <f t="shared" si="31"/>
        <v/>
      </c>
      <c r="AA109" s="393" t="str">
        <f t="shared" si="32"/>
        <v/>
      </c>
      <c r="AB109" s="393" t="str">
        <f t="shared" si="33"/>
        <v/>
      </c>
      <c r="AC109" s="393" t="str">
        <f t="shared" si="34"/>
        <v/>
      </c>
      <c r="AD109" s="398" t="str">
        <f t="shared" si="35"/>
        <v/>
      </c>
      <c r="AF109" s="396" t="str">
        <f t="shared" si="36"/>
        <v/>
      </c>
      <c r="AH109" s="393" t="str">
        <f t="shared" si="37"/>
        <v/>
      </c>
      <c r="AI109" s="393" t="str">
        <f t="shared" si="38"/>
        <v/>
      </c>
      <c r="AJ109" s="393" t="str">
        <f t="shared" si="42"/>
        <v/>
      </c>
      <c r="AK109" s="393" t="str">
        <f t="shared" si="39"/>
        <v/>
      </c>
      <c r="AL109" s="398" t="str">
        <f t="shared" si="40"/>
        <v/>
      </c>
      <c r="AN109" s="396" t="str">
        <f t="shared" si="41"/>
        <v/>
      </c>
      <c r="AQ109" s="395"/>
      <c r="AR109" s="395"/>
    </row>
    <row r="110" spans="1:44" x14ac:dyDescent="0.2">
      <c r="A110" s="398" t="str">
        <f>IF(B110="","",CONCATENATE("GBL",B110," - ",Mantenedor!E110))</f>
        <v/>
      </c>
      <c r="J110" s="318"/>
      <c r="K110" s="312"/>
      <c r="M110" s="315"/>
      <c r="P110" s="398" t="str">
        <f t="shared" si="26"/>
        <v/>
      </c>
      <c r="Q110" s="401" t="str" cm="1">
        <f t="array" ref="Q110">+_xlfn.IFS(O110="Nacional","CLP",O110="Extranjero","USD",O110="","")</f>
        <v/>
      </c>
      <c r="R110" s="399" t="str">
        <f>IFERROR(IF(O110="Nacional",VLOOKUP(P110,PRICING!$D$4:$E$59,2,FALSE),VLOOKUP(P110,PRICING!$J$4:$K$59,2,FALSE)),"")</f>
        <v/>
      </c>
      <c r="S110"/>
      <c r="V110" s="399">
        <f t="shared" si="27"/>
        <v>0</v>
      </c>
      <c r="W110" s="400">
        <f t="shared" si="28"/>
        <v>0</v>
      </c>
      <c r="X110" s="393" t="str">
        <f t="shared" si="29"/>
        <v/>
      </c>
      <c r="Y110" s="393" t="str">
        <f t="shared" si="30"/>
        <v/>
      </c>
      <c r="Z110" s="393" t="str">
        <f t="shared" si="31"/>
        <v/>
      </c>
      <c r="AA110" s="393" t="str">
        <f t="shared" si="32"/>
        <v/>
      </c>
      <c r="AB110" s="393" t="str">
        <f t="shared" si="33"/>
        <v/>
      </c>
      <c r="AC110" s="393" t="str">
        <f t="shared" si="34"/>
        <v/>
      </c>
      <c r="AD110" s="398" t="str">
        <f t="shared" si="35"/>
        <v/>
      </c>
      <c r="AF110" s="396" t="str">
        <f t="shared" si="36"/>
        <v/>
      </c>
      <c r="AH110" s="393" t="str">
        <f t="shared" si="37"/>
        <v/>
      </c>
      <c r="AI110" s="393" t="str">
        <f t="shared" si="38"/>
        <v/>
      </c>
      <c r="AJ110" s="393" t="str">
        <f t="shared" si="42"/>
        <v/>
      </c>
      <c r="AK110" s="393" t="str">
        <f t="shared" si="39"/>
        <v/>
      </c>
      <c r="AL110" s="398" t="str">
        <f t="shared" si="40"/>
        <v/>
      </c>
      <c r="AN110" s="396" t="str">
        <f t="shared" si="41"/>
        <v/>
      </c>
      <c r="AQ110" s="395"/>
      <c r="AR110" s="395"/>
    </row>
    <row r="111" spans="1:44" x14ac:dyDescent="0.2">
      <c r="A111" s="398" t="str">
        <f>IF(B111="","",CONCATENATE("GBL",B111," - ",Mantenedor!E111))</f>
        <v/>
      </c>
      <c r="J111" s="318"/>
      <c r="K111" s="312"/>
      <c r="M111" s="315"/>
      <c r="P111" s="398" t="str">
        <f t="shared" si="26"/>
        <v/>
      </c>
      <c r="Q111" s="401" t="str" cm="1">
        <f t="array" ref="Q111">+_xlfn.IFS(O111="Nacional","CLP",O111="Extranjero","USD",O111="","")</f>
        <v/>
      </c>
      <c r="R111" s="399" t="str">
        <f>IFERROR(IF(O111="Nacional",VLOOKUP(P111,PRICING!$D$4:$E$59,2,FALSE),VLOOKUP(P111,PRICING!$J$4:$K$59,2,FALSE)),"")</f>
        <v/>
      </c>
      <c r="S111"/>
      <c r="V111" s="399">
        <f t="shared" si="27"/>
        <v>0</v>
      </c>
      <c r="W111" s="400">
        <f t="shared" si="28"/>
        <v>0</v>
      </c>
      <c r="X111" s="393" t="str">
        <f t="shared" si="29"/>
        <v/>
      </c>
      <c r="Y111" s="393" t="str">
        <f t="shared" si="30"/>
        <v/>
      </c>
      <c r="Z111" s="393" t="str">
        <f t="shared" si="31"/>
        <v/>
      </c>
      <c r="AA111" s="393" t="str">
        <f t="shared" si="32"/>
        <v/>
      </c>
      <c r="AB111" s="393" t="str">
        <f t="shared" si="33"/>
        <v/>
      </c>
      <c r="AC111" s="393" t="str">
        <f t="shared" si="34"/>
        <v/>
      </c>
      <c r="AD111" s="398" t="str">
        <f t="shared" si="35"/>
        <v/>
      </c>
      <c r="AF111" s="396" t="str">
        <f t="shared" si="36"/>
        <v/>
      </c>
      <c r="AH111" s="393" t="str">
        <f t="shared" si="37"/>
        <v/>
      </c>
      <c r="AI111" s="393" t="str">
        <f t="shared" si="38"/>
        <v/>
      </c>
      <c r="AJ111" s="393" t="str">
        <f t="shared" si="42"/>
        <v/>
      </c>
      <c r="AK111" s="393" t="str">
        <f t="shared" si="39"/>
        <v/>
      </c>
      <c r="AL111" s="398" t="str">
        <f t="shared" si="40"/>
        <v/>
      </c>
      <c r="AN111" s="396" t="str">
        <f t="shared" si="41"/>
        <v/>
      </c>
      <c r="AQ111" s="395"/>
      <c r="AR111" s="395"/>
    </row>
    <row r="112" spans="1:44" x14ac:dyDescent="0.2">
      <c r="A112" s="398" t="str">
        <f>IF(B112="","",CONCATENATE("GBL",B112," - ",Mantenedor!E112))</f>
        <v/>
      </c>
      <c r="J112" s="318"/>
      <c r="K112" s="312"/>
      <c r="M112" s="315"/>
      <c r="P112" s="398" t="str">
        <f t="shared" si="26"/>
        <v/>
      </c>
      <c r="Q112" s="401" t="str" cm="1">
        <f t="array" ref="Q112">+_xlfn.IFS(O112="Nacional","CLP",O112="Extranjero","USD",O112="","")</f>
        <v/>
      </c>
      <c r="R112" s="399" t="str">
        <f>IFERROR(IF(O112="Nacional",VLOOKUP(P112,PRICING!$D$4:$E$59,2,FALSE),VLOOKUP(P112,PRICING!$J$4:$K$59,2,FALSE)),"")</f>
        <v/>
      </c>
      <c r="S112"/>
      <c r="V112" s="399">
        <f t="shared" si="27"/>
        <v>0</v>
      </c>
      <c r="W112" s="400">
        <f t="shared" si="28"/>
        <v>0</v>
      </c>
      <c r="X112" s="393" t="str">
        <f t="shared" si="29"/>
        <v/>
      </c>
      <c r="Y112" s="393" t="str">
        <f t="shared" si="30"/>
        <v/>
      </c>
      <c r="Z112" s="393" t="str">
        <f t="shared" si="31"/>
        <v/>
      </c>
      <c r="AA112" s="393" t="str">
        <f t="shared" si="32"/>
        <v/>
      </c>
      <c r="AB112" s="393" t="str">
        <f t="shared" si="33"/>
        <v/>
      </c>
      <c r="AC112" s="393" t="str">
        <f t="shared" si="34"/>
        <v/>
      </c>
      <c r="AD112" s="398" t="str">
        <f t="shared" si="35"/>
        <v/>
      </c>
      <c r="AF112" s="396" t="str">
        <f t="shared" si="36"/>
        <v/>
      </c>
      <c r="AH112" s="393" t="str">
        <f t="shared" si="37"/>
        <v/>
      </c>
      <c r="AI112" s="393" t="str">
        <f t="shared" si="38"/>
        <v/>
      </c>
      <c r="AJ112" s="393" t="str">
        <f t="shared" si="42"/>
        <v/>
      </c>
      <c r="AK112" s="393" t="str">
        <f t="shared" si="39"/>
        <v/>
      </c>
      <c r="AL112" s="398" t="str">
        <f t="shared" si="40"/>
        <v/>
      </c>
      <c r="AN112" s="396" t="str">
        <f t="shared" si="41"/>
        <v/>
      </c>
      <c r="AQ112" s="395"/>
      <c r="AR112" s="395"/>
    </row>
    <row r="113" spans="1:44" x14ac:dyDescent="0.2">
      <c r="A113" s="398" t="str">
        <f>IF(B113="","",CONCATENATE("GBL",B113," - ",Mantenedor!E113))</f>
        <v/>
      </c>
      <c r="J113" s="318"/>
      <c r="K113" s="312"/>
      <c r="M113" s="315"/>
      <c r="P113" s="398" t="str">
        <f t="shared" si="26"/>
        <v/>
      </c>
      <c r="Q113" s="401" t="str" cm="1">
        <f t="array" ref="Q113">+_xlfn.IFS(O113="Nacional","CLP",O113="Extranjero","USD",O113="","")</f>
        <v/>
      </c>
      <c r="R113" s="399" t="str">
        <f>IFERROR(IF(O113="Nacional",VLOOKUP(P113,PRICING!$D$4:$E$59,2,FALSE),VLOOKUP(P113,PRICING!$J$4:$K$59,2,FALSE)),"")</f>
        <v/>
      </c>
      <c r="S113"/>
      <c r="V113" s="399">
        <f t="shared" si="27"/>
        <v>0</v>
      </c>
      <c r="W113" s="400">
        <f t="shared" si="28"/>
        <v>0</v>
      </c>
      <c r="X113" s="393" t="str">
        <f t="shared" si="29"/>
        <v/>
      </c>
      <c r="Y113" s="393" t="str">
        <f t="shared" si="30"/>
        <v/>
      </c>
      <c r="Z113" s="393" t="str">
        <f t="shared" si="31"/>
        <v/>
      </c>
      <c r="AA113" s="393" t="str">
        <f t="shared" si="32"/>
        <v/>
      </c>
      <c r="AB113" s="393" t="str">
        <f t="shared" si="33"/>
        <v/>
      </c>
      <c r="AC113" s="393" t="str">
        <f t="shared" si="34"/>
        <v/>
      </c>
      <c r="AD113" s="398" t="str">
        <f t="shared" si="35"/>
        <v/>
      </c>
      <c r="AF113" s="396" t="str">
        <f t="shared" si="36"/>
        <v/>
      </c>
      <c r="AH113" s="393" t="str">
        <f t="shared" si="37"/>
        <v/>
      </c>
      <c r="AI113" s="393" t="str">
        <f t="shared" si="38"/>
        <v/>
      </c>
      <c r="AJ113" s="393" t="str">
        <f t="shared" si="42"/>
        <v/>
      </c>
      <c r="AK113" s="393" t="str">
        <f t="shared" si="39"/>
        <v/>
      </c>
      <c r="AL113" s="398" t="str">
        <f t="shared" si="40"/>
        <v/>
      </c>
      <c r="AN113" s="396" t="str">
        <f t="shared" si="41"/>
        <v/>
      </c>
      <c r="AQ113" s="395"/>
      <c r="AR113" s="395"/>
    </row>
    <row r="114" spans="1:44" x14ac:dyDescent="0.2">
      <c r="A114" s="398" t="str">
        <f>IF(B114="","",CONCATENATE("GBL",B114," - ",Mantenedor!E114))</f>
        <v/>
      </c>
      <c r="J114" s="318"/>
      <c r="K114" s="312"/>
      <c r="M114" s="315"/>
      <c r="P114" s="398" t="str">
        <f t="shared" si="26"/>
        <v/>
      </c>
      <c r="Q114" s="401" t="str" cm="1">
        <f t="array" ref="Q114">+_xlfn.IFS(O114="Nacional","CLP",O114="Extranjero","USD",O114="","")</f>
        <v/>
      </c>
      <c r="R114" s="399" t="str">
        <f>IFERROR(IF(O114="Nacional",VLOOKUP(P114,PRICING!$D$4:$E$59,2,FALSE),VLOOKUP(P114,PRICING!$J$4:$K$59,2,FALSE)),"")</f>
        <v/>
      </c>
      <c r="S114"/>
      <c r="V114" s="399">
        <f t="shared" si="27"/>
        <v>0</v>
      </c>
      <c r="W114" s="400">
        <f t="shared" si="28"/>
        <v>0</v>
      </c>
      <c r="X114" s="393" t="str">
        <f t="shared" si="29"/>
        <v/>
      </c>
      <c r="Y114" s="393" t="str">
        <f t="shared" si="30"/>
        <v/>
      </c>
      <c r="Z114" s="393" t="str">
        <f t="shared" si="31"/>
        <v/>
      </c>
      <c r="AA114" s="393" t="str">
        <f t="shared" si="32"/>
        <v/>
      </c>
      <c r="AB114" s="393" t="str">
        <f t="shared" si="33"/>
        <v/>
      </c>
      <c r="AC114" s="393" t="str">
        <f t="shared" si="34"/>
        <v/>
      </c>
      <c r="AD114" s="398" t="str">
        <f t="shared" si="35"/>
        <v/>
      </c>
      <c r="AF114" s="396" t="str">
        <f t="shared" si="36"/>
        <v/>
      </c>
      <c r="AH114" s="393" t="str">
        <f t="shared" si="37"/>
        <v/>
      </c>
      <c r="AI114" s="393" t="str">
        <f t="shared" si="38"/>
        <v/>
      </c>
      <c r="AJ114" s="393" t="str">
        <f t="shared" si="42"/>
        <v/>
      </c>
      <c r="AK114" s="393" t="str">
        <f t="shared" si="39"/>
        <v/>
      </c>
      <c r="AL114" s="398" t="str">
        <f t="shared" si="40"/>
        <v/>
      </c>
      <c r="AN114" s="396" t="str">
        <f t="shared" si="41"/>
        <v/>
      </c>
      <c r="AQ114" s="395"/>
      <c r="AR114" s="395"/>
    </row>
    <row r="115" spans="1:44" x14ac:dyDescent="0.2">
      <c r="A115" s="398" t="str">
        <f>IF(B115="","",CONCATENATE("GBL",B115," - ",Mantenedor!E115))</f>
        <v/>
      </c>
      <c r="J115" s="318"/>
      <c r="K115" s="312"/>
      <c r="M115" s="315"/>
      <c r="P115" s="398" t="str">
        <f t="shared" si="26"/>
        <v/>
      </c>
      <c r="Q115" s="401" t="str" cm="1">
        <f t="array" ref="Q115">+_xlfn.IFS(O115="Nacional","CLP",O115="Extranjero","USD",O115="","")</f>
        <v/>
      </c>
      <c r="R115" s="399" t="str">
        <f>IFERROR(IF(O115="Nacional",VLOOKUP(P115,PRICING!$D$4:$E$59,2,FALSE),VLOOKUP(P115,PRICING!$J$4:$K$59,2,FALSE)),"")</f>
        <v/>
      </c>
      <c r="S115"/>
      <c r="V115" s="399">
        <f t="shared" si="27"/>
        <v>0</v>
      </c>
      <c r="W115" s="400">
        <f t="shared" si="28"/>
        <v>0</v>
      </c>
      <c r="X115" s="393" t="str">
        <f t="shared" si="29"/>
        <v/>
      </c>
      <c r="Y115" s="393" t="str">
        <f t="shared" si="30"/>
        <v/>
      </c>
      <c r="Z115" s="393" t="str">
        <f t="shared" si="31"/>
        <v/>
      </c>
      <c r="AA115" s="393" t="str">
        <f t="shared" si="32"/>
        <v/>
      </c>
      <c r="AB115" s="393" t="str">
        <f t="shared" si="33"/>
        <v/>
      </c>
      <c r="AC115" s="393" t="str">
        <f t="shared" si="34"/>
        <v/>
      </c>
      <c r="AD115" s="398" t="str">
        <f t="shared" si="35"/>
        <v/>
      </c>
      <c r="AF115" s="396" t="str">
        <f t="shared" si="36"/>
        <v/>
      </c>
      <c r="AH115" s="393" t="str">
        <f t="shared" si="37"/>
        <v/>
      </c>
      <c r="AI115" s="393" t="str">
        <f t="shared" si="38"/>
        <v/>
      </c>
      <c r="AJ115" s="393" t="str">
        <f t="shared" si="42"/>
        <v/>
      </c>
      <c r="AK115" s="393" t="str">
        <f t="shared" si="39"/>
        <v/>
      </c>
      <c r="AL115" s="398" t="str">
        <f t="shared" si="40"/>
        <v/>
      </c>
      <c r="AN115" s="396" t="str">
        <f t="shared" si="41"/>
        <v/>
      </c>
      <c r="AQ115" s="395"/>
      <c r="AR115" s="395"/>
    </row>
    <row r="116" spans="1:44" x14ac:dyDescent="0.2">
      <c r="A116" s="398" t="str">
        <f>IF(B116="","",CONCATENATE("GBL",B116," - ",Mantenedor!E116))</f>
        <v/>
      </c>
      <c r="J116" s="318"/>
      <c r="K116" s="312"/>
      <c r="M116" s="315"/>
      <c r="P116" s="398" t="str">
        <f t="shared" si="26"/>
        <v/>
      </c>
      <c r="Q116" s="401" t="str" cm="1">
        <f t="array" ref="Q116">+_xlfn.IFS(O116="Nacional","CLP",O116="Extranjero","USD",O116="","")</f>
        <v/>
      </c>
      <c r="R116" s="399" t="str">
        <f>IFERROR(IF(O116="Nacional",VLOOKUP(P116,PRICING!$D$4:$E$59,2,FALSE),VLOOKUP(P116,PRICING!$J$4:$K$59,2,FALSE)),"")</f>
        <v/>
      </c>
      <c r="S116"/>
      <c r="V116" s="399">
        <f t="shared" si="27"/>
        <v>0</v>
      </c>
      <c r="W116" s="400">
        <f t="shared" si="28"/>
        <v>0</v>
      </c>
      <c r="X116" s="393" t="str">
        <f t="shared" si="29"/>
        <v/>
      </c>
      <c r="Y116" s="393" t="str">
        <f t="shared" si="30"/>
        <v/>
      </c>
      <c r="Z116" s="393" t="str">
        <f t="shared" si="31"/>
        <v/>
      </c>
      <c r="AA116" s="393" t="str">
        <f t="shared" si="32"/>
        <v/>
      </c>
      <c r="AB116" s="393" t="str">
        <f t="shared" si="33"/>
        <v/>
      </c>
      <c r="AC116" s="393" t="str">
        <f t="shared" si="34"/>
        <v/>
      </c>
      <c r="AD116" s="398" t="str">
        <f t="shared" si="35"/>
        <v/>
      </c>
      <c r="AF116" s="396" t="str">
        <f t="shared" si="36"/>
        <v/>
      </c>
      <c r="AH116" s="393" t="str">
        <f t="shared" si="37"/>
        <v/>
      </c>
      <c r="AI116" s="393" t="str">
        <f t="shared" si="38"/>
        <v/>
      </c>
      <c r="AJ116" s="393" t="str">
        <f t="shared" si="42"/>
        <v/>
      </c>
      <c r="AK116" s="393" t="str">
        <f t="shared" si="39"/>
        <v/>
      </c>
      <c r="AL116" s="398" t="str">
        <f t="shared" si="40"/>
        <v/>
      </c>
      <c r="AN116" s="396" t="str">
        <f t="shared" si="41"/>
        <v/>
      </c>
      <c r="AQ116" s="395"/>
      <c r="AR116" s="395"/>
    </row>
    <row r="117" spans="1:44" x14ac:dyDescent="0.2">
      <c r="A117" s="398" t="str">
        <f>IF(B117="","",CONCATENATE("GBL",B117," - ",Mantenedor!E117))</f>
        <v/>
      </c>
      <c r="J117" s="318"/>
      <c r="K117" s="312"/>
      <c r="M117" s="315"/>
      <c r="P117" s="398" t="str">
        <f t="shared" si="26"/>
        <v/>
      </c>
      <c r="Q117" s="401" t="str" cm="1">
        <f t="array" ref="Q117">+_xlfn.IFS(O117="Nacional","CLP",O117="Extranjero","USD",O117="","")</f>
        <v/>
      </c>
      <c r="R117" s="399" t="str">
        <f>IFERROR(IF(O117="Nacional",VLOOKUP(P117,PRICING!$D$4:$E$59,2,FALSE),VLOOKUP(P117,PRICING!$J$4:$K$59,2,FALSE)),"")</f>
        <v/>
      </c>
      <c r="S117"/>
      <c r="V117" s="399">
        <f t="shared" si="27"/>
        <v>0</v>
      </c>
      <c r="W117" s="400">
        <f t="shared" si="28"/>
        <v>0</v>
      </c>
      <c r="X117" s="393" t="str">
        <f t="shared" si="29"/>
        <v/>
      </c>
      <c r="Y117" s="393" t="str">
        <f t="shared" si="30"/>
        <v/>
      </c>
      <c r="Z117" s="393" t="str">
        <f t="shared" si="31"/>
        <v/>
      </c>
      <c r="AA117" s="393" t="str">
        <f t="shared" si="32"/>
        <v/>
      </c>
      <c r="AB117" s="393" t="str">
        <f t="shared" si="33"/>
        <v/>
      </c>
      <c r="AC117" s="393" t="str">
        <f t="shared" si="34"/>
        <v/>
      </c>
      <c r="AD117" s="398" t="str">
        <f t="shared" si="35"/>
        <v/>
      </c>
      <c r="AF117" s="396" t="str">
        <f t="shared" si="36"/>
        <v/>
      </c>
      <c r="AH117" s="393" t="str">
        <f t="shared" si="37"/>
        <v/>
      </c>
      <c r="AI117" s="393" t="str">
        <f t="shared" si="38"/>
        <v/>
      </c>
      <c r="AJ117" s="393" t="str">
        <f t="shared" si="42"/>
        <v/>
      </c>
      <c r="AK117" s="393" t="str">
        <f t="shared" si="39"/>
        <v/>
      </c>
      <c r="AL117" s="398" t="str">
        <f t="shared" si="40"/>
        <v/>
      </c>
      <c r="AN117" s="396" t="str">
        <f t="shared" si="41"/>
        <v/>
      </c>
      <c r="AQ117" s="395"/>
      <c r="AR117" s="395"/>
    </row>
    <row r="118" spans="1:44" x14ac:dyDescent="0.2">
      <c r="A118" s="398" t="str">
        <f>IF(B118="","",CONCATENATE("GBL",B118," - ",Mantenedor!E118))</f>
        <v/>
      </c>
      <c r="J118" s="318"/>
      <c r="K118" s="312"/>
      <c r="M118" s="315"/>
      <c r="P118" s="398" t="str">
        <f t="shared" si="26"/>
        <v/>
      </c>
      <c r="Q118" s="401" t="str" cm="1">
        <f t="array" ref="Q118">+_xlfn.IFS(O118="Nacional","CLP",O118="Extranjero","USD",O118="","")</f>
        <v/>
      </c>
      <c r="R118" s="399" t="str">
        <f>IFERROR(IF(O118="Nacional",VLOOKUP(P118,PRICING!$D$4:$E$59,2,FALSE),VLOOKUP(P118,PRICING!$J$4:$K$59,2,FALSE)),"")</f>
        <v/>
      </c>
      <c r="S118"/>
      <c r="V118" s="399">
        <f t="shared" si="27"/>
        <v>0</v>
      </c>
      <c r="W118" s="400">
        <f t="shared" si="28"/>
        <v>0</v>
      </c>
      <c r="X118" s="393" t="str">
        <f t="shared" si="29"/>
        <v/>
      </c>
      <c r="Y118" s="393" t="str">
        <f t="shared" si="30"/>
        <v/>
      </c>
      <c r="Z118" s="393" t="str">
        <f t="shared" si="31"/>
        <v/>
      </c>
      <c r="AA118" s="393" t="str">
        <f t="shared" si="32"/>
        <v/>
      </c>
      <c r="AB118" s="393" t="str">
        <f t="shared" si="33"/>
        <v/>
      </c>
      <c r="AC118" s="393" t="str">
        <f t="shared" si="34"/>
        <v/>
      </c>
      <c r="AD118" s="398" t="str">
        <f t="shared" si="35"/>
        <v/>
      </c>
      <c r="AF118" s="396" t="str">
        <f t="shared" si="36"/>
        <v/>
      </c>
      <c r="AH118" s="393" t="str">
        <f t="shared" si="37"/>
        <v/>
      </c>
      <c r="AI118" s="393" t="str">
        <f t="shared" si="38"/>
        <v/>
      </c>
      <c r="AJ118" s="393" t="str">
        <f t="shared" si="42"/>
        <v/>
      </c>
      <c r="AK118" s="393" t="str">
        <f t="shared" si="39"/>
        <v/>
      </c>
      <c r="AL118" s="398" t="str">
        <f t="shared" si="40"/>
        <v/>
      </c>
      <c r="AN118" s="396" t="str">
        <f t="shared" si="41"/>
        <v/>
      </c>
      <c r="AQ118" s="395"/>
      <c r="AR118" s="395"/>
    </row>
    <row r="119" spans="1:44" x14ac:dyDescent="0.2">
      <c r="A119" s="398" t="str">
        <f>IF(B119="","",CONCATENATE("GBL",B119," - ",Mantenedor!E119))</f>
        <v/>
      </c>
      <c r="J119" s="318"/>
      <c r="K119" s="312"/>
      <c r="M119" s="315"/>
      <c r="P119" s="398" t="str">
        <f t="shared" si="26"/>
        <v/>
      </c>
      <c r="Q119" s="401" t="str" cm="1">
        <f t="array" ref="Q119">+_xlfn.IFS(O119="Nacional","CLP",O119="Extranjero","USD",O119="","")</f>
        <v/>
      </c>
      <c r="R119" s="399" t="str">
        <f>IFERROR(IF(O119="Nacional",VLOOKUP(P119,PRICING!$D$4:$E$59,2,FALSE),VLOOKUP(P119,PRICING!$J$4:$K$59,2,FALSE)),"")</f>
        <v/>
      </c>
      <c r="S119"/>
      <c r="V119" s="399">
        <f t="shared" si="27"/>
        <v>0</v>
      </c>
      <c r="W119" s="400">
        <f t="shared" si="28"/>
        <v>0</v>
      </c>
      <c r="X119" s="393" t="str">
        <f t="shared" si="29"/>
        <v/>
      </c>
      <c r="Y119" s="393" t="str">
        <f t="shared" si="30"/>
        <v/>
      </c>
      <c r="Z119" s="393" t="str">
        <f t="shared" si="31"/>
        <v/>
      </c>
      <c r="AA119" s="393" t="str">
        <f t="shared" si="32"/>
        <v/>
      </c>
      <c r="AB119" s="393" t="str">
        <f t="shared" si="33"/>
        <v/>
      </c>
      <c r="AC119" s="393" t="str">
        <f t="shared" si="34"/>
        <v/>
      </c>
      <c r="AD119" s="398" t="str">
        <f t="shared" si="35"/>
        <v/>
      </c>
      <c r="AF119" s="396" t="str">
        <f t="shared" si="36"/>
        <v/>
      </c>
      <c r="AH119" s="393" t="str">
        <f t="shared" si="37"/>
        <v/>
      </c>
      <c r="AI119" s="393" t="str">
        <f t="shared" si="38"/>
        <v/>
      </c>
      <c r="AJ119" s="393" t="str">
        <f t="shared" si="42"/>
        <v/>
      </c>
      <c r="AK119" s="393" t="str">
        <f t="shared" si="39"/>
        <v/>
      </c>
      <c r="AL119" s="398" t="str">
        <f t="shared" si="40"/>
        <v/>
      </c>
      <c r="AN119" s="396" t="str">
        <f t="shared" si="41"/>
        <v/>
      </c>
      <c r="AQ119" s="395"/>
      <c r="AR119" s="395"/>
    </row>
    <row r="120" spans="1:44" x14ac:dyDescent="0.2">
      <c r="A120" s="398" t="str">
        <f>IF(B120="","",CONCATENATE("GBL",B120," - ",Mantenedor!E120))</f>
        <v/>
      </c>
      <c r="J120" s="318"/>
      <c r="K120" s="312"/>
      <c r="M120" s="315"/>
      <c r="P120" s="398" t="str">
        <f t="shared" si="26"/>
        <v/>
      </c>
      <c r="Q120" s="401" t="str" cm="1">
        <f t="array" ref="Q120">+_xlfn.IFS(O120="Nacional","CLP",O120="Extranjero","USD",O120="","")</f>
        <v/>
      </c>
      <c r="R120" s="399" t="str">
        <f>IFERROR(IF(O120="Nacional",VLOOKUP(P120,PRICING!$D$4:$E$59,2,FALSE),VLOOKUP(P120,PRICING!$J$4:$K$59,2,FALSE)),"")</f>
        <v/>
      </c>
      <c r="S120"/>
      <c r="V120" s="399">
        <f t="shared" si="27"/>
        <v>0</v>
      </c>
      <c r="W120" s="400">
        <f t="shared" si="28"/>
        <v>0</v>
      </c>
      <c r="X120" s="393" t="str">
        <f t="shared" si="29"/>
        <v/>
      </c>
      <c r="Y120" s="393" t="str">
        <f t="shared" si="30"/>
        <v/>
      </c>
      <c r="Z120" s="393" t="str">
        <f t="shared" si="31"/>
        <v/>
      </c>
      <c r="AA120" s="393" t="str">
        <f t="shared" si="32"/>
        <v/>
      </c>
      <c r="AB120" s="393" t="str">
        <f t="shared" si="33"/>
        <v/>
      </c>
      <c r="AC120" s="393" t="str">
        <f t="shared" si="34"/>
        <v/>
      </c>
      <c r="AD120" s="398" t="str">
        <f t="shared" si="35"/>
        <v/>
      </c>
      <c r="AF120" s="396" t="str">
        <f t="shared" si="36"/>
        <v/>
      </c>
      <c r="AH120" s="393" t="str">
        <f t="shared" si="37"/>
        <v/>
      </c>
      <c r="AI120" s="393" t="str">
        <f t="shared" si="38"/>
        <v/>
      </c>
      <c r="AJ120" s="393" t="str">
        <f t="shared" si="42"/>
        <v/>
      </c>
      <c r="AK120" s="393" t="str">
        <f t="shared" si="39"/>
        <v/>
      </c>
      <c r="AL120" s="398" t="str">
        <f t="shared" si="40"/>
        <v/>
      </c>
      <c r="AN120" s="396" t="str">
        <f t="shared" si="41"/>
        <v/>
      </c>
      <c r="AQ120" s="395"/>
      <c r="AR120" s="395"/>
    </row>
    <row r="121" spans="1:44" x14ac:dyDescent="0.2">
      <c r="A121" s="398" t="str">
        <f>IF(B121="","",CONCATENATE("GBL",B121," - ",Mantenedor!E121))</f>
        <v/>
      </c>
      <c r="J121" s="318"/>
      <c r="K121" s="312"/>
      <c r="M121" s="315"/>
      <c r="P121" s="398" t="str">
        <f t="shared" si="26"/>
        <v/>
      </c>
      <c r="Q121" s="401" t="str" cm="1">
        <f t="array" ref="Q121">+_xlfn.IFS(O121="Nacional","CLP",O121="Extranjero","USD",O121="","")</f>
        <v/>
      </c>
      <c r="R121" s="399" t="str">
        <f>IFERROR(IF(O121="Nacional",VLOOKUP(P121,PRICING!$D$4:$E$59,2,FALSE),VLOOKUP(P121,PRICING!$J$4:$K$59,2,FALSE)),"")</f>
        <v/>
      </c>
      <c r="S121"/>
      <c r="V121" s="399">
        <f t="shared" si="27"/>
        <v>0</v>
      </c>
      <c r="W121" s="400">
        <f t="shared" si="28"/>
        <v>0</v>
      </c>
      <c r="X121" s="393" t="str">
        <f t="shared" si="29"/>
        <v/>
      </c>
      <c r="Y121" s="393" t="str">
        <f t="shared" si="30"/>
        <v/>
      </c>
      <c r="Z121" s="393" t="str">
        <f t="shared" si="31"/>
        <v/>
      </c>
      <c r="AA121" s="393" t="str">
        <f t="shared" si="32"/>
        <v/>
      </c>
      <c r="AB121" s="393" t="str">
        <f t="shared" si="33"/>
        <v/>
      </c>
      <c r="AC121" s="393" t="str">
        <f t="shared" si="34"/>
        <v/>
      </c>
      <c r="AD121" s="398" t="str">
        <f t="shared" si="35"/>
        <v/>
      </c>
      <c r="AF121" s="396" t="str">
        <f t="shared" si="36"/>
        <v/>
      </c>
      <c r="AH121" s="393" t="str">
        <f t="shared" si="37"/>
        <v/>
      </c>
      <c r="AI121" s="393" t="str">
        <f t="shared" si="38"/>
        <v/>
      </c>
      <c r="AJ121" s="393" t="str">
        <f t="shared" si="42"/>
        <v/>
      </c>
      <c r="AK121" s="393" t="str">
        <f t="shared" si="39"/>
        <v/>
      </c>
      <c r="AL121" s="398" t="str">
        <f t="shared" si="40"/>
        <v/>
      </c>
      <c r="AN121" s="396" t="str">
        <f t="shared" si="41"/>
        <v/>
      </c>
      <c r="AQ121" s="395"/>
      <c r="AR121" s="395"/>
    </row>
    <row r="122" spans="1:44" x14ac:dyDescent="0.2">
      <c r="A122" s="398" t="str">
        <f>IF(B122="","",CONCATENATE("GBL",B122," - ",Mantenedor!E122))</f>
        <v/>
      </c>
      <c r="J122" s="318"/>
      <c r="K122" s="312"/>
      <c r="M122" s="315"/>
      <c r="P122" s="398" t="str">
        <f t="shared" si="26"/>
        <v/>
      </c>
      <c r="Q122" s="401" t="str" cm="1">
        <f t="array" ref="Q122">+_xlfn.IFS(O122="Nacional","CLP",O122="Extranjero","USD",O122="","")</f>
        <v/>
      </c>
      <c r="R122" s="399" t="str">
        <f>IFERROR(IF(O122="Nacional",VLOOKUP(P122,PRICING!$D$4:$E$59,2,FALSE),VLOOKUP(P122,PRICING!$J$4:$K$59,2,FALSE)),"")</f>
        <v/>
      </c>
      <c r="S122"/>
      <c r="V122" s="399">
        <f t="shared" si="27"/>
        <v>0</v>
      </c>
      <c r="W122" s="400">
        <f t="shared" si="28"/>
        <v>0</v>
      </c>
      <c r="X122" s="393" t="str">
        <f t="shared" si="29"/>
        <v/>
      </c>
      <c r="Y122" s="393" t="str">
        <f t="shared" si="30"/>
        <v/>
      </c>
      <c r="Z122" s="393" t="str">
        <f t="shared" si="31"/>
        <v/>
      </c>
      <c r="AA122" s="393" t="str">
        <f t="shared" si="32"/>
        <v/>
      </c>
      <c r="AB122" s="393" t="str">
        <f t="shared" si="33"/>
        <v/>
      </c>
      <c r="AC122" s="393" t="str">
        <f t="shared" si="34"/>
        <v/>
      </c>
      <c r="AD122" s="398" t="str">
        <f t="shared" si="35"/>
        <v/>
      </c>
      <c r="AF122" s="396" t="str">
        <f t="shared" si="36"/>
        <v/>
      </c>
      <c r="AH122" s="393" t="str">
        <f t="shared" si="37"/>
        <v/>
      </c>
      <c r="AI122" s="393" t="str">
        <f t="shared" si="38"/>
        <v/>
      </c>
      <c r="AJ122" s="393" t="str">
        <f t="shared" si="42"/>
        <v/>
      </c>
      <c r="AK122" s="393" t="str">
        <f t="shared" si="39"/>
        <v/>
      </c>
      <c r="AL122" s="398" t="str">
        <f t="shared" si="40"/>
        <v/>
      </c>
      <c r="AN122" s="396" t="str">
        <f t="shared" si="41"/>
        <v/>
      </c>
      <c r="AQ122" s="395"/>
      <c r="AR122" s="395"/>
    </row>
    <row r="123" spans="1:44" x14ac:dyDescent="0.2">
      <c r="A123" s="398" t="str">
        <f>IF(B123="","",CONCATENATE("GBL",B123," - ",Mantenedor!E123))</f>
        <v/>
      </c>
      <c r="J123" s="318"/>
      <c r="K123" s="312"/>
      <c r="M123" s="315"/>
      <c r="P123" s="398" t="str">
        <f t="shared" si="26"/>
        <v/>
      </c>
      <c r="Q123" s="401" t="str" cm="1">
        <f t="array" ref="Q123">+_xlfn.IFS(O123="Nacional","CLP",O123="Extranjero","USD",O123="","")</f>
        <v/>
      </c>
      <c r="R123" s="399" t="str">
        <f>IFERROR(IF(O123="Nacional",VLOOKUP(P123,PRICING!$D$4:$E$59,2,FALSE),VLOOKUP(P123,PRICING!$J$4:$K$59,2,FALSE)),"")</f>
        <v/>
      </c>
      <c r="S123"/>
      <c r="V123" s="399">
        <f t="shared" si="27"/>
        <v>0</v>
      </c>
      <c r="W123" s="400">
        <f t="shared" si="28"/>
        <v>0</v>
      </c>
      <c r="X123" s="393" t="str">
        <f t="shared" si="29"/>
        <v/>
      </c>
      <c r="Y123" s="393" t="str">
        <f t="shared" si="30"/>
        <v/>
      </c>
      <c r="Z123" s="393" t="str">
        <f t="shared" si="31"/>
        <v/>
      </c>
      <c r="AA123" s="393" t="str">
        <f t="shared" si="32"/>
        <v/>
      </c>
      <c r="AB123" s="393" t="str">
        <f t="shared" si="33"/>
        <v/>
      </c>
      <c r="AC123" s="393" t="str">
        <f t="shared" si="34"/>
        <v/>
      </c>
      <c r="AD123" s="398" t="str">
        <f t="shared" si="35"/>
        <v/>
      </c>
      <c r="AF123" s="396" t="str">
        <f t="shared" si="36"/>
        <v/>
      </c>
      <c r="AH123" s="393" t="str">
        <f t="shared" si="37"/>
        <v/>
      </c>
      <c r="AI123" s="393" t="str">
        <f t="shared" si="38"/>
        <v/>
      </c>
      <c r="AJ123" s="393" t="str">
        <f t="shared" si="42"/>
        <v/>
      </c>
      <c r="AK123" s="393" t="str">
        <f t="shared" si="39"/>
        <v/>
      </c>
      <c r="AL123" s="398" t="str">
        <f t="shared" si="40"/>
        <v/>
      </c>
      <c r="AN123" s="396" t="str">
        <f t="shared" si="41"/>
        <v/>
      </c>
      <c r="AQ123" s="395"/>
      <c r="AR123" s="395"/>
    </row>
    <row r="124" spans="1:44" x14ac:dyDescent="0.2">
      <c r="A124" s="398" t="str">
        <f>IF(B124="","",CONCATENATE("GBL",B124," - ",Mantenedor!E124))</f>
        <v/>
      </c>
      <c r="J124" s="318"/>
      <c r="K124" s="312"/>
      <c r="M124" s="315"/>
      <c r="P124" s="398" t="str">
        <f t="shared" si="26"/>
        <v/>
      </c>
      <c r="Q124" s="401" t="str" cm="1">
        <f t="array" ref="Q124">+_xlfn.IFS(O124="Nacional","CLP",O124="Extranjero","USD",O124="","")</f>
        <v/>
      </c>
      <c r="R124" s="399" t="str">
        <f>IFERROR(IF(O124="Nacional",VLOOKUP(P124,PRICING!$D$4:$E$59,2,FALSE),VLOOKUP(P124,PRICING!$J$4:$K$59,2,FALSE)),"")</f>
        <v/>
      </c>
      <c r="S124"/>
      <c r="V124" s="399">
        <f t="shared" si="27"/>
        <v>0</v>
      </c>
      <c r="W124" s="400">
        <f t="shared" si="28"/>
        <v>0</v>
      </c>
      <c r="X124" s="393" t="str">
        <f t="shared" si="29"/>
        <v/>
      </c>
      <c r="Y124" s="393" t="str">
        <f t="shared" si="30"/>
        <v/>
      </c>
      <c r="Z124" s="393" t="str">
        <f t="shared" si="31"/>
        <v/>
      </c>
      <c r="AA124" s="393" t="str">
        <f t="shared" si="32"/>
        <v/>
      </c>
      <c r="AB124" s="393" t="str">
        <f t="shared" si="33"/>
        <v/>
      </c>
      <c r="AC124" s="393" t="str">
        <f t="shared" si="34"/>
        <v/>
      </c>
      <c r="AD124" s="398" t="str">
        <f t="shared" si="35"/>
        <v/>
      </c>
      <c r="AF124" s="396" t="str">
        <f t="shared" si="36"/>
        <v/>
      </c>
      <c r="AH124" s="393" t="str">
        <f t="shared" si="37"/>
        <v/>
      </c>
      <c r="AI124" s="393" t="str">
        <f t="shared" si="38"/>
        <v/>
      </c>
      <c r="AJ124" s="393" t="str">
        <f t="shared" si="42"/>
        <v/>
      </c>
      <c r="AK124" s="393" t="str">
        <f t="shared" si="39"/>
        <v/>
      </c>
      <c r="AL124" s="398" t="str">
        <f t="shared" si="40"/>
        <v/>
      </c>
      <c r="AN124" s="396" t="str">
        <f t="shared" si="41"/>
        <v/>
      </c>
      <c r="AQ124" s="395"/>
      <c r="AR124" s="395"/>
    </row>
    <row r="125" spans="1:44" x14ac:dyDescent="0.2">
      <c r="A125" s="398" t="str">
        <f>IF(B125="","",CONCATENATE("GBL",B125," - ",Mantenedor!E125))</f>
        <v/>
      </c>
      <c r="J125" s="318"/>
      <c r="K125" s="312"/>
      <c r="M125" s="315"/>
      <c r="P125" s="398" t="str">
        <f t="shared" si="26"/>
        <v/>
      </c>
      <c r="Q125" s="401" t="str" cm="1">
        <f t="array" ref="Q125">+_xlfn.IFS(O125="Nacional","CLP",O125="Extranjero","USD",O125="","")</f>
        <v/>
      </c>
      <c r="R125" s="399" t="str">
        <f>IFERROR(IF(O125="Nacional",VLOOKUP(P125,PRICING!$D$4:$E$59,2,FALSE),VLOOKUP(P125,PRICING!$J$4:$K$59,2,FALSE)),"")</f>
        <v/>
      </c>
      <c r="S125"/>
      <c r="V125" s="399">
        <f t="shared" si="27"/>
        <v>0</v>
      </c>
      <c r="W125" s="400">
        <f t="shared" si="28"/>
        <v>0</v>
      </c>
      <c r="X125" s="393" t="str">
        <f t="shared" si="29"/>
        <v/>
      </c>
      <c r="Y125" s="393" t="str">
        <f t="shared" si="30"/>
        <v/>
      </c>
      <c r="Z125" s="393" t="str">
        <f t="shared" si="31"/>
        <v/>
      </c>
      <c r="AA125" s="393" t="str">
        <f t="shared" si="32"/>
        <v/>
      </c>
      <c r="AB125" s="393" t="str">
        <f t="shared" si="33"/>
        <v/>
      </c>
      <c r="AC125" s="393" t="str">
        <f t="shared" si="34"/>
        <v/>
      </c>
      <c r="AD125" s="398" t="str">
        <f t="shared" si="35"/>
        <v/>
      </c>
      <c r="AF125" s="396" t="str">
        <f t="shared" si="36"/>
        <v/>
      </c>
      <c r="AH125" s="393" t="str">
        <f t="shared" si="37"/>
        <v/>
      </c>
      <c r="AI125" s="393" t="str">
        <f t="shared" si="38"/>
        <v/>
      </c>
      <c r="AJ125" s="393" t="str">
        <f t="shared" si="42"/>
        <v/>
      </c>
      <c r="AK125" s="393" t="str">
        <f t="shared" si="39"/>
        <v/>
      </c>
      <c r="AL125" s="398" t="str">
        <f t="shared" si="40"/>
        <v/>
      </c>
      <c r="AN125" s="396" t="str">
        <f t="shared" si="41"/>
        <v/>
      </c>
      <c r="AQ125" s="395"/>
      <c r="AR125" s="395"/>
    </row>
    <row r="126" spans="1:44" x14ac:dyDescent="0.2">
      <c r="A126" s="398" t="str">
        <f>IF(B126="","",CONCATENATE("GBL",B126," - ",Mantenedor!E126))</f>
        <v/>
      </c>
      <c r="J126" s="318"/>
      <c r="K126" s="312"/>
      <c r="M126" s="315"/>
      <c r="P126" s="398" t="str">
        <f t="shared" si="26"/>
        <v/>
      </c>
      <c r="Q126" s="401" t="str" cm="1">
        <f t="array" ref="Q126">+_xlfn.IFS(O126="Nacional","CLP",O126="Extranjero","USD",O126="","")</f>
        <v/>
      </c>
      <c r="R126" s="399" t="str">
        <f>IFERROR(IF(O126="Nacional",VLOOKUP(P126,PRICING!$D$4:$E$59,2,FALSE),VLOOKUP(P126,PRICING!$J$4:$K$59,2,FALSE)),"")</f>
        <v/>
      </c>
      <c r="S126"/>
      <c r="V126" s="399">
        <f t="shared" si="27"/>
        <v>0</v>
      </c>
      <c r="W126" s="400">
        <f t="shared" si="28"/>
        <v>0</v>
      </c>
      <c r="X126" s="393" t="str">
        <f t="shared" si="29"/>
        <v/>
      </c>
      <c r="Y126" s="393" t="str">
        <f t="shared" si="30"/>
        <v/>
      </c>
      <c r="Z126" s="393" t="str">
        <f t="shared" si="31"/>
        <v/>
      </c>
      <c r="AA126" s="393" t="str">
        <f t="shared" si="32"/>
        <v/>
      </c>
      <c r="AB126" s="393" t="str">
        <f t="shared" si="33"/>
        <v/>
      </c>
      <c r="AC126" s="393" t="str">
        <f t="shared" si="34"/>
        <v/>
      </c>
      <c r="AD126" s="398" t="str">
        <f t="shared" si="35"/>
        <v/>
      </c>
      <c r="AF126" s="396" t="str">
        <f t="shared" si="36"/>
        <v/>
      </c>
      <c r="AH126" s="393" t="str">
        <f t="shared" si="37"/>
        <v/>
      </c>
      <c r="AI126" s="393" t="str">
        <f t="shared" si="38"/>
        <v/>
      </c>
      <c r="AJ126" s="393" t="str">
        <f t="shared" si="42"/>
        <v/>
      </c>
      <c r="AK126" s="393" t="str">
        <f t="shared" si="39"/>
        <v/>
      </c>
      <c r="AL126" s="398" t="str">
        <f t="shared" si="40"/>
        <v/>
      </c>
      <c r="AN126" s="396" t="str">
        <f t="shared" si="41"/>
        <v/>
      </c>
      <c r="AQ126" s="395"/>
      <c r="AR126" s="395"/>
    </row>
    <row r="127" spans="1:44" x14ac:dyDescent="0.2">
      <c r="A127" s="398" t="str">
        <f>IF(B127="","",CONCATENATE("GBL",B127," - ",Mantenedor!E127))</f>
        <v/>
      </c>
      <c r="J127" s="318"/>
      <c r="K127" s="312"/>
      <c r="M127" s="315"/>
      <c r="P127" s="398" t="str">
        <f t="shared" si="26"/>
        <v/>
      </c>
      <c r="Q127" s="401" t="str" cm="1">
        <f t="array" ref="Q127">+_xlfn.IFS(O127="Nacional","CLP",O127="Extranjero","USD",O127="","")</f>
        <v/>
      </c>
      <c r="R127" s="399" t="str">
        <f>IFERROR(IF(O127="Nacional",VLOOKUP(P127,PRICING!$D$4:$E$59,2,FALSE),VLOOKUP(P127,PRICING!$J$4:$K$59,2,FALSE)),"")</f>
        <v/>
      </c>
      <c r="S127"/>
      <c r="V127" s="399">
        <f t="shared" si="27"/>
        <v>0</v>
      </c>
      <c r="W127" s="400">
        <f t="shared" si="28"/>
        <v>0</v>
      </c>
      <c r="X127" s="393" t="str">
        <f t="shared" si="29"/>
        <v/>
      </c>
      <c r="Y127" s="393" t="str">
        <f t="shared" si="30"/>
        <v/>
      </c>
      <c r="Z127" s="393" t="str">
        <f t="shared" si="31"/>
        <v/>
      </c>
      <c r="AA127" s="393" t="str">
        <f t="shared" si="32"/>
        <v/>
      </c>
      <c r="AB127" s="393" t="str">
        <f t="shared" si="33"/>
        <v/>
      </c>
      <c r="AC127" s="393" t="str">
        <f t="shared" si="34"/>
        <v/>
      </c>
      <c r="AD127" s="398" t="str">
        <f t="shared" si="35"/>
        <v/>
      </c>
      <c r="AF127" s="396" t="str">
        <f t="shared" si="36"/>
        <v/>
      </c>
      <c r="AH127" s="393" t="str">
        <f t="shared" si="37"/>
        <v/>
      </c>
      <c r="AI127" s="393" t="str">
        <f t="shared" si="38"/>
        <v/>
      </c>
      <c r="AJ127" s="393" t="str">
        <f t="shared" si="42"/>
        <v/>
      </c>
      <c r="AK127" s="393" t="str">
        <f t="shared" si="39"/>
        <v/>
      </c>
      <c r="AL127" s="398" t="str">
        <f t="shared" si="40"/>
        <v/>
      </c>
      <c r="AN127" s="396" t="str">
        <f t="shared" si="41"/>
        <v/>
      </c>
      <c r="AQ127" s="395"/>
      <c r="AR127" s="395"/>
    </row>
    <row r="128" spans="1:44" x14ac:dyDescent="0.2">
      <c r="A128" s="398" t="str">
        <f>IF(B128="","",CONCATENATE("GBL",B128," - ",Mantenedor!E128))</f>
        <v/>
      </c>
      <c r="J128" s="318"/>
      <c r="K128" s="312"/>
      <c r="M128" s="315"/>
      <c r="P128" s="398" t="str">
        <f t="shared" si="26"/>
        <v/>
      </c>
      <c r="Q128" s="401" t="str" cm="1">
        <f t="array" ref="Q128">+_xlfn.IFS(O128="Nacional","CLP",O128="Extranjero","USD",O128="","")</f>
        <v/>
      </c>
      <c r="R128" s="399" t="str">
        <f>IFERROR(IF(O128="Nacional",VLOOKUP(P128,PRICING!$D$4:$E$59,2,FALSE),VLOOKUP(P128,PRICING!$J$4:$K$59,2,FALSE)),"")</f>
        <v/>
      </c>
      <c r="S128"/>
      <c r="V128" s="399">
        <f t="shared" si="27"/>
        <v>0</v>
      </c>
      <c r="W128" s="400">
        <f t="shared" si="28"/>
        <v>0</v>
      </c>
      <c r="X128" s="393" t="str">
        <f t="shared" si="29"/>
        <v/>
      </c>
      <c r="Y128" s="393" t="str">
        <f t="shared" si="30"/>
        <v/>
      </c>
      <c r="Z128" s="393" t="str">
        <f t="shared" si="31"/>
        <v/>
      </c>
      <c r="AA128" s="393" t="str">
        <f t="shared" si="32"/>
        <v/>
      </c>
      <c r="AB128" s="393" t="str">
        <f t="shared" si="33"/>
        <v/>
      </c>
      <c r="AC128" s="393" t="str">
        <f t="shared" si="34"/>
        <v/>
      </c>
      <c r="AD128" s="398" t="str">
        <f t="shared" si="35"/>
        <v/>
      </c>
      <c r="AF128" s="396" t="str">
        <f t="shared" si="36"/>
        <v/>
      </c>
      <c r="AH128" s="393" t="str">
        <f t="shared" si="37"/>
        <v/>
      </c>
      <c r="AI128" s="393" t="str">
        <f t="shared" si="38"/>
        <v/>
      </c>
      <c r="AJ128" s="393" t="str">
        <f t="shared" si="42"/>
        <v/>
      </c>
      <c r="AK128" s="393" t="str">
        <f t="shared" si="39"/>
        <v/>
      </c>
      <c r="AL128" s="398" t="str">
        <f t="shared" si="40"/>
        <v/>
      </c>
      <c r="AN128" s="396" t="str">
        <f t="shared" si="41"/>
        <v/>
      </c>
      <c r="AQ128" s="395"/>
      <c r="AR128" s="395"/>
    </row>
    <row r="129" spans="1:44" x14ac:dyDescent="0.2">
      <c r="A129" s="398" t="str">
        <f>IF(B129="","",CONCATENATE("GBL",B129," - ",Mantenedor!E129))</f>
        <v/>
      </c>
      <c r="J129" s="318"/>
      <c r="K129" s="312"/>
      <c r="M129" s="315"/>
      <c r="P129" s="398" t="str">
        <f t="shared" si="26"/>
        <v/>
      </c>
      <c r="Q129" s="401" t="str" cm="1">
        <f t="array" ref="Q129">+_xlfn.IFS(O129="Nacional","CLP",O129="Extranjero","USD",O129="","")</f>
        <v/>
      </c>
      <c r="R129" s="399" t="str">
        <f>IFERROR(IF(O129="Nacional",VLOOKUP(P129,PRICING!$D$4:$E$59,2,FALSE),VLOOKUP(P129,PRICING!$J$4:$K$59,2,FALSE)),"")</f>
        <v/>
      </c>
      <c r="S129"/>
      <c r="V129" s="399">
        <f t="shared" si="27"/>
        <v>0</v>
      </c>
      <c r="W129" s="400">
        <f t="shared" si="28"/>
        <v>0</v>
      </c>
      <c r="X129" s="393" t="str">
        <f t="shared" si="29"/>
        <v/>
      </c>
      <c r="Y129" s="393" t="str">
        <f t="shared" si="30"/>
        <v/>
      </c>
      <c r="Z129" s="393" t="str">
        <f t="shared" si="31"/>
        <v/>
      </c>
      <c r="AA129" s="393" t="str">
        <f t="shared" si="32"/>
        <v/>
      </c>
      <c r="AB129" s="393" t="str">
        <f t="shared" si="33"/>
        <v/>
      </c>
      <c r="AC129" s="393" t="str">
        <f t="shared" si="34"/>
        <v/>
      </c>
      <c r="AD129" s="398" t="str">
        <f t="shared" si="35"/>
        <v/>
      </c>
      <c r="AF129" s="396" t="str">
        <f t="shared" si="36"/>
        <v/>
      </c>
      <c r="AH129" s="393" t="str">
        <f t="shared" si="37"/>
        <v/>
      </c>
      <c r="AI129" s="393" t="str">
        <f t="shared" si="38"/>
        <v/>
      </c>
      <c r="AJ129" s="393" t="str">
        <f t="shared" si="42"/>
        <v/>
      </c>
      <c r="AK129" s="393" t="str">
        <f t="shared" si="39"/>
        <v/>
      </c>
      <c r="AL129" s="398" t="str">
        <f t="shared" si="40"/>
        <v/>
      </c>
      <c r="AN129" s="396" t="str">
        <f t="shared" si="41"/>
        <v/>
      </c>
      <c r="AQ129" s="395"/>
      <c r="AR129" s="395"/>
    </row>
    <row r="130" spans="1:44" x14ac:dyDescent="0.2">
      <c r="A130" s="398" t="str">
        <f>IF(B130="","",CONCATENATE("GBL",B130," - ",Mantenedor!E130))</f>
        <v/>
      </c>
      <c r="J130" s="318"/>
      <c r="K130" s="312"/>
      <c r="M130" s="315"/>
      <c r="P130" s="398" t="str">
        <f t="shared" ref="P130:P193" si="43">IF(N130="","",(IF(L130=1,(CONCATENATE("Base ",N130," ",L130," noche")),(CONCATENATE("Base ",N130," ",L130," noches")))))</f>
        <v/>
      </c>
      <c r="Q130" s="401" t="str" cm="1">
        <f t="array" ref="Q130">+_xlfn.IFS(O130="Nacional","CLP",O130="Extranjero","USD",O130="","")</f>
        <v/>
      </c>
      <c r="R130" s="399" t="str">
        <f>IFERROR(IF(O130="Nacional",VLOOKUP(P130,PRICING!$D$4:$E$59,2,FALSE),VLOOKUP(P130,PRICING!$J$4:$K$59,2,FALSE)),"")</f>
        <v/>
      </c>
      <c r="S130"/>
      <c r="V130" s="399">
        <f t="shared" ref="V130:V193" si="44">+S130*(1-T130)</f>
        <v>0</v>
      </c>
      <c r="W130" s="400">
        <f t="shared" ref="W130:W193" si="45">IFERROR(+V130*(1-T130),"")</f>
        <v>0</v>
      </c>
      <c r="X130" s="393" t="str">
        <f t="shared" ref="X130:X193" si="46">IF($J130="","",$J130-105)</f>
        <v/>
      </c>
      <c r="Y130" s="393" t="str">
        <f t="shared" ref="Y130:Y193" si="47">IF($J130="","",$J130-90)</f>
        <v/>
      </c>
      <c r="Z130" s="393" t="str">
        <f t="shared" ref="Z130:Z193" si="48">IF($J130="","",$J130-75)</f>
        <v/>
      </c>
      <c r="AA130" s="393" t="str">
        <f t="shared" ref="AA130:AA193" si="49">IF($J130="","",$J130-60)</f>
        <v/>
      </c>
      <c r="AB130" s="393" t="str">
        <f t="shared" ref="AB130:AB193" si="50">IF($J130="","",$J130-45)</f>
        <v/>
      </c>
      <c r="AC130" s="393" t="str">
        <f t="shared" ref="AC130:AC193" si="51">IF($J130="","",$J130-30)</f>
        <v/>
      </c>
      <c r="AD130" s="398" t="str">
        <f t="shared" ref="AD130:AD193" si="52">+IF(AC130="","","LLAMAR")</f>
        <v/>
      </c>
      <c r="AF130" s="396" t="str">
        <f t="shared" ref="AF130:AF193" si="53">+IF(AE130="","",W130*0.5)</f>
        <v/>
      </c>
      <c r="AH130" s="393" t="str">
        <f t="shared" ref="AH130:AH193" si="54">+IF($M130="","",$M130-45)</f>
        <v/>
      </c>
      <c r="AI130" s="393" t="str">
        <f t="shared" ref="AI130:AI193" si="55">+IF($M130="","",$M130-30)</f>
        <v/>
      </c>
      <c r="AJ130" s="393" t="str">
        <f t="shared" si="42"/>
        <v/>
      </c>
      <c r="AK130" s="393" t="str">
        <f t="shared" ref="AK130:AK193" si="56">+IF($M130="","",$M130-7)</f>
        <v/>
      </c>
      <c r="AL130" s="398" t="str">
        <f t="shared" ref="AL130:AL193" si="57">+IF(AK130="","","LLAMAR")</f>
        <v/>
      </c>
      <c r="AN130" s="396" t="str">
        <f t="shared" ref="AN130:AN193" si="58">+IF(AM130="","",W130*0.5)</f>
        <v/>
      </c>
      <c r="AQ130" s="395"/>
      <c r="AR130" s="395"/>
    </row>
    <row r="131" spans="1:44" x14ac:dyDescent="0.2">
      <c r="A131" s="398" t="str">
        <f>IF(B131="","",CONCATENATE("GBL",B131," - ",Mantenedor!E131))</f>
        <v/>
      </c>
      <c r="J131" s="318"/>
      <c r="K131" s="312"/>
      <c r="M131" s="315"/>
      <c r="P131" s="398" t="str">
        <f t="shared" si="43"/>
        <v/>
      </c>
      <c r="Q131" s="401" t="str" cm="1">
        <f t="array" ref="Q131">+_xlfn.IFS(O131="Nacional","CLP",O131="Extranjero","USD",O131="","")</f>
        <v/>
      </c>
      <c r="R131" s="399" t="str">
        <f>IFERROR(IF(O131="Nacional",VLOOKUP(P131,PRICING!$D$4:$E$59,2,FALSE),VLOOKUP(P131,PRICING!$J$4:$K$59,2,FALSE)),"")</f>
        <v/>
      </c>
      <c r="S131"/>
      <c r="V131" s="399">
        <f t="shared" si="44"/>
        <v>0</v>
      </c>
      <c r="W131" s="400">
        <f t="shared" si="45"/>
        <v>0</v>
      </c>
      <c r="X131" s="393" t="str">
        <f t="shared" si="46"/>
        <v/>
      </c>
      <c r="Y131" s="393" t="str">
        <f t="shared" si="47"/>
        <v/>
      </c>
      <c r="Z131" s="393" t="str">
        <f t="shared" si="48"/>
        <v/>
      </c>
      <c r="AA131" s="393" t="str">
        <f t="shared" si="49"/>
        <v/>
      </c>
      <c r="AB131" s="393" t="str">
        <f t="shared" si="50"/>
        <v/>
      </c>
      <c r="AC131" s="393" t="str">
        <f t="shared" si="51"/>
        <v/>
      </c>
      <c r="AD131" s="398" t="str">
        <f t="shared" si="52"/>
        <v/>
      </c>
      <c r="AF131" s="396" t="str">
        <f t="shared" si="53"/>
        <v/>
      </c>
      <c r="AH131" s="393" t="str">
        <f t="shared" si="54"/>
        <v/>
      </c>
      <c r="AI131" s="393" t="str">
        <f t="shared" si="55"/>
        <v/>
      </c>
      <c r="AJ131" s="393" t="str">
        <f t="shared" si="42"/>
        <v/>
      </c>
      <c r="AK131" s="393" t="str">
        <f t="shared" si="56"/>
        <v/>
      </c>
      <c r="AL131" s="398" t="str">
        <f t="shared" si="57"/>
        <v/>
      </c>
      <c r="AN131" s="396" t="str">
        <f t="shared" si="58"/>
        <v/>
      </c>
      <c r="AQ131" s="395"/>
      <c r="AR131" s="395"/>
    </row>
    <row r="132" spans="1:44" x14ac:dyDescent="0.2">
      <c r="A132" s="398" t="str">
        <f>IF(B132="","",CONCATENATE("GBL",B132," - ",Mantenedor!E132))</f>
        <v/>
      </c>
      <c r="J132" s="318"/>
      <c r="K132" s="312"/>
      <c r="M132" s="315"/>
      <c r="P132" s="398" t="str">
        <f t="shared" si="43"/>
        <v/>
      </c>
      <c r="Q132" s="401" t="str" cm="1">
        <f t="array" ref="Q132">+_xlfn.IFS(O132="Nacional","CLP",O132="Extranjero","USD",O132="","")</f>
        <v/>
      </c>
      <c r="R132" s="399" t="str">
        <f>IFERROR(IF(O132="Nacional",VLOOKUP(P132,PRICING!$D$4:$E$59,2,FALSE),VLOOKUP(P132,PRICING!$J$4:$K$59,2,FALSE)),"")</f>
        <v/>
      </c>
      <c r="S132"/>
      <c r="V132" s="399">
        <f t="shared" si="44"/>
        <v>0</v>
      </c>
      <c r="W132" s="400">
        <f t="shared" si="45"/>
        <v>0</v>
      </c>
      <c r="X132" s="393" t="str">
        <f t="shared" si="46"/>
        <v/>
      </c>
      <c r="Y132" s="393" t="str">
        <f t="shared" si="47"/>
        <v/>
      </c>
      <c r="Z132" s="393" t="str">
        <f t="shared" si="48"/>
        <v/>
      </c>
      <c r="AA132" s="393" t="str">
        <f t="shared" si="49"/>
        <v/>
      </c>
      <c r="AB132" s="393" t="str">
        <f t="shared" si="50"/>
        <v/>
      </c>
      <c r="AC132" s="393" t="str">
        <f t="shared" si="51"/>
        <v/>
      </c>
      <c r="AD132" s="398" t="str">
        <f t="shared" si="52"/>
        <v/>
      </c>
      <c r="AF132" s="396" t="str">
        <f t="shared" si="53"/>
        <v/>
      </c>
      <c r="AH132" s="393" t="str">
        <f t="shared" si="54"/>
        <v/>
      </c>
      <c r="AI132" s="393" t="str">
        <f t="shared" si="55"/>
        <v/>
      </c>
      <c r="AJ132" s="393" t="str">
        <f t="shared" ref="AJ132:AJ195" si="59">+IF($M132="","",$M132-15)</f>
        <v/>
      </c>
      <c r="AK132" s="393" t="str">
        <f t="shared" si="56"/>
        <v/>
      </c>
      <c r="AL132" s="398" t="str">
        <f t="shared" si="57"/>
        <v/>
      </c>
      <c r="AN132" s="396" t="str">
        <f t="shared" si="58"/>
        <v/>
      </c>
      <c r="AQ132" s="395"/>
      <c r="AR132" s="395"/>
    </row>
    <row r="133" spans="1:44" x14ac:dyDescent="0.2">
      <c r="A133" s="398" t="str">
        <f>IF(B133="","",CONCATENATE("GBL",B133," - ",Mantenedor!E133))</f>
        <v/>
      </c>
      <c r="J133" s="318"/>
      <c r="K133" s="312"/>
      <c r="M133" s="315"/>
      <c r="P133" s="398" t="str">
        <f t="shared" si="43"/>
        <v/>
      </c>
      <c r="Q133" s="401" t="str" cm="1">
        <f t="array" ref="Q133">+_xlfn.IFS(O133="Nacional","CLP",O133="Extranjero","USD",O133="","")</f>
        <v/>
      </c>
      <c r="R133" s="399" t="str">
        <f>IFERROR(IF(O133="Nacional",VLOOKUP(P133,PRICING!$D$4:$E$59,2,FALSE),VLOOKUP(P133,PRICING!$J$4:$K$59,2,FALSE)),"")</f>
        <v/>
      </c>
      <c r="S133"/>
      <c r="V133" s="399">
        <f t="shared" si="44"/>
        <v>0</v>
      </c>
      <c r="W133" s="400">
        <f t="shared" si="45"/>
        <v>0</v>
      </c>
      <c r="X133" s="393" t="str">
        <f t="shared" si="46"/>
        <v/>
      </c>
      <c r="Y133" s="393" t="str">
        <f t="shared" si="47"/>
        <v/>
      </c>
      <c r="Z133" s="393" t="str">
        <f t="shared" si="48"/>
        <v/>
      </c>
      <c r="AA133" s="393" t="str">
        <f t="shared" si="49"/>
        <v/>
      </c>
      <c r="AB133" s="393" t="str">
        <f t="shared" si="50"/>
        <v/>
      </c>
      <c r="AC133" s="393" t="str">
        <f t="shared" si="51"/>
        <v/>
      </c>
      <c r="AD133" s="398" t="str">
        <f t="shared" si="52"/>
        <v/>
      </c>
      <c r="AF133" s="396" t="str">
        <f t="shared" si="53"/>
        <v/>
      </c>
      <c r="AH133" s="393" t="str">
        <f t="shared" si="54"/>
        <v/>
      </c>
      <c r="AI133" s="393" t="str">
        <f t="shared" si="55"/>
        <v/>
      </c>
      <c r="AJ133" s="393" t="str">
        <f t="shared" si="59"/>
        <v/>
      </c>
      <c r="AK133" s="393" t="str">
        <f t="shared" si="56"/>
        <v/>
      </c>
      <c r="AL133" s="398" t="str">
        <f t="shared" si="57"/>
        <v/>
      </c>
      <c r="AN133" s="396" t="str">
        <f t="shared" si="58"/>
        <v/>
      </c>
      <c r="AQ133" s="395"/>
      <c r="AR133" s="395"/>
    </row>
    <row r="134" spans="1:44" x14ac:dyDescent="0.2">
      <c r="A134" s="398" t="str">
        <f>IF(B134="","",CONCATENATE("GBL",B134," - ",Mantenedor!E134))</f>
        <v/>
      </c>
      <c r="J134" s="318"/>
      <c r="K134" s="312"/>
      <c r="M134" s="315"/>
      <c r="P134" s="398" t="str">
        <f t="shared" si="43"/>
        <v/>
      </c>
      <c r="Q134" s="401" t="str" cm="1">
        <f t="array" ref="Q134">+_xlfn.IFS(O134="Nacional","CLP",O134="Extranjero","USD",O134="","")</f>
        <v/>
      </c>
      <c r="R134" s="399" t="str">
        <f>IFERROR(IF(O134="Nacional",VLOOKUP(P134,PRICING!$D$4:$E$59,2,FALSE),VLOOKUP(P134,PRICING!$J$4:$K$59,2,FALSE)),"")</f>
        <v/>
      </c>
      <c r="S134"/>
      <c r="V134" s="399">
        <f t="shared" si="44"/>
        <v>0</v>
      </c>
      <c r="W134" s="400">
        <f t="shared" si="45"/>
        <v>0</v>
      </c>
      <c r="X134" s="393" t="str">
        <f t="shared" si="46"/>
        <v/>
      </c>
      <c r="Y134" s="393" t="str">
        <f t="shared" si="47"/>
        <v/>
      </c>
      <c r="Z134" s="393" t="str">
        <f t="shared" si="48"/>
        <v/>
      </c>
      <c r="AA134" s="393" t="str">
        <f t="shared" si="49"/>
        <v/>
      </c>
      <c r="AB134" s="393" t="str">
        <f t="shared" si="50"/>
        <v/>
      </c>
      <c r="AC134" s="393" t="str">
        <f t="shared" si="51"/>
        <v/>
      </c>
      <c r="AD134" s="398" t="str">
        <f t="shared" si="52"/>
        <v/>
      </c>
      <c r="AF134" s="396" t="str">
        <f t="shared" si="53"/>
        <v/>
      </c>
      <c r="AH134" s="393" t="str">
        <f t="shared" si="54"/>
        <v/>
      </c>
      <c r="AI134" s="393" t="str">
        <f t="shared" si="55"/>
        <v/>
      </c>
      <c r="AJ134" s="393" t="str">
        <f t="shared" si="59"/>
        <v/>
      </c>
      <c r="AK134" s="393" t="str">
        <f t="shared" si="56"/>
        <v/>
      </c>
      <c r="AL134" s="398" t="str">
        <f t="shared" si="57"/>
        <v/>
      </c>
      <c r="AN134" s="396" t="str">
        <f t="shared" si="58"/>
        <v/>
      </c>
      <c r="AQ134" s="395"/>
      <c r="AR134" s="395"/>
    </row>
    <row r="135" spans="1:44" x14ac:dyDescent="0.2">
      <c r="A135" s="398" t="str">
        <f>IF(B135="","",CONCATENATE("GBL",B135," - ",Mantenedor!E135))</f>
        <v/>
      </c>
      <c r="J135" s="318"/>
      <c r="K135" s="312"/>
      <c r="M135" s="315"/>
      <c r="P135" s="398" t="str">
        <f t="shared" si="43"/>
        <v/>
      </c>
      <c r="Q135" s="401" t="str" cm="1">
        <f t="array" ref="Q135">+_xlfn.IFS(O135="Nacional","CLP",O135="Extranjero","USD",O135="","")</f>
        <v/>
      </c>
      <c r="R135" s="399" t="str">
        <f>IFERROR(IF(O135="Nacional",VLOOKUP(P135,PRICING!$D$4:$E$59,2,FALSE),VLOOKUP(P135,PRICING!$J$4:$K$59,2,FALSE)),"")</f>
        <v/>
      </c>
      <c r="S135"/>
      <c r="V135" s="399">
        <f t="shared" si="44"/>
        <v>0</v>
      </c>
      <c r="W135" s="400">
        <f t="shared" si="45"/>
        <v>0</v>
      </c>
      <c r="X135" s="393" t="str">
        <f t="shared" si="46"/>
        <v/>
      </c>
      <c r="Y135" s="393" t="str">
        <f t="shared" si="47"/>
        <v/>
      </c>
      <c r="Z135" s="393" t="str">
        <f t="shared" si="48"/>
        <v/>
      </c>
      <c r="AA135" s="393" t="str">
        <f t="shared" si="49"/>
        <v/>
      </c>
      <c r="AB135" s="393" t="str">
        <f t="shared" si="50"/>
        <v/>
      </c>
      <c r="AC135" s="393" t="str">
        <f t="shared" si="51"/>
        <v/>
      </c>
      <c r="AD135" s="398" t="str">
        <f t="shared" si="52"/>
        <v/>
      </c>
      <c r="AF135" s="396" t="str">
        <f t="shared" si="53"/>
        <v/>
      </c>
      <c r="AH135" s="393" t="str">
        <f t="shared" si="54"/>
        <v/>
      </c>
      <c r="AI135" s="393" t="str">
        <f t="shared" si="55"/>
        <v/>
      </c>
      <c r="AJ135" s="393" t="str">
        <f t="shared" si="59"/>
        <v/>
      </c>
      <c r="AK135" s="393" t="str">
        <f t="shared" si="56"/>
        <v/>
      </c>
      <c r="AL135" s="398" t="str">
        <f t="shared" si="57"/>
        <v/>
      </c>
      <c r="AN135" s="396" t="str">
        <f t="shared" si="58"/>
        <v/>
      </c>
      <c r="AQ135" s="395"/>
      <c r="AR135" s="395"/>
    </row>
    <row r="136" spans="1:44" x14ac:dyDescent="0.2">
      <c r="A136" s="398" t="str">
        <f>IF(B136="","",CONCATENATE("GBL",B136," - ",Mantenedor!E136))</f>
        <v/>
      </c>
      <c r="J136" s="318"/>
      <c r="K136" s="312"/>
      <c r="M136" s="315"/>
      <c r="P136" s="398" t="str">
        <f t="shared" si="43"/>
        <v/>
      </c>
      <c r="Q136" s="401" t="str" cm="1">
        <f t="array" ref="Q136">+_xlfn.IFS(O136="Nacional","CLP",O136="Extranjero","USD",O136="","")</f>
        <v/>
      </c>
      <c r="R136" s="399" t="str">
        <f>IFERROR(IF(O136="Nacional",VLOOKUP(P136,PRICING!$D$4:$E$59,2,FALSE),VLOOKUP(P136,PRICING!$J$4:$K$59,2,FALSE)),"")</f>
        <v/>
      </c>
      <c r="S136"/>
      <c r="V136" s="399">
        <f t="shared" si="44"/>
        <v>0</v>
      </c>
      <c r="W136" s="400">
        <f t="shared" si="45"/>
        <v>0</v>
      </c>
      <c r="X136" s="393" t="str">
        <f t="shared" si="46"/>
        <v/>
      </c>
      <c r="Y136" s="393" t="str">
        <f t="shared" si="47"/>
        <v/>
      </c>
      <c r="Z136" s="393" t="str">
        <f t="shared" si="48"/>
        <v/>
      </c>
      <c r="AA136" s="393" t="str">
        <f t="shared" si="49"/>
        <v/>
      </c>
      <c r="AB136" s="393" t="str">
        <f t="shared" si="50"/>
        <v/>
      </c>
      <c r="AC136" s="393" t="str">
        <f t="shared" si="51"/>
        <v/>
      </c>
      <c r="AD136" s="398" t="str">
        <f t="shared" si="52"/>
        <v/>
      </c>
      <c r="AF136" s="396" t="str">
        <f t="shared" si="53"/>
        <v/>
      </c>
      <c r="AH136" s="393" t="str">
        <f t="shared" si="54"/>
        <v/>
      </c>
      <c r="AI136" s="393" t="str">
        <f t="shared" si="55"/>
        <v/>
      </c>
      <c r="AJ136" s="393" t="str">
        <f t="shared" si="59"/>
        <v/>
      </c>
      <c r="AK136" s="393" t="str">
        <f t="shared" si="56"/>
        <v/>
      </c>
      <c r="AL136" s="398" t="str">
        <f t="shared" si="57"/>
        <v/>
      </c>
      <c r="AN136" s="396" t="str">
        <f t="shared" si="58"/>
        <v/>
      </c>
      <c r="AQ136" s="395"/>
      <c r="AR136" s="395"/>
    </row>
    <row r="137" spans="1:44" x14ac:dyDescent="0.2">
      <c r="A137" s="398" t="str">
        <f>IF(B137="","",CONCATENATE("GBL",B137," - ",Mantenedor!E137))</f>
        <v/>
      </c>
      <c r="J137" s="318"/>
      <c r="K137" s="312"/>
      <c r="M137" s="315"/>
      <c r="P137" s="398" t="str">
        <f t="shared" si="43"/>
        <v/>
      </c>
      <c r="Q137" s="401" t="str" cm="1">
        <f t="array" ref="Q137">+_xlfn.IFS(O137="Nacional","CLP",O137="Extranjero","USD",O137="","")</f>
        <v/>
      </c>
      <c r="R137" s="399" t="str">
        <f>IFERROR(IF(O137="Nacional",VLOOKUP(P137,PRICING!$D$4:$E$59,2,FALSE),VLOOKUP(P137,PRICING!$J$4:$K$59,2,FALSE)),"")</f>
        <v/>
      </c>
      <c r="S137"/>
      <c r="V137" s="399">
        <f t="shared" si="44"/>
        <v>0</v>
      </c>
      <c r="W137" s="400">
        <f t="shared" si="45"/>
        <v>0</v>
      </c>
      <c r="X137" s="393" t="str">
        <f t="shared" si="46"/>
        <v/>
      </c>
      <c r="Y137" s="393" t="str">
        <f t="shared" si="47"/>
        <v/>
      </c>
      <c r="Z137" s="393" t="str">
        <f t="shared" si="48"/>
        <v/>
      </c>
      <c r="AA137" s="393" t="str">
        <f t="shared" si="49"/>
        <v/>
      </c>
      <c r="AB137" s="393" t="str">
        <f t="shared" si="50"/>
        <v/>
      </c>
      <c r="AC137" s="393" t="str">
        <f t="shared" si="51"/>
        <v/>
      </c>
      <c r="AD137" s="398" t="str">
        <f t="shared" si="52"/>
        <v/>
      </c>
      <c r="AF137" s="396" t="str">
        <f t="shared" si="53"/>
        <v/>
      </c>
      <c r="AH137" s="393" t="str">
        <f t="shared" si="54"/>
        <v/>
      </c>
      <c r="AI137" s="393" t="str">
        <f t="shared" si="55"/>
        <v/>
      </c>
      <c r="AJ137" s="393" t="str">
        <f t="shared" si="59"/>
        <v/>
      </c>
      <c r="AK137" s="393" t="str">
        <f t="shared" si="56"/>
        <v/>
      </c>
      <c r="AL137" s="398" t="str">
        <f t="shared" si="57"/>
        <v/>
      </c>
      <c r="AN137" s="396" t="str">
        <f t="shared" si="58"/>
        <v/>
      </c>
      <c r="AQ137" s="395"/>
      <c r="AR137" s="395"/>
    </row>
    <row r="138" spans="1:44" x14ac:dyDescent="0.2">
      <c r="A138" s="398" t="str">
        <f>IF(B138="","",CONCATENATE("GBL",B138," - ",Mantenedor!E138))</f>
        <v/>
      </c>
      <c r="J138" s="318"/>
      <c r="K138" s="312"/>
      <c r="M138" s="315"/>
      <c r="P138" s="398" t="str">
        <f t="shared" si="43"/>
        <v/>
      </c>
      <c r="Q138" s="401" t="str" cm="1">
        <f t="array" ref="Q138">+_xlfn.IFS(O138="Nacional","CLP",O138="Extranjero","USD",O138="","")</f>
        <v/>
      </c>
      <c r="R138" s="399" t="str">
        <f>IFERROR(IF(O138="Nacional",VLOOKUP(P138,PRICING!$D$4:$E$59,2,FALSE),VLOOKUP(P138,PRICING!$J$4:$K$59,2,FALSE)),"")</f>
        <v/>
      </c>
      <c r="S138"/>
      <c r="V138" s="399">
        <f t="shared" si="44"/>
        <v>0</v>
      </c>
      <c r="W138" s="400">
        <f t="shared" si="45"/>
        <v>0</v>
      </c>
      <c r="X138" s="393" t="str">
        <f t="shared" si="46"/>
        <v/>
      </c>
      <c r="Y138" s="393" t="str">
        <f t="shared" si="47"/>
        <v/>
      </c>
      <c r="Z138" s="393" t="str">
        <f t="shared" si="48"/>
        <v/>
      </c>
      <c r="AA138" s="393" t="str">
        <f t="shared" si="49"/>
        <v/>
      </c>
      <c r="AB138" s="393" t="str">
        <f t="shared" si="50"/>
        <v/>
      </c>
      <c r="AC138" s="393" t="str">
        <f t="shared" si="51"/>
        <v/>
      </c>
      <c r="AD138" s="398" t="str">
        <f t="shared" si="52"/>
        <v/>
      </c>
      <c r="AF138" s="396" t="str">
        <f t="shared" si="53"/>
        <v/>
      </c>
      <c r="AH138" s="393" t="str">
        <f t="shared" si="54"/>
        <v/>
      </c>
      <c r="AI138" s="393" t="str">
        <f t="shared" si="55"/>
        <v/>
      </c>
      <c r="AJ138" s="393" t="str">
        <f t="shared" si="59"/>
        <v/>
      </c>
      <c r="AK138" s="393" t="str">
        <f t="shared" si="56"/>
        <v/>
      </c>
      <c r="AL138" s="398" t="str">
        <f t="shared" si="57"/>
        <v/>
      </c>
      <c r="AN138" s="396" t="str">
        <f t="shared" si="58"/>
        <v/>
      </c>
      <c r="AQ138" s="395"/>
      <c r="AR138" s="395"/>
    </row>
    <row r="139" spans="1:44" x14ac:dyDescent="0.2">
      <c r="A139" s="398" t="str">
        <f>IF(B139="","",CONCATENATE("GBL",B139," - ",Mantenedor!E139))</f>
        <v/>
      </c>
      <c r="J139" s="318"/>
      <c r="K139" s="312"/>
      <c r="M139" s="315"/>
      <c r="P139" s="398" t="str">
        <f t="shared" si="43"/>
        <v/>
      </c>
      <c r="Q139" s="401" t="str" cm="1">
        <f t="array" ref="Q139">+_xlfn.IFS(O139="Nacional","CLP",O139="Extranjero","USD",O139="","")</f>
        <v/>
      </c>
      <c r="R139" s="399" t="str">
        <f>IFERROR(IF(O139="Nacional",VLOOKUP(P139,PRICING!$D$4:$E$59,2,FALSE),VLOOKUP(P139,PRICING!$J$4:$K$59,2,FALSE)),"")</f>
        <v/>
      </c>
      <c r="S139"/>
      <c r="V139" s="399">
        <f t="shared" si="44"/>
        <v>0</v>
      </c>
      <c r="W139" s="400">
        <f t="shared" si="45"/>
        <v>0</v>
      </c>
      <c r="X139" s="393" t="str">
        <f t="shared" si="46"/>
        <v/>
      </c>
      <c r="Y139" s="393" t="str">
        <f t="shared" si="47"/>
        <v/>
      </c>
      <c r="Z139" s="393" t="str">
        <f t="shared" si="48"/>
        <v/>
      </c>
      <c r="AA139" s="393" t="str">
        <f t="shared" si="49"/>
        <v/>
      </c>
      <c r="AB139" s="393" t="str">
        <f t="shared" si="50"/>
        <v/>
      </c>
      <c r="AC139" s="393" t="str">
        <f t="shared" si="51"/>
        <v/>
      </c>
      <c r="AD139" s="398" t="str">
        <f t="shared" si="52"/>
        <v/>
      </c>
      <c r="AF139" s="396" t="str">
        <f t="shared" si="53"/>
        <v/>
      </c>
      <c r="AH139" s="393" t="str">
        <f t="shared" si="54"/>
        <v/>
      </c>
      <c r="AI139" s="393" t="str">
        <f t="shared" si="55"/>
        <v/>
      </c>
      <c r="AJ139" s="393" t="str">
        <f t="shared" si="59"/>
        <v/>
      </c>
      <c r="AK139" s="393" t="str">
        <f t="shared" si="56"/>
        <v/>
      </c>
      <c r="AL139" s="398" t="str">
        <f t="shared" si="57"/>
        <v/>
      </c>
      <c r="AN139" s="396" t="str">
        <f t="shared" si="58"/>
        <v/>
      </c>
      <c r="AQ139" s="395"/>
      <c r="AR139" s="395"/>
    </row>
    <row r="140" spans="1:44" x14ac:dyDescent="0.2">
      <c r="A140" s="398" t="str">
        <f>IF(B140="","",CONCATENATE("GBL",B140," - ",Mantenedor!E140))</f>
        <v/>
      </c>
      <c r="J140" s="318"/>
      <c r="K140" s="312"/>
      <c r="M140" s="315"/>
      <c r="P140" s="398" t="str">
        <f t="shared" si="43"/>
        <v/>
      </c>
      <c r="Q140" s="401" t="str" cm="1">
        <f t="array" ref="Q140">+_xlfn.IFS(O140="Nacional","CLP",O140="Extranjero","USD",O140="","")</f>
        <v/>
      </c>
      <c r="R140" s="399" t="str">
        <f>IFERROR(IF(O140="Nacional",VLOOKUP(P140,PRICING!$D$4:$E$59,2,FALSE),VLOOKUP(P140,PRICING!$J$4:$K$59,2,FALSE)),"")</f>
        <v/>
      </c>
      <c r="S140"/>
      <c r="V140" s="399">
        <f t="shared" si="44"/>
        <v>0</v>
      </c>
      <c r="W140" s="400">
        <f t="shared" si="45"/>
        <v>0</v>
      </c>
      <c r="X140" s="393" t="str">
        <f t="shared" si="46"/>
        <v/>
      </c>
      <c r="Y140" s="393" t="str">
        <f t="shared" si="47"/>
        <v/>
      </c>
      <c r="Z140" s="393" t="str">
        <f t="shared" si="48"/>
        <v/>
      </c>
      <c r="AA140" s="393" t="str">
        <f t="shared" si="49"/>
        <v/>
      </c>
      <c r="AB140" s="393" t="str">
        <f t="shared" si="50"/>
        <v/>
      </c>
      <c r="AC140" s="393" t="str">
        <f t="shared" si="51"/>
        <v/>
      </c>
      <c r="AD140" s="398" t="str">
        <f t="shared" si="52"/>
        <v/>
      </c>
      <c r="AF140" s="396" t="str">
        <f t="shared" si="53"/>
        <v/>
      </c>
      <c r="AH140" s="393" t="str">
        <f t="shared" si="54"/>
        <v/>
      </c>
      <c r="AI140" s="393" t="str">
        <f t="shared" si="55"/>
        <v/>
      </c>
      <c r="AJ140" s="393" t="str">
        <f t="shared" si="59"/>
        <v/>
      </c>
      <c r="AK140" s="393" t="str">
        <f t="shared" si="56"/>
        <v/>
      </c>
      <c r="AL140" s="398" t="str">
        <f t="shared" si="57"/>
        <v/>
      </c>
      <c r="AN140" s="396" t="str">
        <f t="shared" si="58"/>
        <v/>
      </c>
      <c r="AQ140" s="395"/>
      <c r="AR140" s="395"/>
    </row>
    <row r="141" spans="1:44" x14ac:dyDescent="0.2">
      <c r="A141" s="398" t="str">
        <f>IF(B141="","",CONCATENATE("GBL",B141," - ",Mantenedor!E141))</f>
        <v/>
      </c>
      <c r="J141" s="318"/>
      <c r="K141" s="312"/>
      <c r="M141" s="315"/>
      <c r="P141" s="398" t="str">
        <f t="shared" si="43"/>
        <v/>
      </c>
      <c r="Q141" s="401" t="str" cm="1">
        <f t="array" ref="Q141">+_xlfn.IFS(O141="Nacional","CLP",O141="Extranjero","USD",O141="","")</f>
        <v/>
      </c>
      <c r="R141" s="399" t="str">
        <f>IFERROR(IF(O141="Nacional",VLOOKUP(P141,PRICING!$D$4:$E$59,2,FALSE),VLOOKUP(P141,PRICING!$J$4:$K$59,2,FALSE)),"")</f>
        <v/>
      </c>
      <c r="S141"/>
      <c r="V141" s="399">
        <f t="shared" si="44"/>
        <v>0</v>
      </c>
      <c r="W141" s="400">
        <f t="shared" si="45"/>
        <v>0</v>
      </c>
      <c r="X141" s="393" t="str">
        <f t="shared" si="46"/>
        <v/>
      </c>
      <c r="Y141" s="393" t="str">
        <f t="shared" si="47"/>
        <v/>
      </c>
      <c r="Z141" s="393" t="str">
        <f t="shared" si="48"/>
        <v/>
      </c>
      <c r="AA141" s="393" t="str">
        <f t="shared" si="49"/>
        <v/>
      </c>
      <c r="AB141" s="393" t="str">
        <f t="shared" si="50"/>
        <v/>
      </c>
      <c r="AC141" s="393" t="str">
        <f t="shared" si="51"/>
        <v/>
      </c>
      <c r="AD141" s="398" t="str">
        <f t="shared" si="52"/>
        <v/>
      </c>
      <c r="AF141" s="396" t="str">
        <f t="shared" si="53"/>
        <v/>
      </c>
      <c r="AH141" s="393" t="str">
        <f t="shared" si="54"/>
        <v/>
      </c>
      <c r="AI141" s="393" t="str">
        <f t="shared" si="55"/>
        <v/>
      </c>
      <c r="AJ141" s="393" t="str">
        <f t="shared" si="59"/>
        <v/>
      </c>
      <c r="AK141" s="393" t="str">
        <f t="shared" si="56"/>
        <v/>
      </c>
      <c r="AL141" s="398" t="str">
        <f t="shared" si="57"/>
        <v/>
      </c>
      <c r="AN141" s="396" t="str">
        <f t="shared" si="58"/>
        <v/>
      </c>
      <c r="AQ141" s="395"/>
      <c r="AR141" s="395"/>
    </row>
    <row r="142" spans="1:44" x14ac:dyDescent="0.2">
      <c r="A142" s="398" t="str">
        <f>IF(B142="","",CONCATENATE("GBL",B142," - ",Mantenedor!E142))</f>
        <v/>
      </c>
      <c r="J142" s="318"/>
      <c r="K142" s="312"/>
      <c r="M142" s="315"/>
      <c r="P142" s="398" t="str">
        <f t="shared" si="43"/>
        <v/>
      </c>
      <c r="Q142" s="401" t="str" cm="1">
        <f t="array" ref="Q142">+_xlfn.IFS(O142="Nacional","CLP",O142="Extranjero","USD",O142="","")</f>
        <v/>
      </c>
      <c r="R142" s="399" t="str">
        <f>IFERROR(IF(O142="Nacional",VLOOKUP(P142,PRICING!$D$4:$E$59,2,FALSE),VLOOKUP(P142,PRICING!$J$4:$K$59,2,FALSE)),"")</f>
        <v/>
      </c>
      <c r="S142"/>
      <c r="V142" s="399">
        <f t="shared" si="44"/>
        <v>0</v>
      </c>
      <c r="W142" s="400">
        <f t="shared" si="45"/>
        <v>0</v>
      </c>
      <c r="X142" s="393" t="str">
        <f t="shared" si="46"/>
        <v/>
      </c>
      <c r="Y142" s="393" t="str">
        <f t="shared" si="47"/>
        <v/>
      </c>
      <c r="Z142" s="393" t="str">
        <f t="shared" si="48"/>
        <v/>
      </c>
      <c r="AA142" s="393" t="str">
        <f t="shared" si="49"/>
        <v/>
      </c>
      <c r="AB142" s="393" t="str">
        <f t="shared" si="50"/>
        <v/>
      </c>
      <c r="AC142" s="393" t="str">
        <f t="shared" si="51"/>
        <v/>
      </c>
      <c r="AD142" s="398" t="str">
        <f t="shared" si="52"/>
        <v/>
      </c>
      <c r="AF142" s="396" t="str">
        <f t="shared" si="53"/>
        <v/>
      </c>
      <c r="AH142" s="393" t="str">
        <f t="shared" si="54"/>
        <v/>
      </c>
      <c r="AI142" s="393" t="str">
        <f t="shared" si="55"/>
        <v/>
      </c>
      <c r="AJ142" s="393" t="str">
        <f t="shared" si="59"/>
        <v/>
      </c>
      <c r="AK142" s="393" t="str">
        <f t="shared" si="56"/>
        <v/>
      </c>
      <c r="AL142" s="398" t="str">
        <f t="shared" si="57"/>
        <v/>
      </c>
      <c r="AN142" s="396" t="str">
        <f t="shared" si="58"/>
        <v/>
      </c>
      <c r="AQ142" s="395"/>
      <c r="AR142" s="395"/>
    </row>
    <row r="143" spans="1:44" x14ac:dyDescent="0.2">
      <c r="A143" s="398" t="str">
        <f>IF(B143="","",CONCATENATE("GBL",B143," - ",Mantenedor!E143))</f>
        <v/>
      </c>
      <c r="J143" s="318"/>
      <c r="K143" s="312"/>
      <c r="M143" s="315"/>
      <c r="P143" s="398" t="str">
        <f t="shared" si="43"/>
        <v/>
      </c>
      <c r="Q143" s="401" t="str" cm="1">
        <f t="array" ref="Q143">+_xlfn.IFS(O143="Nacional","CLP",O143="Extranjero","USD",O143="","")</f>
        <v/>
      </c>
      <c r="R143" s="399" t="str">
        <f>IFERROR(IF(O143="Nacional",VLOOKUP(P143,PRICING!$D$4:$E$59,2,FALSE),VLOOKUP(P143,PRICING!$J$4:$K$59,2,FALSE)),"")</f>
        <v/>
      </c>
      <c r="S143"/>
      <c r="V143" s="399">
        <f t="shared" si="44"/>
        <v>0</v>
      </c>
      <c r="W143" s="400">
        <f t="shared" si="45"/>
        <v>0</v>
      </c>
      <c r="X143" s="393" t="str">
        <f t="shared" si="46"/>
        <v/>
      </c>
      <c r="Y143" s="393" t="str">
        <f t="shared" si="47"/>
        <v/>
      </c>
      <c r="Z143" s="393" t="str">
        <f t="shared" si="48"/>
        <v/>
      </c>
      <c r="AA143" s="393" t="str">
        <f t="shared" si="49"/>
        <v/>
      </c>
      <c r="AB143" s="393" t="str">
        <f t="shared" si="50"/>
        <v/>
      </c>
      <c r="AC143" s="393" t="str">
        <f t="shared" si="51"/>
        <v/>
      </c>
      <c r="AD143" s="398" t="str">
        <f t="shared" si="52"/>
        <v/>
      </c>
      <c r="AF143" s="396" t="str">
        <f t="shared" si="53"/>
        <v/>
      </c>
      <c r="AH143" s="393" t="str">
        <f t="shared" si="54"/>
        <v/>
      </c>
      <c r="AI143" s="393" t="str">
        <f t="shared" si="55"/>
        <v/>
      </c>
      <c r="AJ143" s="393" t="str">
        <f t="shared" si="59"/>
        <v/>
      </c>
      <c r="AK143" s="393" t="str">
        <f t="shared" si="56"/>
        <v/>
      </c>
      <c r="AL143" s="398" t="str">
        <f t="shared" si="57"/>
        <v/>
      </c>
      <c r="AN143" s="396" t="str">
        <f t="shared" si="58"/>
        <v/>
      </c>
      <c r="AQ143" s="395"/>
      <c r="AR143" s="395"/>
    </row>
    <row r="144" spans="1:44" x14ac:dyDescent="0.2">
      <c r="A144" s="398" t="str">
        <f>IF(B144="","",CONCATENATE("GBL",B144," - ",Mantenedor!E144))</f>
        <v/>
      </c>
      <c r="J144" s="318"/>
      <c r="K144" s="312"/>
      <c r="M144" s="315"/>
      <c r="P144" s="398" t="str">
        <f t="shared" si="43"/>
        <v/>
      </c>
      <c r="Q144" s="401" t="str" cm="1">
        <f t="array" ref="Q144">+_xlfn.IFS(O144="Nacional","CLP",O144="Extranjero","USD",O144="","")</f>
        <v/>
      </c>
      <c r="R144" s="399" t="str">
        <f>IFERROR(IF(O144="Nacional",VLOOKUP(P144,PRICING!$D$4:$E$59,2,FALSE),VLOOKUP(P144,PRICING!$J$4:$K$59,2,FALSE)),"")</f>
        <v/>
      </c>
      <c r="S144"/>
      <c r="V144" s="399">
        <f t="shared" si="44"/>
        <v>0</v>
      </c>
      <c r="W144" s="400">
        <f t="shared" si="45"/>
        <v>0</v>
      </c>
      <c r="X144" s="393" t="str">
        <f t="shared" si="46"/>
        <v/>
      </c>
      <c r="Y144" s="393" t="str">
        <f t="shared" si="47"/>
        <v/>
      </c>
      <c r="Z144" s="393" t="str">
        <f t="shared" si="48"/>
        <v/>
      </c>
      <c r="AA144" s="393" t="str">
        <f t="shared" si="49"/>
        <v/>
      </c>
      <c r="AB144" s="393" t="str">
        <f t="shared" si="50"/>
        <v/>
      </c>
      <c r="AC144" s="393" t="str">
        <f t="shared" si="51"/>
        <v/>
      </c>
      <c r="AD144" s="398" t="str">
        <f t="shared" si="52"/>
        <v/>
      </c>
      <c r="AF144" s="396" t="str">
        <f t="shared" si="53"/>
        <v/>
      </c>
      <c r="AH144" s="393" t="str">
        <f t="shared" si="54"/>
        <v/>
      </c>
      <c r="AI144" s="393" t="str">
        <f t="shared" si="55"/>
        <v/>
      </c>
      <c r="AJ144" s="393" t="str">
        <f t="shared" si="59"/>
        <v/>
      </c>
      <c r="AK144" s="393" t="str">
        <f t="shared" si="56"/>
        <v/>
      </c>
      <c r="AL144" s="398" t="str">
        <f t="shared" si="57"/>
        <v/>
      </c>
      <c r="AN144" s="396" t="str">
        <f t="shared" si="58"/>
        <v/>
      </c>
      <c r="AQ144" s="395"/>
      <c r="AR144" s="395"/>
    </row>
    <row r="145" spans="1:44" x14ac:dyDescent="0.2">
      <c r="A145" s="398" t="str">
        <f>IF(B145="","",CONCATENATE("GBL",B145," - ",Mantenedor!E145))</f>
        <v/>
      </c>
      <c r="J145" s="318"/>
      <c r="K145" s="312"/>
      <c r="M145" s="315"/>
      <c r="P145" s="398" t="str">
        <f t="shared" si="43"/>
        <v/>
      </c>
      <c r="Q145" s="401" t="str" cm="1">
        <f t="array" ref="Q145">+_xlfn.IFS(O145="Nacional","CLP",O145="Extranjero","USD",O145="","")</f>
        <v/>
      </c>
      <c r="R145" s="399" t="str">
        <f>IFERROR(IF(O145="Nacional",VLOOKUP(P145,PRICING!$D$4:$E$59,2,FALSE),VLOOKUP(P145,PRICING!$J$4:$K$59,2,FALSE)),"")</f>
        <v/>
      </c>
      <c r="S145"/>
      <c r="V145" s="399">
        <f t="shared" si="44"/>
        <v>0</v>
      </c>
      <c r="W145" s="400">
        <f t="shared" si="45"/>
        <v>0</v>
      </c>
      <c r="X145" s="393" t="str">
        <f t="shared" si="46"/>
        <v/>
      </c>
      <c r="Y145" s="393" t="str">
        <f t="shared" si="47"/>
        <v/>
      </c>
      <c r="Z145" s="393" t="str">
        <f t="shared" si="48"/>
        <v/>
      </c>
      <c r="AA145" s="393" t="str">
        <f t="shared" si="49"/>
        <v/>
      </c>
      <c r="AB145" s="393" t="str">
        <f t="shared" si="50"/>
        <v/>
      </c>
      <c r="AC145" s="393" t="str">
        <f t="shared" si="51"/>
        <v/>
      </c>
      <c r="AD145" s="398" t="str">
        <f t="shared" si="52"/>
        <v/>
      </c>
      <c r="AF145" s="396" t="str">
        <f t="shared" si="53"/>
        <v/>
      </c>
      <c r="AH145" s="393" t="str">
        <f t="shared" si="54"/>
        <v/>
      </c>
      <c r="AI145" s="393" t="str">
        <f t="shared" si="55"/>
        <v/>
      </c>
      <c r="AJ145" s="393" t="str">
        <f t="shared" si="59"/>
        <v/>
      </c>
      <c r="AK145" s="393" t="str">
        <f t="shared" si="56"/>
        <v/>
      </c>
      <c r="AL145" s="398" t="str">
        <f t="shared" si="57"/>
        <v/>
      </c>
      <c r="AN145" s="396" t="str">
        <f t="shared" si="58"/>
        <v/>
      </c>
      <c r="AQ145" s="395"/>
      <c r="AR145" s="395"/>
    </row>
    <row r="146" spans="1:44" x14ac:dyDescent="0.2">
      <c r="A146" s="398" t="str">
        <f>IF(B146="","",CONCATENATE("GBL",B146," - ",Mantenedor!E146))</f>
        <v/>
      </c>
      <c r="J146" s="318"/>
      <c r="K146" s="312"/>
      <c r="M146" s="315"/>
      <c r="P146" s="398" t="str">
        <f t="shared" si="43"/>
        <v/>
      </c>
      <c r="Q146" s="401" t="str" cm="1">
        <f t="array" ref="Q146">+_xlfn.IFS(O146="Nacional","CLP",O146="Extranjero","USD",O146="","")</f>
        <v/>
      </c>
      <c r="R146" s="399" t="str">
        <f>IFERROR(IF(O146="Nacional",VLOOKUP(P146,PRICING!$D$4:$E$59,2,FALSE),VLOOKUP(P146,PRICING!$J$4:$K$59,2,FALSE)),"")</f>
        <v/>
      </c>
      <c r="S146"/>
      <c r="V146" s="399">
        <f t="shared" si="44"/>
        <v>0</v>
      </c>
      <c r="W146" s="400">
        <f t="shared" si="45"/>
        <v>0</v>
      </c>
      <c r="X146" s="393" t="str">
        <f t="shared" si="46"/>
        <v/>
      </c>
      <c r="Y146" s="393" t="str">
        <f t="shared" si="47"/>
        <v/>
      </c>
      <c r="Z146" s="393" t="str">
        <f t="shared" si="48"/>
        <v/>
      </c>
      <c r="AA146" s="393" t="str">
        <f t="shared" si="49"/>
        <v/>
      </c>
      <c r="AB146" s="393" t="str">
        <f t="shared" si="50"/>
        <v/>
      </c>
      <c r="AC146" s="393" t="str">
        <f t="shared" si="51"/>
        <v/>
      </c>
      <c r="AD146" s="398" t="str">
        <f t="shared" si="52"/>
        <v/>
      </c>
      <c r="AF146" s="396" t="str">
        <f t="shared" si="53"/>
        <v/>
      </c>
      <c r="AH146" s="393" t="str">
        <f t="shared" si="54"/>
        <v/>
      </c>
      <c r="AI146" s="393" t="str">
        <f t="shared" si="55"/>
        <v/>
      </c>
      <c r="AJ146" s="393" t="str">
        <f t="shared" si="59"/>
        <v/>
      </c>
      <c r="AK146" s="393" t="str">
        <f t="shared" si="56"/>
        <v/>
      </c>
      <c r="AL146" s="398" t="str">
        <f t="shared" si="57"/>
        <v/>
      </c>
      <c r="AN146" s="396" t="str">
        <f t="shared" si="58"/>
        <v/>
      </c>
      <c r="AQ146" s="395"/>
      <c r="AR146" s="395"/>
    </row>
    <row r="147" spans="1:44" x14ac:dyDescent="0.2">
      <c r="A147" s="398" t="str">
        <f>IF(B147="","",CONCATENATE("GBL",B147," - ",Mantenedor!E147))</f>
        <v/>
      </c>
      <c r="J147" s="318"/>
      <c r="K147" s="312"/>
      <c r="M147" s="315"/>
      <c r="P147" s="398" t="str">
        <f t="shared" si="43"/>
        <v/>
      </c>
      <c r="Q147" s="401" t="str" cm="1">
        <f t="array" ref="Q147">+_xlfn.IFS(O147="Nacional","CLP",O147="Extranjero","USD",O147="","")</f>
        <v/>
      </c>
      <c r="R147" s="399" t="str">
        <f>IFERROR(IF(O147="Nacional",VLOOKUP(P147,PRICING!$D$4:$E$59,2,FALSE),VLOOKUP(P147,PRICING!$J$4:$K$59,2,FALSE)),"")</f>
        <v/>
      </c>
      <c r="S147"/>
      <c r="V147" s="399">
        <f t="shared" si="44"/>
        <v>0</v>
      </c>
      <c r="W147" s="400">
        <f t="shared" si="45"/>
        <v>0</v>
      </c>
      <c r="X147" s="393" t="str">
        <f t="shared" si="46"/>
        <v/>
      </c>
      <c r="Y147" s="393" t="str">
        <f t="shared" si="47"/>
        <v/>
      </c>
      <c r="Z147" s="393" t="str">
        <f t="shared" si="48"/>
        <v/>
      </c>
      <c r="AA147" s="393" t="str">
        <f t="shared" si="49"/>
        <v/>
      </c>
      <c r="AB147" s="393" t="str">
        <f t="shared" si="50"/>
        <v/>
      </c>
      <c r="AC147" s="393" t="str">
        <f t="shared" si="51"/>
        <v/>
      </c>
      <c r="AD147" s="398" t="str">
        <f t="shared" si="52"/>
        <v/>
      </c>
      <c r="AF147" s="396" t="str">
        <f t="shared" si="53"/>
        <v/>
      </c>
      <c r="AH147" s="393" t="str">
        <f t="shared" si="54"/>
        <v/>
      </c>
      <c r="AI147" s="393" t="str">
        <f t="shared" si="55"/>
        <v/>
      </c>
      <c r="AJ147" s="393" t="str">
        <f t="shared" si="59"/>
        <v/>
      </c>
      <c r="AK147" s="393" t="str">
        <f t="shared" si="56"/>
        <v/>
      </c>
      <c r="AL147" s="398" t="str">
        <f t="shared" si="57"/>
        <v/>
      </c>
      <c r="AN147" s="396" t="str">
        <f t="shared" si="58"/>
        <v/>
      </c>
      <c r="AQ147" s="395"/>
      <c r="AR147" s="395"/>
    </row>
    <row r="148" spans="1:44" x14ac:dyDescent="0.2">
      <c r="A148" s="398" t="str">
        <f>IF(B148="","",CONCATENATE("GBL",B148," - ",Mantenedor!E148))</f>
        <v/>
      </c>
      <c r="J148" s="318"/>
      <c r="K148" s="312"/>
      <c r="M148" s="315"/>
      <c r="P148" s="398" t="str">
        <f t="shared" si="43"/>
        <v/>
      </c>
      <c r="Q148" s="401" t="str" cm="1">
        <f t="array" ref="Q148">+_xlfn.IFS(O148="Nacional","CLP",O148="Extranjero","USD",O148="","")</f>
        <v/>
      </c>
      <c r="R148" s="399" t="str">
        <f>IFERROR(IF(O148="Nacional",VLOOKUP(P148,PRICING!$D$4:$E$59,2,FALSE),VLOOKUP(P148,PRICING!$J$4:$K$59,2,FALSE)),"")</f>
        <v/>
      </c>
      <c r="S148"/>
      <c r="V148" s="399">
        <f t="shared" si="44"/>
        <v>0</v>
      </c>
      <c r="W148" s="400">
        <f t="shared" si="45"/>
        <v>0</v>
      </c>
      <c r="X148" s="393" t="str">
        <f t="shared" si="46"/>
        <v/>
      </c>
      <c r="Y148" s="393" t="str">
        <f t="shared" si="47"/>
        <v/>
      </c>
      <c r="Z148" s="393" t="str">
        <f t="shared" si="48"/>
        <v/>
      </c>
      <c r="AA148" s="393" t="str">
        <f t="shared" si="49"/>
        <v/>
      </c>
      <c r="AB148" s="393" t="str">
        <f t="shared" si="50"/>
        <v/>
      </c>
      <c r="AC148" s="393" t="str">
        <f t="shared" si="51"/>
        <v/>
      </c>
      <c r="AD148" s="398" t="str">
        <f t="shared" si="52"/>
        <v/>
      </c>
      <c r="AF148" s="396" t="str">
        <f t="shared" si="53"/>
        <v/>
      </c>
      <c r="AH148" s="393" t="str">
        <f t="shared" si="54"/>
        <v/>
      </c>
      <c r="AI148" s="393" t="str">
        <f t="shared" si="55"/>
        <v/>
      </c>
      <c r="AJ148" s="393" t="str">
        <f t="shared" si="59"/>
        <v/>
      </c>
      <c r="AK148" s="393" t="str">
        <f t="shared" si="56"/>
        <v/>
      </c>
      <c r="AL148" s="398" t="str">
        <f t="shared" si="57"/>
        <v/>
      </c>
      <c r="AN148" s="396" t="str">
        <f t="shared" si="58"/>
        <v/>
      </c>
      <c r="AQ148" s="395"/>
      <c r="AR148" s="395"/>
    </row>
    <row r="149" spans="1:44" x14ac:dyDescent="0.2">
      <c r="A149" s="398" t="str">
        <f>IF(B149="","",CONCATENATE("GBL",B149," - ",Mantenedor!E149))</f>
        <v/>
      </c>
      <c r="J149" s="318"/>
      <c r="K149" s="312"/>
      <c r="M149" s="315"/>
      <c r="P149" s="398" t="str">
        <f t="shared" si="43"/>
        <v/>
      </c>
      <c r="Q149" s="401" t="str" cm="1">
        <f t="array" ref="Q149">+_xlfn.IFS(O149="Nacional","CLP",O149="Extranjero","USD",O149="","")</f>
        <v/>
      </c>
      <c r="R149" s="399" t="str">
        <f>IFERROR(IF(O149="Nacional",VLOOKUP(P149,PRICING!$D$4:$E$59,2,FALSE),VLOOKUP(P149,PRICING!$J$4:$K$59,2,FALSE)),"")</f>
        <v/>
      </c>
      <c r="S149"/>
      <c r="V149" s="399">
        <f t="shared" si="44"/>
        <v>0</v>
      </c>
      <c r="W149" s="400">
        <f t="shared" si="45"/>
        <v>0</v>
      </c>
      <c r="X149" s="393" t="str">
        <f t="shared" si="46"/>
        <v/>
      </c>
      <c r="Y149" s="393" t="str">
        <f t="shared" si="47"/>
        <v/>
      </c>
      <c r="Z149" s="393" t="str">
        <f t="shared" si="48"/>
        <v/>
      </c>
      <c r="AA149" s="393" t="str">
        <f t="shared" si="49"/>
        <v/>
      </c>
      <c r="AB149" s="393" t="str">
        <f t="shared" si="50"/>
        <v/>
      </c>
      <c r="AC149" s="393" t="str">
        <f t="shared" si="51"/>
        <v/>
      </c>
      <c r="AD149" s="398" t="str">
        <f t="shared" si="52"/>
        <v/>
      </c>
      <c r="AF149" s="396" t="str">
        <f t="shared" si="53"/>
        <v/>
      </c>
      <c r="AH149" s="393" t="str">
        <f t="shared" si="54"/>
        <v/>
      </c>
      <c r="AI149" s="393" t="str">
        <f t="shared" si="55"/>
        <v/>
      </c>
      <c r="AJ149" s="393" t="str">
        <f t="shared" si="59"/>
        <v/>
      </c>
      <c r="AK149" s="393" t="str">
        <f t="shared" si="56"/>
        <v/>
      </c>
      <c r="AL149" s="398" t="str">
        <f t="shared" si="57"/>
        <v/>
      </c>
      <c r="AN149" s="396" t="str">
        <f t="shared" si="58"/>
        <v/>
      </c>
      <c r="AQ149" s="395"/>
      <c r="AR149" s="395"/>
    </row>
    <row r="150" spans="1:44" x14ac:dyDescent="0.2">
      <c r="A150" s="398" t="str">
        <f>IF(B150="","",CONCATENATE("GBL",B150," - ",Mantenedor!E150))</f>
        <v/>
      </c>
      <c r="J150" s="318"/>
      <c r="K150" s="312"/>
      <c r="M150" s="315"/>
      <c r="P150" s="398" t="str">
        <f t="shared" si="43"/>
        <v/>
      </c>
      <c r="Q150" s="401" t="str" cm="1">
        <f t="array" ref="Q150">+_xlfn.IFS(O150="Nacional","CLP",O150="Extranjero","USD",O150="","")</f>
        <v/>
      </c>
      <c r="R150" s="399" t="str">
        <f>IFERROR(IF(O150="Nacional",VLOOKUP(P150,PRICING!$D$4:$E$59,2,FALSE),VLOOKUP(P150,PRICING!$J$4:$K$59,2,FALSE)),"")</f>
        <v/>
      </c>
      <c r="S150"/>
      <c r="V150" s="399">
        <f t="shared" si="44"/>
        <v>0</v>
      </c>
      <c r="W150" s="400">
        <f t="shared" si="45"/>
        <v>0</v>
      </c>
      <c r="X150" s="393" t="str">
        <f t="shared" si="46"/>
        <v/>
      </c>
      <c r="Y150" s="393" t="str">
        <f t="shared" si="47"/>
        <v/>
      </c>
      <c r="Z150" s="393" t="str">
        <f t="shared" si="48"/>
        <v/>
      </c>
      <c r="AA150" s="393" t="str">
        <f t="shared" si="49"/>
        <v/>
      </c>
      <c r="AB150" s="393" t="str">
        <f t="shared" si="50"/>
        <v/>
      </c>
      <c r="AC150" s="393" t="str">
        <f t="shared" si="51"/>
        <v/>
      </c>
      <c r="AD150" s="398" t="str">
        <f t="shared" si="52"/>
        <v/>
      </c>
      <c r="AF150" s="396" t="str">
        <f t="shared" si="53"/>
        <v/>
      </c>
      <c r="AH150" s="393" t="str">
        <f t="shared" si="54"/>
        <v/>
      </c>
      <c r="AI150" s="393" t="str">
        <f t="shared" si="55"/>
        <v/>
      </c>
      <c r="AJ150" s="393" t="str">
        <f t="shared" si="59"/>
        <v/>
      </c>
      <c r="AK150" s="393" t="str">
        <f t="shared" si="56"/>
        <v/>
      </c>
      <c r="AL150" s="398" t="str">
        <f t="shared" si="57"/>
        <v/>
      </c>
      <c r="AN150" s="396" t="str">
        <f t="shared" si="58"/>
        <v/>
      </c>
      <c r="AQ150" s="395"/>
      <c r="AR150" s="395"/>
    </row>
    <row r="151" spans="1:44" x14ac:dyDescent="0.2">
      <c r="A151" s="398" t="str">
        <f>IF(B151="","",CONCATENATE("GBL",B151," - ",Mantenedor!E151))</f>
        <v/>
      </c>
      <c r="J151" s="318"/>
      <c r="K151" s="312"/>
      <c r="M151" s="315"/>
      <c r="P151" s="398" t="str">
        <f t="shared" si="43"/>
        <v/>
      </c>
      <c r="Q151" s="401" t="str" cm="1">
        <f t="array" ref="Q151">+_xlfn.IFS(O151="Nacional","CLP",O151="Extranjero","USD",O151="","")</f>
        <v/>
      </c>
      <c r="R151" s="399" t="str">
        <f>IFERROR(IF(O151="Nacional",VLOOKUP(P151,PRICING!$D$4:$E$59,2,FALSE),VLOOKUP(P151,PRICING!$J$4:$K$59,2,FALSE)),"")</f>
        <v/>
      </c>
      <c r="S151"/>
      <c r="V151" s="399">
        <f t="shared" si="44"/>
        <v>0</v>
      </c>
      <c r="W151" s="400">
        <f t="shared" si="45"/>
        <v>0</v>
      </c>
      <c r="X151" s="393" t="str">
        <f t="shared" si="46"/>
        <v/>
      </c>
      <c r="Y151" s="393" t="str">
        <f t="shared" si="47"/>
        <v/>
      </c>
      <c r="Z151" s="393" t="str">
        <f t="shared" si="48"/>
        <v/>
      </c>
      <c r="AA151" s="393" t="str">
        <f t="shared" si="49"/>
        <v/>
      </c>
      <c r="AB151" s="393" t="str">
        <f t="shared" si="50"/>
        <v/>
      </c>
      <c r="AC151" s="393" t="str">
        <f t="shared" si="51"/>
        <v/>
      </c>
      <c r="AD151" s="398" t="str">
        <f t="shared" si="52"/>
        <v/>
      </c>
      <c r="AF151" s="396" t="str">
        <f t="shared" si="53"/>
        <v/>
      </c>
      <c r="AH151" s="393" t="str">
        <f t="shared" si="54"/>
        <v/>
      </c>
      <c r="AI151" s="393" t="str">
        <f t="shared" si="55"/>
        <v/>
      </c>
      <c r="AJ151" s="393" t="str">
        <f t="shared" si="59"/>
        <v/>
      </c>
      <c r="AK151" s="393" t="str">
        <f t="shared" si="56"/>
        <v/>
      </c>
      <c r="AL151" s="398" t="str">
        <f t="shared" si="57"/>
        <v/>
      </c>
      <c r="AN151" s="396" t="str">
        <f t="shared" si="58"/>
        <v/>
      </c>
      <c r="AQ151" s="395"/>
      <c r="AR151" s="395"/>
    </row>
    <row r="152" spans="1:44" x14ac:dyDescent="0.2">
      <c r="A152" s="398" t="str">
        <f>IF(B152="","",CONCATENATE("GBL",B152," - ",Mantenedor!E152))</f>
        <v/>
      </c>
      <c r="J152" s="318"/>
      <c r="K152" s="312"/>
      <c r="M152" s="315"/>
      <c r="P152" s="398" t="str">
        <f t="shared" si="43"/>
        <v/>
      </c>
      <c r="Q152" s="401" t="str" cm="1">
        <f t="array" ref="Q152">+_xlfn.IFS(O152="Nacional","CLP",O152="Extranjero","USD",O152="","")</f>
        <v/>
      </c>
      <c r="R152" s="399" t="str">
        <f>IFERROR(IF(O152="Nacional",VLOOKUP(P152,PRICING!$D$4:$E$59,2,FALSE),VLOOKUP(P152,PRICING!$J$4:$K$59,2,FALSE)),"")</f>
        <v/>
      </c>
      <c r="S152"/>
      <c r="V152" s="399">
        <f t="shared" si="44"/>
        <v>0</v>
      </c>
      <c r="W152" s="400">
        <f t="shared" si="45"/>
        <v>0</v>
      </c>
      <c r="X152" s="393" t="str">
        <f t="shared" si="46"/>
        <v/>
      </c>
      <c r="Y152" s="393" t="str">
        <f t="shared" si="47"/>
        <v/>
      </c>
      <c r="Z152" s="393" t="str">
        <f t="shared" si="48"/>
        <v/>
      </c>
      <c r="AA152" s="393" t="str">
        <f t="shared" si="49"/>
        <v/>
      </c>
      <c r="AB152" s="393" t="str">
        <f t="shared" si="50"/>
        <v/>
      </c>
      <c r="AC152" s="393" t="str">
        <f t="shared" si="51"/>
        <v/>
      </c>
      <c r="AD152" s="398" t="str">
        <f t="shared" si="52"/>
        <v/>
      </c>
      <c r="AF152" s="396" t="str">
        <f t="shared" si="53"/>
        <v/>
      </c>
      <c r="AH152" s="393" t="str">
        <f t="shared" si="54"/>
        <v/>
      </c>
      <c r="AI152" s="393" t="str">
        <f t="shared" si="55"/>
        <v/>
      </c>
      <c r="AJ152" s="393" t="str">
        <f t="shared" si="59"/>
        <v/>
      </c>
      <c r="AK152" s="393" t="str">
        <f t="shared" si="56"/>
        <v/>
      </c>
      <c r="AL152" s="398" t="str">
        <f t="shared" si="57"/>
        <v/>
      </c>
      <c r="AN152" s="396" t="str">
        <f t="shared" si="58"/>
        <v/>
      </c>
      <c r="AQ152" s="395"/>
      <c r="AR152" s="395"/>
    </row>
    <row r="153" spans="1:44" x14ac:dyDescent="0.2">
      <c r="A153" s="398" t="str">
        <f>IF(B153="","",CONCATENATE("GBL",B153," - ",Mantenedor!E153))</f>
        <v/>
      </c>
      <c r="J153" s="318"/>
      <c r="K153" s="312"/>
      <c r="M153" s="315"/>
      <c r="P153" s="398" t="str">
        <f t="shared" si="43"/>
        <v/>
      </c>
      <c r="Q153" s="401" t="str" cm="1">
        <f t="array" ref="Q153">+_xlfn.IFS(O153="Nacional","CLP",O153="Extranjero","USD",O153="","")</f>
        <v/>
      </c>
      <c r="R153" s="399" t="str">
        <f>IFERROR(IF(O153="Nacional",VLOOKUP(P153,PRICING!$D$4:$E$59,2,FALSE),VLOOKUP(P153,PRICING!$J$4:$K$59,2,FALSE)),"")</f>
        <v/>
      </c>
      <c r="S153"/>
      <c r="V153" s="399">
        <f t="shared" si="44"/>
        <v>0</v>
      </c>
      <c r="W153" s="400">
        <f t="shared" si="45"/>
        <v>0</v>
      </c>
      <c r="X153" s="393" t="str">
        <f t="shared" si="46"/>
        <v/>
      </c>
      <c r="Y153" s="393" t="str">
        <f t="shared" si="47"/>
        <v/>
      </c>
      <c r="Z153" s="393" t="str">
        <f t="shared" si="48"/>
        <v/>
      </c>
      <c r="AA153" s="393" t="str">
        <f t="shared" si="49"/>
        <v/>
      </c>
      <c r="AB153" s="393" t="str">
        <f t="shared" si="50"/>
        <v/>
      </c>
      <c r="AC153" s="393" t="str">
        <f t="shared" si="51"/>
        <v/>
      </c>
      <c r="AD153" s="398" t="str">
        <f t="shared" si="52"/>
        <v/>
      </c>
      <c r="AF153" s="396" t="str">
        <f t="shared" si="53"/>
        <v/>
      </c>
      <c r="AH153" s="393" t="str">
        <f t="shared" si="54"/>
        <v/>
      </c>
      <c r="AI153" s="393" t="str">
        <f t="shared" si="55"/>
        <v/>
      </c>
      <c r="AJ153" s="393" t="str">
        <f t="shared" si="59"/>
        <v/>
      </c>
      <c r="AK153" s="393" t="str">
        <f t="shared" si="56"/>
        <v/>
      </c>
      <c r="AL153" s="398" t="str">
        <f t="shared" si="57"/>
        <v/>
      </c>
      <c r="AN153" s="396" t="str">
        <f t="shared" si="58"/>
        <v/>
      </c>
      <c r="AQ153" s="395"/>
      <c r="AR153" s="395"/>
    </row>
    <row r="154" spans="1:44" x14ac:dyDescent="0.2">
      <c r="A154" s="398" t="str">
        <f>IF(B154="","",CONCATENATE("GBL",B154," - ",Mantenedor!E154))</f>
        <v/>
      </c>
      <c r="J154" s="318"/>
      <c r="K154" s="312"/>
      <c r="M154" s="315"/>
      <c r="P154" s="398" t="str">
        <f t="shared" si="43"/>
        <v/>
      </c>
      <c r="Q154" s="401" t="str" cm="1">
        <f t="array" ref="Q154">+_xlfn.IFS(O154="Nacional","CLP",O154="Extranjero","USD",O154="","")</f>
        <v/>
      </c>
      <c r="R154" s="399" t="str">
        <f>IFERROR(IF(O154="Nacional",VLOOKUP(P154,PRICING!$D$4:$E$59,2,FALSE),VLOOKUP(P154,PRICING!$J$4:$K$59,2,FALSE)),"")</f>
        <v/>
      </c>
      <c r="S154"/>
      <c r="V154" s="399">
        <f t="shared" si="44"/>
        <v>0</v>
      </c>
      <c r="W154" s="400">
        <f t="shared" si="45"/>
        <v>0</v>
      </c>
      <c r="X154" s="393" t="str">
        <f t="shared" si="46"/>
        <v/>
      </c>
      <c r="Y154" s="393" t="str">
        <f t="shared" si="47"/>
        <v/>
      </c>
      <c r="Z154" s="393" t="str">
        <f t="shared" si="48"/>
        <v/>
      </c>
      <c r="AA154" s="393" t="str">
        <f t="shared" si="49"/>
        <v/>
      </c>
      <c r="AB154" s="393" t="str">
        <f t="shared" si="50"/>
        <v/>
      </c>
      <c r="AC154" s="393" t="str">
        <f t="shared" si="51"/>
        <v/>
      </c>
      <c r="AD154" s="398" t="str">
        <f t="shared" si="52"/>
        <v/>
      </c>
      <c r="AF154" s="396" t="str">
        <f t="shared" si="53"/>
        <v/>
      </c>
      <c r="AH154" s="393" t="str">
        <f t="shared" si="54"/>
        <v/>
      </c>
      <c r="AI154" s="393" t="str">
        <f t="shared" si="55"/>
        <v/>
      </c>
      <c r="AJ154" s="393" t="str">
        <f t="shared" si="59"/>
        <v/>
      </c>
      <c r="AK154" s="393" t="str">
        <f t="shared" si="56"/>
        <v/>
      </c>
      <c r="AL154" s="398" t="str">
        <f t="shared" si="57"/>
        <v/>
      </c>
      <c r="AN154" s="396" t="str">
        <f t="shared" si="58"/>
        <v/>
      </c>
      <c r="AQ154" s="395"/>
      <c r="AR154" s="395"/>
    </row>
    <row r="155" spans="1:44" x14ac:dyDescent="0.2">
      <c r="A155" s="398" t="str">
        <f>IF(B155="","",CONCATENATE("GBL",B155," - ",Mantenedor!E155))</f>
        <v/>
      </c>
      <c r="J155" s="318"/>
      <c r="K155" s="312"/>
      <c r="M155" s="315"/>
      <c r="P155" s="398" t="str">
        <f t="shared" si="43"/>
        <v/>
      </c>
      <c r="Q155" s="401" t="str" cm="1">
        <f t="array" ref="Q155">+_xlfn.IFS(O155="Nacional","CLP",O155="Extranjero","USD",O155="","")</f>
        <v/>
      </c>
      <c r="R155" s="399" t="str">
        <f>IFERROR(IF(O155="Nacional",VLOOKUP(P155,PRICING!$D$4:$E$59,2,FALSE),VLOOKUP(P155,PRICING!$J$4:$K$59,2,FALSE)),"")</f>
        <v/>
      </c>
      <c r="S155"/>
      <c r="V155" s="399">
        <f t="shared" si="44"/>
        <v>0</v>
      </c>
      <c r="W155" s="400">
        <f t="shared" si="45"/>
        <v>0</v>
      </c>
      <c r="X155" s="393" t="str">
        <f t="shared" si="46"/>
        <v/>
      </c>
      <c r="Y155" s="393" t="str">
        <f t="shared" si="47"/>
        <v/>
      </c>
      <c r="Z155" s="393" t="str">
        <f t="shared" si="48"/>
        <v/>
      </c>
      <c r="AA155" s="393" t="str">
        <f t="shared" si="49"/>
        <v/>
      </c>
      <c r="AB155" s="393" t="str">
        <f t="shared" si="50"/>
        <v/>
      </c>
      <c r="AC155" s="393" t="str">
        <f t="shared" si="51"/>
        <v/>
      </c>
      <c r="AD155" s="398" t="str">
        <f t="shared" si="52"/>
        <v/>
      </c>
      <c r="AF155" s="396" t="str">
        <f t="shared" si="53"/>
        <v/>
      </c>
      <c r="AH155" s="393" t="str">
        <f t="shared" si="54"/>
        <v/>
      </c>
      <c r="AI155" s="393" t="str">
        <f t="shared" si="55"/>
        <v/>
      </c>
      <c r="AJ155" s="393" t="str">
        <f t="shared" si="59"/>
        <v/>
      </c>
      <c r="AK155" s="393" t="str">
        <f t="shared" si="56"/>
        <v/>
      </c>
      <c r="AL155" s="398" t="str">
        <f t="shared" si="57"/>
        <v/>
      </c>
      <c r="AN155" s="396" t="str">
        <f t="shared" si="58"/>
        <v/>
      </c>
      <c r="AQ155" s="395"/>
      <c r="AR155" s="395"/>
    </row>
    <row r="156" spans="1:44" x14ac:dyDescent="0.2">
      <c r="A156" s="398" t="str">
        <f>IF(B156="","",CONCATENATE("GBL",B156," - ",Mantenedor!E156))</f>
        <v/>
      </c>
      <c r="J156" s="318"/>
      <c r="K156" s="312"/>
      <c r="M156" s="315"/>
      <c r="P156" s="398" t="str">
        <f t="shared" si="43"/>
        <v/>
      </c>
      <c r="Q156" s="401" t="str" cm="1">
        <f t="array" ref="Q156">+_xlfn.IFS(O156="Nacional","CLP",O156="Extranjero","USD",O156="","")</f>
        <v/>
      </c>
      <c r="R156" s="399" t="str">
        <f>IFERROR(IF(O156="Nacional",VLOOKUP(P156,PRICING!$D$4:$E$59,2,FALSE),VLOOKUP(P156,PRICING!$J$4:$K$59,2,FALSE)),"")</f>
        <v/>
      </c>
      <c r="S156"/>
      <c r="V156" s="399">
        <f t="shared" si="44"/>
        <v>0</v>
      </c>
      <c r="W156" s="400">
        <f t="shared" si="45"/>
        <v>0</v>
      </c>
      <c r="X156" s="393" t="str">
        <f t="shared" si="46"/>
        <v/>
      </c>
      <c r="Y156" s="393" t="str">
        <f t="shared" si="47"/>
        <v/>
      </c>
      <c r="Z156" s="393" t="str">
        <f t="shared" si="48"/>
        <v/>
      </c>
      <c r="AA156" s="393" t="str">
        <f t="shared" si="49"/>
        <v/>
      </c>
      <c r="AB156" s="393" t="str">
        <f t="shared" si="50"/>
        <v/>
      </c>
      <c r="AC156" s="393" t="str">
        <f t="shared" si="51"/>
        <v/>
      </c>
      <c r="AD156" s="398" t="str">
        <f t="shared" si="52"/>
        <v/>
      </c>
      <c r="AF156" s="396" t="str">
        <f t="shared" si="53"/>
        <v/>
      </c>
      <c r="AH156" s="393" t="str">
        <f t="shared" si="54"/>
        <v/>
      </c>
      <c r="AI156" s="393" t="str">
        <f t="shared" si="55"/>
        <v/>
      </c>
      <c r="AJ156" s="393" t="str">
        <f t="shared" si="59"/>
        <v/>
      </c>
      <c r="AK156" s="393" t="str">
        <f t="shared" si="56"/>
        <v/>
      </c>
      <c r="AL156" s="398" t="str">
        <f t="shared" si="57"/>
        <v/>
      </c>
      <c r="AN156" s="396" t="str">
        <f t="shared" si="58"/>
        <v/>
      </c>
      <c r="AQ156" s="395"/>
      <c r="AR156" s="395"/>
    </row>
    <row r="157" spans="1:44" x14ac:dyDescent="0.2">
      <c r="A157" s="398" t="str">
        <f>IF(B157="","",CONCATENATE("GBL",B157," - ",Mantenedor!E157))</f>
        <v/>
      </c>
      <c r="J157" s="318"/>
      <c r="K157" s="312"/>
      <c r="M157" s="315"/>
      <c r="P157" s="398" t="str">
        <f t="shared" si="43"/>
        <v/>
      </c>
      <c r="Q157" s="401" t="str" cm="1">
        <f t="array" ref="Q157">+_xlfn.IFS(O157="Nacional","CLP",O157="Extranjero","USD",O157="","")</f>
        <v/>
      </c>
      <c r="R157" s="399" t="str">
        <f>IFERROR(IF(O157="Nacional",VLOOKUP(P157,PRICING!$D$4:$E$59,2,FALSE),VLOOKUP(P157,PRICING!$J$4:$K$59,2,FALSE)),"")</f>
        <v/>
      </c>
      <c r="S157"/>
      <c r="V157" s="399">
        <f t="shared" si="44"/>
        <v>0</v>
      </c>
      <c r="W157" s="400">
        <f t="shared" si="45"/>
        <v>0</v>
      </c>
      <c r="X157" s="393" t="str">
        <f t="shared" si="46"/>
        <v/>
      </c>
      <c r="Y157" s="393" t="str">
        <f t="shared" si="47"/>
        <v/>
      </c>
      <c r="Z157" s="393" t="str">
        <f t="shared" si="48"/>
        <v/>
      </c>
      <c r="AA157" s="393" t="str">
        <f t="shared" si="49"/>
        <v/>
      </c>
      <c r="AB157" s="393" t="str">
        <f t="shared" si="50"/>
        <v/>
      </c>
      <c r="AC157" s="393" t="str">
        <f t="shared" si="51"/>
        <v/>
      </c>
      <c r="AD157" s="398" t="str">
        <f t="shared" si="52"/>
        <v/>
      </c>
      <c r="AF157" s="396" t="str">
        <f t="shared" si="53"/>
        <v/>
      </c>
      <c r="AH157" s="393" t="str">
        <f t="shared" si="54"/>
        <v/>
      </c>
      <c r="AI157" s="393" t="str">
        <f t="shared" si="55"/>
        <v/>
      </c>
      <c r="AJ157" s="393" t="str">
        <f t="shared" si="59"/>
        <v/>
      </c>
      <c r="AK157" s="393" t="str">
        <f t="shared" si="56"/>
        <v/>
      </c>
      <c r="AL157" s="398" t="str">
        <f t="shared" si="57"/>
        <v/>
      </c>
      <c r="AN157" s="396" t="str">
        <f t="shared" si="58"/>
        <v/>
      </c>
      <c r="AQ157" s="395"/>
      <c r="AR157" s="395"/>
    </row>
    <row r="158" spans="1:44" x14ac:dyDescent="0.2">
      <c r="A158" s="398" t="str">
        <f>IF(B158="","",CONCATENATE("GBL",B158," - ",Mantenedor!E158))</f>
        <v/>
      </c>
      <c r="J158" s="318"/>
      <c r="K158" s="312"/>
      <c r="M158" s="315"/>
      <c r="P158" s="398" t="str">
        <f t="shared" si="43"/>
        <v/>
      </c>
      <c r="Q158" s="401" t="str" cm="1">
        <f t="array" ref="Q158">+_xlfn.IFS(O158="Nacional","CLP",O158="Extranjero","USD",O158="","")</f>
        <v/>
      </c>
      <c r="R158" s="399" t="str">
        <f>IFERROR(IF(O158="Nacional",VLOOKUP(P158,PRICING!$D$4:$E$59,2,FALSE),VLOOKUP(P158,PRICING!$J$4:$K$59,2,FALSE)),"")</f>
        <v/>
      </c>
      <c r="S158"/>
      <c r="V158" s="399">
        <f t="shared" si="44"/>
        <v>0</v>
      </c>
      <c r="W158" s="400">
        <f t="shared" si="45"/>
        <v>0</v>
      </c>
      <c r="X158" s="393" t="str">
        <f t="shared" si="46"/>
        <v/>
      </c>
      <c r="Y158" s="393" t="str">
        <f t="shared" si="47"/>
        <v/>
      </c>
      <c r="Z158" s="393" t="str">
        <f t="shared" si="48"/>
        <v/>
      </c>
      <c r="AA158" s="393" t="str">
        <f t="shared" si="49"/>
        <v/>
      </c>
      <c r="AB158" s="393" t="str">
        <f t="shared" si="50"/>
        <v/>
      </c>
      <c r="AC158" s="393" t="str">
        <f t="shared" si="51"/>
        <v/>
      </c>
      <c r="AD158" s="398" t="str">
        <f t="shared" si="52"/>
        <v/>
      </c>
      <c r="AF158" s="396" t="str">
        <f t="shared" si="53"/>
        <v/>
      </c>
      <c r="AH158" s="393" t="str">
        <f t="shared" si="54"/>
        <v/>
      </c>
      <c r="AI158" s="393" t="str">
        <f t="shared" si="55"/>
        <v/>
      </c>
      <c r="AJ158" s="393" t="str">
        <f t="shared" si="59"/>
        <v/>
      </c>
      <c r="AK158" s="393" t="str">
        <f t="shared" si="56"/>
        <v/>
      </c>
      <c r="AL158" s="398" t="str">
        <f t="shared" si="57"/>
        <v/>
      </c>
      <c r="AN158" s="396" t="str">
        <f t="shared" si="58"/>
        <v/>
      </c>
      <c r="AQ158" s="395"/>
      <c r="AR158" s="395"/>
    </row>
    <row r="159" spans="1:44" x14ac:dyDescent="0.2">
      <c r="A159" s="398" t="str">
        <f>IF(B159="","",CONCATENATE("GBL",B159," - ",Mantenedor!E159))</f>
        <v/>
      </c>
      <c r="J159" s="318"/>
      <c r="K159" s="312"/>
      <c r="M159" s="315"/>
      <c r="P159" s="398" t="str">
        <f t="shared" si="43"/>
        <v/>
      </c>
      <c r="Q159" s="401" t="str" cm="1">
        <f t="array" ref="Q159">+_xlfn.IFS(O159="Nacional","CLP",O159="Extranjero","USD",O159="","")</f>
        <v/>
      </c>
      <c r="R159" s="399" t="str">
        <f>IFERROR(IF(O159="Nacional",VLOOKUP(P159,PRICING!$D$4:$E$59,2,FALSE),VLOOKUP(P159,PRICING!$J$4:$K$59,2,FALSE)),"")</f>
        <v/>
      </c>
      <c r="S159"/>
      <c r="V159" s="399">
        <f t="shared" si="44"/>
        <v>0</v>
      </c>
      <c r="W159" s="400">
        <f t="shared" si="45"/>
        <v>0</v>
      </c>
      <c r="X159" s="393" t="str">
        <f t="shared" si="46"/>
        <v/>
      </c>
      <c r="Y159" s="393" t="str">
        <f t="shared" si="47"/>
        <v/>
      </c>
      <c r="Z159" s="393" t="str">
        <f t="shared" si="48"/>
        <v/>
      </c>
      <c r="AA159" s="393" t="str">
        <f t="shared" si="49"/>
        <v/>
      </c>
      <c r="AB159" s="393" t="str">
        <f t="shared" si="50"/>
        <v/>
      </c>
      <c r="AC159" s="393" t="str">
        <f t="shared" si="51"/>
        <v/>
      </c>
      <c r="AD159" s="398" t="str">
        <f t="shared" si="52"/>
        <v/>
      </c>
      <c r="AF159" s="396" t="str">
        <f t="shared" si="53"/>
        <v/>
      </c>
      <c r="AH159" s="393" t="str">
        <f t="shared" si="54"/>
        <v/>
      </c>
      <c r="AI159" s="393" t="str">
        <f t="shared" si="55"/>
        <v/>
      </c>
      <c r="AJ159" s="393" t="str">
        <f t="shared" si="59"/>
        <v/>
      </c>
      <c r="AK159" s="393" t="str">
        <f t="shared" si="56"/>
        <v/>
      </c>
      <c r="AL159" s="398" t="str">
        <f t="shared" si="57"/>
        <v/>
      </c>
      <c r="AN159" s="396" t="str">
        <f t="shared" si="58"/>
        <v/>
      </c>
      <c r="AQ159" s="395"/>
      <c r="AR159" s="395"/>
    </row>
    <row r="160" spans="1:44" x14ac:dyDescent="0.2">
      <c r="A160" s="398" t="str">
        <f>IF(B160="","",CONCATENATE("GBL",B160," - ",Mantenedor!E160))</f>
        <v/>
      </c>
      <c r="J160" s="318"/>
      <c r="K160" s="312"/>
      <c r="M160" s="315"/>
      <c r="P160" s="398" t="str">
        <f t="shared" si="43"/>
        <v/>
      </c>
      <c r="Q160" s="401" t="str" cm="1">
        <f t="array" ref="Q160">+_xlfn.IFS(O160="Nacional","CLP",O160="Extranjero","USD",O160="","")</f>
        <v/>
      </c>
      <c r="R160" s="399" t="str">
        <f>IFERROR(IF(O160="Nacional",VLOOKUP(P160,PRICING!$D$4:$E$59,2,FALSE),VLOOKUP(P160,PRICING!$J$4:$K$59,2,FALSE)),"")</f>
        <v/>
      </c>
      <c r="S160"/>
      <c r="V160" s="399">
        <f t="shared" si="44"/>
        <v>0</v>
      </c>
      <c r="W160" s="400">
        <f t="shared" si="45"/>
        <v>0</v>
      </c>
      <c r="X160" s="393" t="str">
        <f t="shared" si="46"/>
        <v/>
      </c>
      <c r="Y160" s="393" t="str">
        <f t="shared" si="47"/>
        <v/>
      </c>
      <c r="Z160" s="393" t="str">
        <f t="shared" si="48"/>
        <v/>
      </c>
      <c r="AA160" s="393" t="str">
        <f t="shared" si="49"/>
        <v/>
      </c>
      <c r="AB160" s="393" t="str">
        <f t="shared" si="50"/>
        <v/>
      </c>
      <c r="AC160" s="393" t="str">
        <f t="shared" si="51"/>
        <v/>
      </c>
      <c r="AD160" s="398" t="str">
        <f t="shared" si="52"/>
        <v/>
      </c>
      <c r="AF160" s="396" t="str">
        <f t="shared" si="53"/>
        <v/>
      </c>
      <c r="AH160" s="393" t="str">
        <f t="shared" si="54"/>
        <v/>
      </c>
      <c r="AI160" s="393" t="str">
        <f t="shared" si="55"/>
        <v/>
      </c>
      <c r="AJ160" s="393" t="str">
        <f t="shared" si="59"/>
        <v/>
      </c>
      <c r="AK160" s="393" t="str">
        <f t="shared" si="56"/>
        <v/>
      </c>
      <c r="AL160" s="398" t="str">
        <f t="shared" si="57"/>
        <v/>
      </c>
      <c r="AN160" s="396" t="str">
        <f t="shared" si="58"/>
        <v/>
      </c>
      <c r="AQ160" s="395"/>
      <c r="AR160" s="395"/>
    </row>
    <row r="161" spans="1:44" x14ac:dyDescent="0.2">
      <c r="A161" s="398" t="str">
        <f>IF(B161="","",CONCATENATE("GBL",B161," - ",Mantenedor!E161))</f>
        <v/>
      </c>
      <c r="J161" s="318"/>
      <c r="K161" s="312"/>
      <c r="M161" s="315"/>
      <c r="P161" s="398" t="str">
        <f t="shared" si="43"/>
        <v/>
      </c>
      <c r="Q161" s="401" t="str" cm="1">
        <f t="array" ref="Q161">+_xlfn.IFS(O161="Nacional","CLP",O161="Extranjero","USD",O161="","")</f>
        <v/>
      </c>
      <c r="R161" s="399" t="str">
        <f>IFERROR(IF(O161="Nacional",VLOOKUP(P161,PRICING!$D$4:$E$59,2,FALSE),VLOOKUP(P161,PRICING!$J$4:$K$59,2,FALSE)),"")</f>
        <v/>
      </c>
      <c r="S161"/>
      <c r="V161" s="399">
        <f t="shared" si="44"/>
        <v>0</v>
      </c>
      <c r="W161" s="400">
        <f t="shared" si="45"/>
        <v>0</v>
      </c>
      <c r="X161" s="393" t="str">
        <f t="shared" si="46"/>
        <v/>
      </c>
      <c r="Y161" s="393" t="str">
        <f t="shared" si="47"/>
        <v/>
      </c>
      <c r="Z161" s="393" t="str">
        <f t="shared" si="48"/>
        <v/>
      </c>
      <c r="AA161" s="393" t="str">
        <f t="shared" si="49"/>
        <v/>
      </c>
      <c r="AB161" s="393" t="str">
        <f t="shared" si="50"/>
        <v/>
      </c>
      <c r="AC161" s="393" t="str">
        <f t="shared" si="51"/>
        <v/>
      </c>
      <c r="AD161" s="398" t="str">
        <f t="shared" si="52"/>
        <v/>
      </c>
      <c r="AF161" s="396" t="str">
        <f t="shared" si="53"/>
        <v/>
      </c>
      <c r="AH161" s="393" t="str">
        <f t="shared" si="54"/>
        <v/>
      </c>
      <c r="AI161" s="393" t="str">
        <f t="shared" si="55"/>
        <v/>
      </c>
      <c r="AJ161" s="393" t="str">
        <f t="shared" si="59"/>
        <v/>
      </c>
      <c r="AK161" s="393" t="str">
        <f t="shared" si="56"/>
        <v/>
      </c>
      <c r="AL161" s="398" t="str">
        <f t="shared" si="57"/>
        <v/>
      </c>
      <c r="AN161" s="396" t="str">
        <f t="shared" si="58"/>
        <v/>
      </c>
      <c r="AQ161" s="395"/>
      <c r="AR161" s="395"/>
    </row>
    <row r="162" spans="1:44" x14ac:dyDescent="0.2">
      <c r="A162" s="398" t="str">
        <f>IF(B162="","",CONCATENATE("GBL",B162," - ",Mantenedor!E162))</f>
        <v/>
      </c>
      <c r="J162" s="318"/>
      <c r="K162" s="312"/>
      <c r="M162" s="315"/>
      <c r="P162" s="398" t="str">
        <f t="shared" si="43"/>
        <v/>
      </c>
      <c r="Q162" s="401" t="str" cm="1">
        <f t="array" ref="Q162">+_xlfn.IFS(O162="Nacional","CLP",O162="Extranjero","USD",O162="","")</f>
        <v/>
      </c>
      <c r="R162" s="399" t="str">
        <f>IFERROR(IF(O162="Nacional",VLOOKUP(P162,PRICING!$D$4:$E$59,2,FALSE),VLOOKUP(P162,PRICING!$J$4:$K$59,2,FALSE)),"")</f>
        <v/>
      </c>
      <c r="S162"/>
      <c r="V162" s="399">
        <f t="shared" si="44"/>
        <v>0</v>
      </c>
      <c r="W162" s="400">
        <f t="shared" si="45"/>
        <v>0</v>
      </c>
      <c r="X162" s="393" t="str">
        <f t="shared" si="46"/>
        <v/>
      </c>
      <c r="Y162" s="393" t="str">
        <f t="shared" si="47"/>
        <v/>
      </c>
      <c r="Z162" s="393" t="str">
        <f t="shared" si="48"/>
        <v/>
      </c>
      <c r="AA162" s="393" t="str">
        <f t="shared" si="49"/>
        <v/>
      </c>
      <c r="AB162" s="393" t="str">
        <f t="shared" si="50"/>
        <v/>
      </c>
      <c r="AC162" s="393" t="str">
        <f t="shared" si="51"/>
        <v/>
      </c>
      <c r="AD162" s="398" t="str">
        <f t="shared" si="52"/>
        <v/>
      </c>
      <c r="AF162" s="396" t="str">
        <f t="shared" si="53"/>
        <v/>
      </c>
      <c r="AH162" s="393" t="str">
        <f t="shared" si="54"/>
        <v/>
      </c>
      <c r="AI162" s="393" t="str">
        <f t="shared" si="55"/>
        <v/>
      </c>
      <c r="AJ162" s="393" t="str">
        <f t="shared" si="59"/>
        <v/>
      </c>
      <c r="AK162" s="393" t="str">
        <f t="shared" si="56"/>
        <v/>
      </c>
      <c r="AL162" s="398" t="str">
        <f t="shared" si="57"/>
        <v/>
      </c>
      <c r="AN162" s="396" t="str">
        <f t="shared" si="58"/>
        <v/>
      </c>
      <c r="AQ162" s="395"/>
      <c r="AR162" s="395"/>
    </row>
    <row r="163" spans="1:44" x14ac:dyDescent="0.2">
      <c r="A163" s="398" t="str">
        <f>IF(B163="","",CONCATENATE("GBL",B163," - ",Mantenedor!E163))</f>
        <v/>
      </c>
      <c r="J163" s="318"/>
      <c r="K163" s="312"/>
      <c r="M163" s="315"/>
      <c r="P163" s="398" t="str">
        <f t="shared" si="43"/>
        <v/>
      </c>
      <c r="Q163" s="401" t="str" cm="1">
        <f t="array" ref="Q163">+_xlfn.IFS(O163="Nacional","CLP",O163="Extranjero","USD",O163="","")</f>
        <v/>
      </c>
      <c r="R163" s="399" t="str">
        <f>IFERROR(IF(O163="Nacional",VLOOKUP(P163,PRICING!$D$4:$E$59,2,FALSE),VLOOKUP(P163,PRICING!$J$4:$K$59,2,FALSE)),"")</f>
        <v/>
      </c>
      <c r="S163"/>
      <c r="V163" s="399">
        <f t="shared" si="44"/>
        <v>0</v>
      </c>
      <c r="W163" s="400">
        <f t="shared" si="45"/>
        <v>0</v>
      </c>
      <c r="X163" s="393" t="str">
        <f t="shared" si="46"/>
        <v/>
      </c>
      <c r="Y163" s="393" t="str">
        <f t="shared" si="47"/>
        <v/>
      </c>
      <c r="Z163" s="393" t="str">
        <f t="shared" si="48"/>
        <v/>
      </c>
      <c r="AA163" s="393" t="str">
        <f t="shared" si="49"/>
        <v/>
      </c>
      <c r="AB163" s="393" t="str">
        <f t="shared" si="50"/>
        <v/>
      </c>
      <c r="AC163" s="393" t="str">
        <f t="shared" si="51"/>
        <v/>
      </c>
      <c r="AD163" s="398" t="str">
        <f t="shared" si="52"/>
        <v/>
      </c>
      <c r="AF163" s="396" t="str">
        <f t="shared" si="53"/>
        <v/>
      </c>
      <c r="AH163" s="393" t="str">
        <f t="shared" si="54"/>
        <v/>
      </c>
      <c r="AI163" s="393" t="str">
        <f t="shared" si="55"/>
        <v/>
      </c>
      <c r="AJ163" s="393" t="str">
        <f t="shared" si="59"/>
        <v/>
      </c>
      <c r="AK163" s="393" t="str">
        <f t="shared" si="56"/>
        <v/>
      </c>
      <c r="AL163" s="398" t="str">
        <f t="shared" si="57"/>
        <v/>
      </c>
      <c r="AN163" s="396" t="str">
        <f t="shared" si="58"/>
        <v/>
      </c>
      <c r="AQ163" s="395"/>
      <c r="AR163" s="395"/>
    </row>
    <row r="164" spans="1:44" x14ac:dyDescent="0.2">
      <c r="A164" s="398" t="str">
        <f>IF(B164="","",CONCATENATE("GBL",B164," - ",Mantenedor!E164))</f>
        <v/>
      </c>
      <c r="J164" s="318"/>
      <c r="K164" s="312"/>
      <c r="M164" s="315"/>
      <c r="P164" s="398" t="str">
        <f t="shared" si="43"/>
        <v/>
      </c>
      <c r="Q164" s="401" t="str" cm="1">
        <f t="array" ref="Q164">+_xlfn.IFS(O164="Nacional","CLP",O164="Extranjero","USD",O164="","")</f>
        <v/>
      </c>
      <c r="R164" s="399" t="str">
        <f>IFERROR(IF(O164="Nacional",VLOOKUP(P164,PRICING!$D$4:$E$59,2,FALSE),VLOOKUP(P164,PRICING!$J$4:$K$59,2,FALSE)),"")</f>
        <v/>
      </c>
      <c r="S164"/>
      <c r="V164" s="399">
        <f t="shared" si="44"/>
        <v>0</v>
      </c>
      <c r="W164" s="400">
        <f t="shared" si="45"/>
        <v>0</v>
      </c>
      <c r="X164" s="393" t="str">
        <f t="shared" si="46"/>
        <v/>
      </c>
      <c r="Y164" s="393" t="str">
        <f t="shared" si="47"/>
        <v/>
      </c>
      <c r="Z164" s="393" t="str">
        <f t="shared" si="48"/>
        <v/>
      </c>
      <c r="AA164" s="393" t="str">
        <f t="shared" si="49"/>
        <v/>
      </c>
      <c r="AB164" s="393" t="str">
        <f t="shared" si="50"/>
        <v/>
      </c>
      <c r="AC164" s="393" t="str">
        <f t="shared" si="51"/>
        <v/>
      </c>
      <c r="AD164" s="398" t="str">
        <f t="shared" si="52"/>
        <v/>
      </c>
      <c r="AF164" s="396" t="str">
        <f t="shared" si="53"/>
        <v/>
      </c>
      <c r="AH164" s="393" t="str">
        <f t="shared" si="54"/>
        <v/>
      </c>
      <c r="AI164" s="393" t="str">
        <f t="shared" si="55"/>
        <v/>
      </c>
      <c r="AJ164" s="393" t="str">
        <f t="shared" si="59"/>
        <v/>
      </c>
      <c r="AK164" s="393" t="str">
        <f t="shared" si="56"/>
        <v/>
      </c>
      <c r="AL164" s="398" t="str">
        <f t="shared" si="57"/>
        <v/>
      </c>
      <c r="AN164" s="396" t="str">
        <f t="shared" si="58"/>
        <v/>
      </c>
      <c r="AQ164" s="395"/>
      <c r="AR164" s="395"/>
    </row>
    <row r="165" spans="1:44" x14ac:dyDescent="0.2">
      <c r="A165" s="398" t="str">
        <f>IF(B165="","",CONCATENATE("GBL",B165," - ",Mantenedor!E165))</f>
        <v/>
      </c>
      <c r="J165" s="318"/>
      <c r="K165" s="312"/>
      <c r="M165" s="315"/>
      <c r="P165" s="398" t="str">
        <f t="shared" si="43"/>
        <v/>
      </c>
      <c r="Q165" s="401" t="str" cm="1">
        <f t="array" ref="Q165">+_xlfn.IFS(O165="Nacional","CLP",O165="Extranjero","USD",O165="","")</f>
        <v/>
      </c>
      <c r="R165" s="399" t="str">
        <f>IFERROR(IF(O165="Nacional",VLOOKUP(P165,PRICING!$D$4:$E$59,2,FALSE),VLOOKUP(P165,PRICING!$J$4:$K$59,2,FALSE)),"")</f>
        <v/>
      </c>
      <c r="S165"/>
      <c r="V165" s="399">
        <f t="shared" si="44"/>
        <v>0</v>
      </c>
      <c r="W165" s="400">
        <f t="shared" si="45"/>
        <v>0</v>
      </c>
      <c r="X165" s="393" t="str">
        <f t="shared" si="46"/>
        <v/>
      </c>
      <c r="Y165" s="393" t="str">
        <f t="shared" si="47"/>
        <v/>
      </c>
      <c r="Z165" s="393" t="str">
        <f t="shared" si="48"/>
        <v/>
      </c>
      <c r="AA165" s="393" t="str">
        <f t="shared" si="49"/>
        <v/>
      </c>
      <c r="AB165" s="393" t="str">
        <f t="shared" si="50"/>
        <v/>
      </c>
      <c r="AC165" s="393" t="str">
        <f t="shared" si="51"/>
        <v/>
      </c>
      <c r="AD165" s="398" t="str">
        <f t="shared" si="52"/>
        <v/>
      </c>
      <c r="AF165" s="396" t="str">
        <f t="shared" si="53"/>
        <v/>
      </c>
      <c r="AH165" s="393" t="str">
        <f t="shared" si="54"/>
        <v/>
      </c>
      <c r="AI165" s="393" t="str">
        <f t="shared" si="55"/>
        <v/>
      </c>
      <c r="AJ165" s="393" t="str">
        <f t="shared" si="59"/>
        <v/>
      </c>
      <c r="AK165" s="393" t="str">
        <f t="shared" si="56"/>
        <v/>
      </c>
      <c r="AL165" s="398" t="str">
        <f t="shared" si="57"/>
        <v/>
      </c>
      <c r="AN165" s="396" t="str">
        <f t="shared" si="58"/>
        <v/>
      </c>
      <c r="AQ165" s="395"/>
      <c r="AR165" s="395"/>
    </row>
    <row r="166" spans="1:44" x14ac:dyDescent="0.2">
      <c r="A166" s="398" t="str">
        <f>IF(B166="","",CONCATENATE("GBL",B166," - ",Mantenedor!E166))</f>
        <v/>
      </c>
      <c r="J166" s="318"/>
      <c r="K166" s="312"/>
      <c r="M166" s="315"/>
      <c r="P166" s="398" t="str">
        <f t="shared" si="43"/>
        <v/>
      </c>
      <c r="Q166" s="401" t="str" cm="1">
        <f t="array" ref="Q166">+_xlfn.IFS(O166="Nacional","CLP",O166="Extranjero","USD",O166="","")</f>
        <v/>
      </c>
      <c r="R166" s="399" t="str">
        <f>IFERROR(IF(O166="Nacional",VLOOKUP(P166,PRICING!$D$4:$E$59,2,FALSE),VLOOKUP(P166,PRICING!$J$4:$K$59,2,FALSE)),"")</f>
        <v/>
      </c>
      <c r="S166"/>
      <c r="V166" s="399">
        <f t="shared" si="44"/>
        <v>0</v>
      </c>
      <c r="W166" s="400">
        <f t="shared" si="45"/>
        <v>0</v>
      </c>
      <c r="X166" s="393" t="str">
        <f t="shared" si="46"/>
        <v/>
      </c>
      <c r="Y166" s="393" t="str">
        <f t="shared" si="47"/>
        <v/>
      </c>
      <c r="Z166" s="393" t="str">
        <f t="shared" si="48"/>
        <v/>
      </c>
      <c r="AA166" s="393" t="str">
        <f t="shared" si="49"/>
        <v/>
      </c>
      <c r="AB166" s="393" t="str">
        <f t="shared" si="50"/>
        <v/>
      </c>
      <c r="AC166" s="393" t="str">
        <f t="shared" si="51"/>
        <v/>
      </c>
      <c r="AD166" s="398" t="str">
        <f t="shared" si="52"/>
        <v/>
      </c>
      <c r="AF166" s="396" t="str">
        <f t="shared" si="53"/>
        <v/>
      </c>
      <c r="AH166" s="393" t="str">
        <f t="shared" si="54"/>
        <v/>
      </c>
      <c r="AI166" s="393" t="str">
        <f t="shared" si="55"/>
        <v/>
      </c>
      <c r="AJ166" s="393" t="str">
        <f t="shared" si="59"/>
        <v/>
      </c>
      <c r="AK166" s="393" t="str">
        <f t="shared" si="56"/>
        <v/>
      </c>
      <c r="AL166" s="398" t="str">
        <f t="shared" si="57"/>
        <v/>
      </c>
      <c r="AN166" s="396" t="str">
        <f t="shared" si="58"/>
        <v/>
      </c>
      <c r="AQ166" s="395"/>
      <c r="AR166" s="395"/>
    </row>
    <row r="167" spans="1:44" x14ac:dyDescent="0.2">
      <c r="A167" s="398" t="str">
        <f>IF(B167="","",CONCATENATE("GBL",B167," - ",Mantenedor!E167))</f>
        <v/>
      </c>
      <c r="J167" s="318"/>
      <c r="K167" s="312"/>
      <c r="M167" s="315"/>
      <c r="P167" s="398" t="str">
        <f t="shared" si="43"/>
        <v/>
      </c>
      <c r="Q167" s="401" t="str" cm="1">
        <f t="array" ref="Q167">+_xlfn.IFS(O167="Nacional","CLP",O167="Extranjero","USD",O167="","")</f>
        <v/>
      </c>
      <c r="R167" s="399" t="str">
        <f>IFERROR(IF(O167="Nacional",VLOOKUP(P167,PRICING!$D$4:$E$59,2,FALSE),VLOOKUP(P167,PRICING!$J$4:$K$59,2,FALSE)),"")</f>
        <v/>
      </c>
      <c r="S167"/>
      <c r="V167" s="399">
        <f t="shared" si="44"/>
        <v>0</v>
      </c>
      <c r="W167" s="400">
        <f t="shared" si="45"/>
        <v>0</v>
      </c>
      <c r="X167" s="393" t="str">
        <f t="shared" si="46"/>
        <v/>
      </c>
      <c r="Y167" s="393" t="str">
        <f t="shared" si="47"/>
        <v/>
      </c>
      <c r="Z167" s="393" t="str">
        <f t="shared" si="48"/>
        <v/>
      </c>
      <c r="AA167" s="393" t="str">
        <f t="shared" si="49"/>
        <v/>
      </c>
      <c r="AB167" s="393" t="str">
        <f t="shared" si="50"/>
        <v/>
      </c>
      <c r="AC167" s="393" t="str">
        <f t="shared" si="51"/>
        <v/>
      </c>
      <c r="AD167" s="398" t="str">
        <f t="shared" si="52"/>
        <v/>
      </c>
      <c r="AF167" s="396" t="str">
        <f t="shared" si="53"/>
        <v/>
      </c>
      <c r="AH167" s="393" t="str">
        <f t="shared" si="54"/>
        <v/>
      </c>
      <c r="AI167" s="393" t="str">
        <f t="shared" si="55"/>
        <v/>
      </c>
      <c r="AJ167" s="393" t="str">
        <f t="shared" si="59"/>
        <v/>
      </c>
      <c r="AK167" s="393" t="str">
        <f t="shared" si="56"/>
        <v/>
      </c>
      <c r="AL167" s="398" t="str">
        <f t="shared" si="57"/>
        <v/>
      </c>
      <c r="AN167" s="396" t="str">
        <f t="shared" si="58"/>
        <v/>
      </c>
      <c r="AQ167" s="395"/>
      <c r="AR167" s="395"/>
    </row>
    <row r="168" spans="1:44" x14ac:dyDescent="0.2">
      <c r="A168" s="398" t="str">
        <f>IF(B168="","",CONCATENATE("GBL",B168," - ",Mantenedor!E168))</f>
        <v/>
      </c>
      <c r="J168" s="318"/>
      <c r="K168" s="312"/>
      <c r="M168" s="315"/>
      <c r="P168" s="398" t="str">
        <f t="shared" si="43"/>
        <v/>
      </c>
      <c r="Q168" s="401" t="str" cm="1">
        <f t="array" ref="Q168">+_xlfn.IFS(O168="Nacional","CLP",O168="Extranjero","USD",O168="","")</f>
        <v/>
      </c>
      <c r="R168" s="399" t="str">
        <f>IFERROR(IF(O168="Nacional",VLOOKUP(P168,PRICING!$D$4:$E$59,2,FALSE),VLOOKUP(P168,PRICING!$J$4:$K$59,2,FALSE)),"")</f>
        <v/>
      </c>
      <c r="S168"/>
      <c r="V168" s="399">
        <f t="shared" si="44"/>
        <v>0</v>
      </c>
      <c r="W168" s="400">
        <f t="shared" si="45"/>
        <v>0</v>
      </c>
      <c r="X168" s="393" t="str">
        <f t="shared" si="46"/>
        <v/>
      </c>
      <c r="Y168" s="393" t="str">
        <f t="shared" si="47"/>
        <v/>
      </c>
      <c r="Z168" s="393" t="str">
        <f t="shared" si="48"/>
        <v/>
      </c>
      <c r="AA168" s="393" t="str">
        <f t="shared" si="49"/>
        <v/>
      </c>
      <c r="AB168" s="393" t="str">
        <f t="shared" si="50"/>
        <v/>
      </c>
      <c r="AC168" s="393" t="str">
        <f t="shared" si="51"/>
        <v/>
      </c>
      <c r="AD168" s="398" t="str">
        <f t="shared" si="52"/>
        <v/>
      </c>
      <c r="AF168" s="396" t="str">
        <f t="shared" si="53"/>
        <v/>
      </c>
      <c r="AH168" s="393" t="str">
        <f t="shared" si="54"/>
        <v/>
      </c>
      <c r="AI168" s="393" t="str">
        <f t="shared" si="55"/>
        <v/>
      </c>
      <c r="AJ168" s="393" t="str">
        <f t="shared" si="59"/>
        <v/>
      </c>
      <c r="AK168" s="393" t="str">
        <f t="shared" si="56"/>
        <v/>
      </c>
      <c r="AL168" s="398" t="str">
        <f t="shared" si="57"/>
        <v/>
      </c>
      <c r="AN168" s="396" t="str">
        <f t="shared" si="58"/>
        <v/>
      </c>
      <c r="AQ168" s="395"/>
      <c r="AR168" s="395"/>
    </row>
    <row r="169" spans="1:44" x14ac:dyDescent="0.2">
      <c r="A169" s="398" t="str">
        <f>IF(B169="","",CONCATENATE("GBL",B169," - ",Mantenedor!E169))</f>
        <v/>
      </c>
      <c r="J169" s="318"/>
      <c r="K169" s="312"/>
      <c r="M169" s="315"/>
      <c r="P169" s="398" t="str">
        <f t="shared" si="43"/>
        <v/>
      </c>
      <c r="Q169" s="401" t="str" cm="1">
        <f t="array" ref="Q169">+_xlfn.IFS(O169="Nacional","CLP",O169="Extranjero","USD",O169="","")</f>
        <v/>
      </c>
      <c r="R169" s="399" t="str">
        <f>IFERROR(IF(O169="Nacional",VLOOKUP(P169,PRICING!$D$4:$E$59,2,FALSE),VLOOKUP(P169,PRICING!$J$4:$K$59,2,FALSE)),"")</f>
        <v/>
      </c>
      <c r="S169"/>
      <c r="V169" s="399">
        <f t="shared" si="44"/>
        <v>0</v>
      </c>
      <c r="W169" s="400">
        <f t="shared" si="45"/>
        <v>0</v>
      </c>
      <c r="X169" s="393" t="str">
        <f t="shared" si="46"/>
        <v/>
      </c>
      <c r="Y169" s="393" t="str">
        <f t="shared" si="47"/>
        <v/>
      </c>
      <c r="Z169" s="393" t="str">
        <f t="shared" si="48"/>
        <v/>
      </c>
      <c r="AA169" s="393" t="str">
        <f t="shared" si="49"/>
        <v/>
      </c>
      <c r="AB169" s="393" t="str">
        <f t="shared" si="50"/>
        <v/>
      </c>
      <c r="AC169" s="393" t="str">
        <f t="shared" si="51"/>
        <v/>
      </c>
      <c r="AD169" s="398" t="str">
        <f t="shared" si="52"/>
        <v/>
      </c>
      <c r="AF169" s="396" t="str">
        <f t="shared" si="53"/>
        <v/>
      </c>
      <c r="AH169" s="393" t="str">
        <f t="shared" si="54"/>
        <v/>
      </c>
      <c r="AI169" s="393" t="str">
        <f t="shared" si="55"/>
        <v/>
      </c>
      <c r="AJ169" s="393" t="str">
        <f t="shared" si="59"/>
        <v/>
      </c>
      <c r="AK169" s="393" t="str">
        <f t="shared" si="56"/>
        <v/>
      </c>
      <c r="AL169" s="398" t="str">
        <f t="shared" si="57"/>
        <v/>
      </c>
      <c r="AN169" s="396" t="str">
        <f t="shared" si="58"/>
        <v/>
      </c>
      <c r="AQ169" s="395"/>
      <c r="AR169" s="395"/>
    </row>
    <row r="170" spans="1:44" x14ac:dyDescent="0.2">
      <c r="A170" s="398" t="str">
        <f>IF(B170="","",CONCATENATE("GBL",B170," - ",Mantenedor!E170))</f>
        <v/>
      </c>
      <c r="J170" s="318"/>
      <c r="K170" s="312"/>
      <c r="M170" s="315"/>
      <c r="P170" s="398" t="str">
        <f t="shared" si="43"/>
        <v/>
      </c>
      <c r="Q170" s="401" t="str" cm="1">
        <f t="array" ref="Q170">+_xlfn.IFS(O170="Nacional","CLP",O170="Extranjero","USD",O170="","")</f>
        <v/>
      </c>
      <c r="R170" s="399" t="str">
        <f>IFERROR(IF(O170="Nacional",VLOOKUP(P170,PRICING!$D$4:$E$59,2,FALSE),VLOOKUP(P170,PRICING!$J$4:$K$59,2,FALSE)),"")</f>
        <v/>
      </c>
      <c r="S170"/>
      <c r="V170" s="399">
        <f t="shared" si="44"/>
        <v>0</v>
      </c>
      <c r="W170" s="400">
        <f t="shared" si="45"/>
        <v>0</v>
      </c>
      <c r="X170" s="393" t="str">
        <f t="shared" si="46"/>
        <v/>
      </c>
      <c r="Y170" s="393" t="str">
        <f t="shared" si="47"/>
        <v/>
      </c>
      <c r="Z170" s="393" t="str">
        <f t="shared" si="48"/>
        <v/>
      </c>
      <c r="AA170" s="393" t="str">
        <f t="shared" si="49"/>
        <v/>
      </c>
      <c r="AB170" s="393" t="str">
        <f t="shared" si="50"/>
        <v/>
      </c>
      <c r="AC170" s="393" t="str">
        <f t="shared" si="51"/>
        <v/>
      </c>
      <c r="AD170" s="398" t="str">
        <f t="shared" si="52"/>
        <v/>
      </c>
      <c r="AF170" s="396" t="str">
        <f t="shared" si="53"/>
        <v/>
      </c>
      <c r="AH170" s="393" t="str">
        <f t="shared" si="54"/>
        <v/>
      </c>
      <c r="AI170" s="393" t="str">
        <f t="shared" si="55"/>
        <v/>
      </c>
      <c r="AJ170" s="393" t="str">
        <f t="shared" si="59"/>
        <v/>
      </c>
      <c r="AK170" s="393" t="str">
        <f t="shared" si="56"/>
        <v/>
      </c>
      <c r="AL170" s="398" t="str">
        <f t="shared" si="57"/>
        <v/>
      </c>
      <c r="AN170" s="396" t="str">
        <f t="shared" si="58"/>
        <v/>
      </c>
      <c r="AQ170" s="395"/>
      <c r="AR170" s="395"/>
    </row>
    <row r="171" spans="1:44" x14ac:dyDescent="0.2">
      <c r="A171" s="398" t="str">
        <f>IF(B171="","",CONCATENATE("GBL",B171," - ",Mantenedor!E171))</f>
        <v/>
      </c>
      <c r="J171" s="318"/>
      <c r="K171" s="312"/>
      <c r="M171" s="315"/>
      <c r="P171" s="398" t="str">
        <f t="shared" si="43"/>
        <v/>
      </c>
      <c r="Q171" s="401" t="str" cm="1">
        <f t="array" ref="Q171">+_xlfn.IFS(O171="Nacional","CLP",O171="Extranjero","USD",O171="","")</f>
        <v/>
      </c>
      <c r="R171" s="399" t="str">
        <f>IFERROR(IF(O171="Nacional",VLOOKUP(P171,PRICING!$D$4:$E$59,2,FALSE),VLOOKUP(P171,PRICING!$J$4:$K$59,2,FALSE)),"")</f>
        <v/>
      </c>
      <c r="S171"/>
      <c r="V171" s="399">
        <f t="shared" si="44"/>
        <v>0</v>
      </c>
      <c r="W171" s="400">
        <f t="shared" si="45"/>
        <v>0</v>
      </c>
      <c r="X171" s="393" t="str">
        <f t="shared" si="46"/>
        <v/>
      </c>
      <c r="Y171" s="393" t="str">
        <f t="shared" si="47"/>
        <v/>
      </c>
      <c r="Z171" s="393" t="str">
        <f t="shared" si="48"/>
        <v/>
      </c>
      <c r="AA171" s="393" t="str">
        <f t="shared" si="49"/>
        <v/>
      </c>
      <c r="AB171" s="393" t="str">
        <f t="shared" si="50"/>
        <v/>
      </c>
      <c r="AC171" s="393" t="str">
        <f t="shared" si="51"/>
        <v/>
      </c>
      <c r="AD171" s="398" t="str">
        <f t="shared" si="52"/>
        <v/>
      </c>
      <c r="AF171" s="396" t="str">
        <f t="shared" si="53"/>
        <v/>
      </c>
      <c r="AH171" s="393" t="str">
        <f t="shared" si="54"/>
        <v/>
      </c>
      <c r="AI171" s="393" t="str">
        <f t="shared" si="55"/>
        <v/>
      </c>
      <c r="AJ171" s="393" t="str">
        <f t="shared" si="59"/>
        <v/>
      </c>
      <c r="AK171" s="393" t="str">
        <f t="shared" si="56"/>
        <v/>
      </c>
      <c r="AL171" s="398" t="str">
        <f t="shared" si="57"/>
        <v/>
      </c>
      <c r="AN171" s="396" t="str">
        <f t="shared" si="58"/>
        <v/>
      </c>
      <c r="AQ171" s="395"/>
      <c r="AR171" s="395"/>
    </row>
    <row r="172" spans="1:44" x14ac:dyDescent="0.2">
      <c r="A172" s="398" t="str">
        <f>IF(B172="","",CONCATENATE("GBL",B172," - ",Mantenedor!E172))</f>
        <v/>
      </c>
      <c r="J172" s="318"/>
      <c r="K172" s="312"/>
      <c r="M172" s="315"/>
      <c r="P172" s="398" t="str">
        <f t="shared" si="43"/>
        <v/>
      </c>
      <c r="Q172" s="401" t="str" cm="1">
        <f t="array" ref="Q172">+_xlfn.IFS(O172="Nacional","CLP",O172="Extranjero","USD",O172="","")</f>
        <v/>
      </c>
      <c r="R172" s="399" t="str">
        <f>IFERROR(IF(O172="Nacional",VLOOKUP(P172,PRICING!$D$4:$E$59,2,FALSE),VLOOKUP(P172,PRICING!$J$4:$K$59,2,FALSE)),"")</f>
        <v/>
      </c>
      <c r="S172"/>
      <c r="V172" s="399">
        <f t="shared" si="44"/>
        <v>0</v>
      </c>
      <c r="W172" s="400">
        <f t="shared" si="45"/>
        <v>0</v>
      </c>
      <c r="X172" s="393" t="str">
        <f t="shared" si="46"/>
        <v/>
      </c>
      <c r="Y172" s="393" t="str">
        <f t="shared" si="47"/>
        <v/>
      </c>
      <c r="Z172" s="393" t="str">
        <f t="shared" si="48"/>
        <v/>
      </c>
      <c r="AA172" s="393" t="str">
        <f t="shared" si="49"/>
        <v/>
      </c>
      <c r="AB172" s="393" t="str">
        <f t="shared" si="50"/>
        <v/>
      </c>
      <c r="AC172" s="393" t="str">
        <f t="shared" si="51"/>
        <v/>
      </c>
      <c r="AD172" s="398" t="str">
        <f t="shared" si="52"/>
        <v/>
      </c>
      <c r="AF172" s="396" t="str">
        <f t="shared" si="53"/>
        <v/>
      </c>
      <c r="AH172" s="393" t="str">
        <f t="shared" si="54"/>
        <v/>
      </c>
      <c r="AI172" s="393" t="str">
        <f t="shared" si="55"/>
        <v/>
      </c>
      <c r="AJ172" s="393" t="str">
        <f t="shared" si="59"/>
        <v/>
      </c>
      <c r="AK172" s="393" t="str">
        <f t="shared" si="56"/>
        <v/>
      </c>
      <c r="AL172" s="398" t="str">
        <f t="shared" si="57"/>
        <v/>
      </c>
      <c r="AN172" s="396" t="str">
        <f t="shared" si="58"/>
        <v/>
      </c>
      <c r="AQ172" s="395"/>
      <c r="AR172" s="395"/>
    </row>
    <row r="173" spans="1:44" x14ac:dyDescent="0.2">
      <c r="A173" s="398" t="str">
        <f>IF(B173="","",CONCATENATE("GBL",B173," - ",Mantenedor!E173))</f>
        <v/>
      </c>
      <c r="J173" s="318"/>
      <c r="K173" s="312"/>
      <c r="M173" s="315"/>
      <c r="P173" s="398" t="str">
        <f t="shared" si="43"/>
        <v/>
      </c>
      <c r="Q173" s="401" t="str" cm="1">
        <f t="array" ref="Q173">+_xlfn.IFS(O173="Nacional","CLP",O173="Extranjero","USD",O173="","")</f>
        <v/>
      </c>
      <c r="R173" s="399" t="str">
        <f>IFERROR(IF(O173="Nacional",VLOOKUP(P173,PRICING!$D$4:$E$59,2,FALSE),VLOOKUP(P173,PRICING!$J$4:$K$59,2,FALSE)),"")</f>
        <v/>
      </c>
      <c r="S173"/>
      <c r="V173" s="399">
        <f t="shared" si="44"/>
        <v>0</v>
      </c>
      <c r="W173" s="400">
        <f t="shared" si="45"/>
        <v>0</v>
      </c>
      <c r="X173" s="393" t="str">
        <f t="shared" si="46"/>
        <v/>
      </c>
      <c r="Y173" s="393" t="str">
        <f t="shared" si="47"/>
        <v/>
      </c>
      <c r="Z173" s="393" t="str">
        <f t="shared" si="48"/>
        <v/>
      </c>
      <c r="AA173" s="393" t="str">
        <f t="shared" si="49"/>
        <v/>
      </c>
      <c r="AB173" s="393" t="str">
        <f t="shared" si="50"/>
        <v/>
      </c>
      <c r="AC173" s="393" t="str">
        <f t="shared" si="51"/>
        <v/>
      </c>
      <c r="AD173" s="398" t="str">
        <f t="shared" si="52"/>
        <v/>
      </c>
      <c r="AF173" s="396" t="str">
        <f t="shared" si="53"/>
        <v/>
      </c>
      <c r="AH173" s="393" t="str">
        <f t="shared" si="54"/>
        <v/>
      </c>
      <c r="AI173" s="393" t="str">
        <f t="shared" si="55"/>
        <v/>
      </c>
      <c r="AJ173" s="393" t="str">
        <f t="shared" si="59"/>
        <v/>
      </c>
      <c r="AK173" s="393" t="str">
        <f t="shared" si="56"/>
        <v/>
      </c>
      <c r="AL173" s="398" t="str">
        <f t="shared" si="57"/>
        <v/>
      </c>
      <c r="AN173" s="396" t="str">
        <f t="shared" si="58"/>
        <v/>
      </c>
      <c r="AQ173" s="395"/>
      <c r="AR173" s="395"/>
    </row>
    <row r="174" spans="1:44" x14ac:dyDescent="0.2">
      <c r="A174" s="398" t="str">
        <f>IF(B174="","",CONCATENATE("GBL",B174," - ",Mantenedor!E174))</f>
        <v/>
      </c>
      <c r="J174" s="318"/>
      <c r="K174" s="312"/>
      <c r="M174" s="315"/>
      <c r="P174" s="398" t="str">
        <f t="shared" si="43"/>
        <v/>
      </c>
      <c r="Q174" s="401" t="str" cm="1">
        <f t="array" ref="Q174">+_xlfn.IFS(O174="Nacional","CLP",O174="Extranjero","USD",O174="","")</f>
        <v/>
      </c>
      <c r="R174" s="399" t="str">
        <f>IFERROR(IF(O174="Nacional",VLOOKUP(P174,PRICING!$D$4:$E$59,2,FALSE),VLOOKUP(P174,PRICING!$J$4:$K$59,2,FALSE)),"")</f>
        <v/>
      </c>
      <c r="S174"/>
      <c r="V174" s="399">
        <f t="shared" si="44"/>
        <v>0</v>
      </c>
      <c r="W174" s="400">
        <f t="shared" si="45"/>
        <v>0</v>
      </c>
      <c r="X174" s="393" t="str">
        <f t="shared" si="46"/>
        <v/>
      </c>
      <c r="Y174" s="393" t="str">
        <f t="shared" si="47"/>
        <v/>
      </c>
      <c r="Z174" s="393" t="str">
        <f t="shared" si="48"/>
        <v/>
      </c>
      <c r="AA174" s="393" t="str">
        <f t="shared" si="49"/>
        <v/>
      </c>
      <c r="AB174" s="393" t="str">
        <f t="shared" si="50"/>
        <v/>
      </c>
      <c r="AC174" s="393" t="str">
        <f t="shared" si="51"/>
        <v/>
      </c>
      <c r="AD174" s="398" t="str">
        <f t="shared" si="52"/>
        <v/>
      </c>
      <c r="AF174" s="396" t="str">
        <f t="shared" si="53"/>
        <v/>
      </c>
      <c r="AH174" s="393" t="str">
        <f t="shared" si="54"/>
        <v/>
      </c>
      <c r="AI174" s="393" t="str">
        <f t="shared" si="55"/>
        <v/>
      </c>
      <c r="AJ174" s="393" t="str">
        <f t="shared" si="59"/>
        <v/>
      </c>
      <c r="AK174" s="393" t="str">
        <f t="shared" si="56"/>
        <v/>
      </c>
      <c r="AL174" s="398" t="str">
        <f t="shared" si="57"/>
        <v/>
      </c>
      <c r="AN174" s="396" t="str">
        <f t="shared" si="58"/>
        <v/>
      </c>
      <c r="AQ174" s="395"/>
      <c r="AR174" s="395"/>
    </row>
    <row r="175" spans="1:44" x14ac:dyDescent="0.2">
      <c r="A175" s="398" t="str">
        <f>IF(B175="","",CONCATENATE("GBL",B175," - ",Mantenedor!E175))</f>
        <v/>
      </c>
      <c r="J175" s="318"/>
      <c r="K175" s="312"/>
      <c r="M175" s="315"/>
      <c r="P175" s="398" t="str">
        <f t="shared" si="43"/>
        <v/>
      </c>
      <c r="Q175" s="401" t="str" cm="1">
        <f t="array" ref="Q175">+_xlfn.IFS(O175="Nacional","CLP",O175="Extranjero","USD",O175="","")</f>
        <v/>
      </c>
      <c r="R175" s="399" t="str">
        <f>IFERROR(IF(O175="Nacional",VLOOKUP(P175,PRICING!$D$4:$E$59,2,FALSE),VLOOKUP(P175,PRICING!$J$4:$K$59,2,FALSE)),"")</f>
        <v/>
      </c>
      <c r="S175"/>
      <c r="V175" s="399">
        <f t="shared" si="44"/>
        <v>0</v>
      </c>
      <c r="W175" s="400">
        <f t="shared" si="45"/>
        <v>0</v>
      </c>
      <c r="X175" s="393" t="str">
        <f t="shared" si="46"/>
        <v/>
      </c>
      <c r="Y175" s="393" t="str">
        <f t="shared" si="47"/>
        <v/>
      </c>
      <c r="Z175" s="393" t="str">
        <f t="shared" si="48"/>
        <v/>
      </c>
      <c r="AA175" s="393" t="str">
        <f t="shared" si="49"/>
        <v/>
      </c>
      <c r="AB175" s="393" t="str">
        <f t="shared" si="50"/>
        <v/>
      </c>
      <c r="AC175" s="393" t="str">
        <f t="shared" si="51"/>
        <v/>
      </c>
      <c r="AD175" s="398" t="str">
        <f t="shared" si="52"/>
        <v/>
      </c>
      <c r="AF175" s="396" t="str">
        <f t="shared" si="53"/>
        <v/>
      </c>
      <c r="AH175" s="393" t="str">
        <f t="shared" si="54"/>
        <v/>
      </c>
      <c r="AI175" s="393" t="str">
        <f t="shared" si="55"/>
        <v/>
      </c>
      <c r="AJ175" s="393" t="str">
        <f t="shared" si="59"/>
        <v/>
      </c>
      <c r="AK175" s="393" t="str">
        <f t="shared" si="56"/>
        <v/>
      </c>
      <c r="AL175" s="398" t="str">
        <f t="shared" si="57"/>
        <v/>
      </c>
      <c r="AN175" s="396" t="str">
        <f t="shared" si="58"/>
        <v/>
      </c>
      <c r="AQ175" s="395"/>
      <c r="AR175" s="395"/>
    </row>
    <row r="176" spans="1:44" x14ac:dyDescent="0.2">
      <c r="A176" s="398" t="str">
        <f>IF(B176="","",CONCATENATE("GBL",B176," - ",Mantenedor!E176))</f>
        <v/>
      </c>
      <c r="J176" s="318"/>
      <c r="K176" s="312"/>
      <c r="M176" s="315"/>
      <c r="P176" s="398" t="str">
        <f t="shared" si="43"/>
        <v/>
      </c>
      <c r="Q176" s="401" t="str" cm="1">
        <f t="array" ref="Q176">+_xlfn.IFS(O176="Nacional","CLP",O176="Extranjero","USD",O176="","")</f>
        <v/>
      </c>
      <c r="R176" s="399" t="str">
        <f>IFERROR(IF(O176="Nacional",VLOOKUP(P176,PRICING!$D$4:$E$59,2,FALSE),VLOOKUP(P176,PRICING!$J$4:$K$59,2,FALSE)),"")</f>
        <v/>
      </c>
      <c r="S176"/>
      <c r="V176" s="399">
        <f t="shared" si="44"/>
        <v>0</v>
      </c>
      <c r="W176" s="400">
        <f t="shared" si="45"/>
        <v>0</v>
      </c>
      <c r="X176" s="393" t="str">
        <f t="shared" si="46"/>
        <v/>
      </c>
      <c r="Y176" s="393" t="str">
        <f t="shared" si="47"/>
        <v/>
      </c>
      <c r="Z176" s="393" t="str">
        <f t="shared" si="48"/>
        <v/>
      </c>
      <c r="AA176" s="393" t="str">
        <f t="shared" si="49"/>
        <v/>
      </c>
      <c r="AB176" s="393" t="str">
        <f t="shared" si="50"/>
        <v/>
      </c>
      <c r="AC176" s="393" t="str">
        <f t="shared" si="51"/>
        <v/>
      </c>
      <c r="AD176" s="398" t="str">
        <f t="shared" si="52"/>
        <v/>
      </c>
      <c r="AF176" s="396" t="str">
        <f t="shared" si="53"/>
        <v/>
      </c>
      <c r="AH176" s="393" t="str">
        <f t="shared" si="54"/>
        <v/>
      </c>
      <c r="AI176" s="393" t="str">
        <f t="shared" si="55"/>
        <v/>
      </c>
      <c r="AJ176" s="393" t="str">
        <f t="shared" si="59"/>
        <v/>
      </c>
      <c r="AK176" s="393" t="str">
        <f t="shared" si="56"/>
        <v/>
      </c>
      <c r="AL176" s="398" t="str">
        <f t="shared" si="57"/>
        <v/>
      </c>
      <c r="AN176" s="396" t="str">
        <f t="shared" si="58"/>
        <v/>
      </c>
      <c r="AQ176" s="395"/>
      <c r="AR176" s="395"/>
    </row>
    <row r="177" spans="1:44" x14ac:dyDescent="0.2">
      <c r="A177" s="398" t="str">
        <f>IF(B177="","",CONCATENATE("GBL",B177," - ",Mantenedor!E177))</f>
        <v/>
      </c>
      <c r="J177" s="318"/>
      <c r="K177" s="312"/>
      <c r="M177" s="315"/>
      <c r="P177" s="398" t="str">
        <f t="shared" si="43"/>
        <v/>
      </c>
      <c r="Q177" s="401" t="str" cm="1">
        <f t="array" ref="Q177">+_xlfn.IFS(O177="Nacional","CLP",O177="Extranjero","USD",O177="","")</f>
        <v/>
      </c>
      <c r="R177" s="399" t="str">
        <f>IFERROR(IF(O177="Nacional",VLOOKUP(P177,PRICING!$D$4:$E$59,2,FALSE),VLOOKUP(P177,PRICING!$J$4:$K$59,2,FALSE)),"")</f>
        <v/>
      </c>
      <c r="S177"/>
      <c r="V177" s="399">
        <f t="shared" si="44"/>
        <v>0</v>
      </c>
      <c r="W177" s="400">
        <f t="shared" si="45"/>
        <v>0</v>
      </c>
      <c r="X177" s="393" t="str">
        <f t="shared" si="46"/>
        <v/>
      </c>
      <c r="Y177" s="393" t="str">
        <f t="shared" si="47"/>
        <v/>
      </c>
      <c r="Z177" s="393" t="str">
        <f t="shared" si="48"/>
        <v/>
      </c>
      <c r="AA177" s="393" t="str">
        <f t="shared" si="49"/>
        <v/>
      </c>
      <c r="AB177" s="393" t="str">
        <f t="shared" si="50"/>
        <v/>
      </c>
      <c r="AC177" s="393" t="str">
        <f t="shared" si="51"/>
        <v/>
      </c>
      <c r="AD177" s="398" t="str">
        <f t="shared" si="52"/>
        <v/>
      </c>
      <c r="AF177" s="396" t="str">
        <f t="shared" si="53"/>
        <v/>
      </c>
      <c r="AH177" s="393" t="str">
        <f t="shared" si="54"/>
        <v/>
      </c>
      <c r="AI177" s="393" t="str">
        <f t="shared" si="55"/>
        <v/>
      </c>
      <c r="AJ177" s="393" t="str">
        <f t="shared" si="59"/>
        <v/>
      </c>
      <c r="AK177" s="393" t="str">
        <f t="shared" si="56"/>
        <v/>
      </c>
      <c r="AL177" s="398" t="str">
        <f t="shared" si="57"/>
        <v/>
      </c>
      <c r="AN177" s="396" t="str">
        <f t="shared" si="58"/>
        <v/>
      </c>
      <c r="AQ177" s="395"/>
      <c r="AR177" s="395"/>
    </row>
    <row r="178" spans="1:44" x14ac:dyDescent="0.2">
      <c r="A178" s="398" t="str">
        <f>IF(B178="","",CONCATENATE("GBL",B178," - ",Mantenedor!E178))</f>
        <v/>
      </c>
      <c r="J178" s="318"/>
      <c r="K178" s="312"/>
      <c r="M178" s="315"/>
      <c r="P178" s="398" t="str">
        <f t="shared" si="43"/>
        <v/>
      </c>
      <c r="Q178" s="401" t="str" cm="1">
        <f t="array" ref="Q178">+_xlfn.IFS(O178="Nacional","CLP",O178="Extranjero","USD",O178="","")</f>
        <v/>
      </c>
      <c r="R178" s="399" t="str">
        <f>IFERROR(IF(O178="Nacional",VLOOKUP(P178,PRICING!$D$4:$E$59,2,FALSE),VLOOKUP(P178,PRICING!$J$4:$K$59,2,FALSE)),"")</f>
        <v/>
      </c>
      <c r="S178"/>
      <c r="V178" s="399">
        <f t="shared" si="44"/>
        <v>0</v>
      </c>
      <c r="W178" s="400">
        <f t="shared" si="45"/>
        <v>0</v>
      </c>
      <c r="X178" s="393" t="str">
        <f t="shared" si="46"/>
        <v/>
      </c>
      <c r="Y178" s="393" t="str">
        <f t="shared" si="47"/>
        <v/>
      </c>
      <c r="Z178" s="393" t="str">
        <f t="shared" si="48"/>
        <v/>
      </c>
      <c r="AA178" s="393" t="str">
        <f t="shared" si="49"/>
        <v/>
      </c>
      <c r="AB178" s="393" t="str">
        <f t="shared" si="50"/>
        <v/>
      </c>
      <c r="AC178" s="393" t="str">
        <f t="shared" si="51"/>
        <v/>
      </c>
      <c r="AD178" s="398" t="str">
        <f t="shared" si="52"/>
        <v/>
      </c>
      <c r="AF178" s="396" t="str">
        <f t="shared" si="53"/>
        <v/>
      </c>
      <c r="AH178" s="393" t="str">
        <f t="shared" si="54"/>
        <v/>
      </c>
      <c r="AI178" s="393" t="str">
        <f t="shared" si="55"/>
        <v/>
      </c>
      <c r="AJ178" s="393" t="str">
        <f t="shared" si="59"/>
        <v/>
      </c>
      <c r="AK178" s="393" t="str">
        <f t="shared" si="56"/>
        <v/>
      </c>
      <c r="AL178" s="398" t="str">
        <f t="shared" si="57"/>
        <v/>
      </c>
      <c r="AN178" s="396" t="str">
        <f t="shared" si="58"/>
        <v/>
      </c>
      <c r="AQ178" s="395"/>
      <c r="AR178" s="395"/>
    </row>
    <row r="179" spans="1:44" x14ac:dyDescent="0.2">
      <c r="A179" s="398" t="str">
        <f>IF(B179="","",CONCATENATE("GBL",B179," - ",Mantenedor!E179))</f>
        <v/>
      </c>
      <c r="J179" s="318"/>
      <c r="K179" s="312"/>
      <c r="M179" s="315"/>
      <c r="P179" s="398" t="str">
        <f t="shared" si="43"/>
        <v/>
      </c>
      <c r="Q179" s="401" t="str" cm="1">
        <f t="array" ref="Q179">+_xlfn.IFS(O179="Nacional","CLP",O179="Extranjero","USD",O179="","")</f>
        <v/>
      </c>
      <c r="R179" s="399" t="str">
        <f>IFERROR(IF(O179="Nacional",VLOOKUP(P179,PRICING!$D$4:$E$59,2,FALSE),VLOOKUP(P179,PRICING!$J$4:$K$59,2,FALSE)),"")</f>
        <v/>
      </c>
      <c r="S179"/>
      <c r="V179" s="399">
        <f t="shared" si="44"/>
        <v>0</v>
      </c>
      <c r="W179" s="400">
        <f t="shared" si="45"/>
        <v>0</v>
      </c>
      <c r="X179" s="393" t="str">
        <f t="shared" si="46"/>
        <v/>
      </c>
      <c r="Y179" s="393" t="str">
        <f t="shared" si="47"/>
        <v/>
      </c>
      <c r="Z179" s="393" t="str">
        <f t="shared" si="48"/>
        <v/>
      </c>
      <c r="AA179" s="393" t="str">
        <f t="shared" si="49"/>
        <v/>
      </c>
      <c r="AB179" s="393" t="str">
        <f t="shared" si="50"/>
        <v/>
      </c>
      <c r="AC179" s="393" t="str">
        <f t="shared" si="51"/>
        <v/>
      </c>
      <c r="AD179" s="398" t="str">
        <f t="shared" si="52"/>
        <v/>
      </c>
      <c r="AF179" s="396" t="str">
        <f t="shared" si="53"/>
        <v/>
      </c>
      <c r="AH179" s="393" t="str">
        <f t="shared" si="54"/>
        <v/>
      </c>
      <c r="AI179" s="393" t="str">
        <f t="shared" si="55"/>
        <v/>
      </c>
      <c r="AJ179" s="393" t="str">
        <f t="shared" si="59"/>
        <v/>
      </c>
      <c r="AK179" s="393" t="str">
        <f t="shared" si="56"/>
        <v/>
      </c>
      <c r="AL179" s="398" t="str">
        <f t="shared" si="57"/>
        <v/>
      </c>
      <c r="AN179" s="396" t="str">
        <f t="shared" si="58"/>
        <v/>
      </c>
      <c r="AQ179" s="395"/>
      <c r="AR179" s="395"/>
    </row>
    <row r="180" spans="1:44" x14ac:dyDescent="0.2">
      <c r="A180" s="398" t="str">
        <f>IF(B180="","",CONCATENATE("GBL",B180," - ",Mantenedor!E180))</f>
        <v/>
      </c>
      <c r="J180" s="318"/>
      <c r="K180" s="312"/>
      <c r="M180" s="315"/>
      <c r="P180" s="398" t="str">
        <f t="shared" si="43"/>
        <v/>
      </c>
      <c r="Q180" s="401" t="str" cm="1">
        <f t="array" ref="Q180">+_xlfn.IFS(O180="Nacional","CLP",O180="Extranjero","USD",O180="","")</f>
        <v/>
      </c>
      <c r="R180" s="399" t="str">
        <f>IFERROR(IF(O180="Nacional",VLOOKUP(P180,PRICING!$D$4:$E$59,2,FALSE),VLOOKUP(P180,PRICING!$J$4:$K$59,2,FALSE)),"")</f>
        <v/>
      </c>
      <c r="S180"/>
      <c r="V180" s="399">
        <f t="shared" si="44"/>
        <v>0</v>
      </c>
      <c r="W180" s="400">
        <f t="shared" si="45"/>
        <v>0</v>
      </c>
      <c r="X180" s="393" t="str">
        <f t="shared" si="46"/>
        <v/>
      </c>
      <c r="Y180" s="393" t="str">
        <f t="shared" si="47"/>
        <v/>
      </c>
      <c r="Z180" s="393" t="str">
        <f t="shared" si="48"/>
        <v/>
      </c>
      <c r="AA180" s="393" t="str">
        <f t="shared" si="49"/>
        <v/>
      </c>
      <c r="AB180" s="393" t="str">
        <f t="shared" si="50"/>
        <v/>
      </c>
      <c r="AC180" s="393" t="str">
        <f t="shared" si="51"/>
        <v/>
      </c>
      <c r="AD180" s="398" t="str">
        <f t="shared" si="52"/>
        <v/>
      </c>
      <c r="AF180" s="396" t="str">
        <f t="shared" si="53"/>
        <v/>
      </c>
      <c r="AH180" s="393" t="str">
        <f t="shared" si="54"/>
        <v/>
      </c>
      <c r="AI180" s="393" t="str">
        <f t="shared" si="55"/>
        <v/>
      </c>
      <c r="AJ180" s="393" t="str">
        <f t="shared" si="59"/>
        <v/>
      </c>
      <c r="AK180" s="393" t="str">
        <f t="shared" si="56"/>
        <v/>
      </c>
      <c r="AL180" s="398" t="str">
        <f t="shared" si="57"/>
        <v/>
      </c>
      <c r="AN180" s="396" t="str">
        <f t="shared" si="58"/>
        <v/>
      </c>
      <c r="AQ180" s="395"/>
      <c r="AR180" s="395"/>
    </row>
    <row r="181" spans="1:44" x14ac:dyDescent="0.2">
      <c r="A181" s="398" t="str">
        <f>IF(B181="","",CONCATENATE("GBL",B181," - ",Mantenedor!E181))</f>
        <v/>
      </c>
      <c r="J181" s="318"/>
      <c r="K181" s="312"/>
      <c r="M181" s="315"/>
      <c r="P181" s="398" t="str">
        <f t="shared" si="43"/>
        <v/>
      </c>
      <c r="Q181" s="401" t="str" cm="1">
        <f t="array" ref="Q181">+_xlfn.IFS(O181="Nacional","CLP",O181="Extranjero","USD",O181="","")</f>
        <v/>
      </c>
      <c r="R181" s="399" t="str">
        <f>IFERROR(IF(O181="Nacional",VLOOKUP(P181,PRICING!$D$4:$E$59,2,FALSE),VLOOKUP(P181,PRICING!$J$4:$K$59,2,FALSE)),"")</f>
        <v/>
      </c>
      <c r="S181"/>
      <c r="V181" s="399">
        <f t="shared" si="44"/>
        <v>0</v>
      </c>
      <c r="W181" s="400">
        <f t="shared" si="45"/>
        <v>0</v>
      </c>
      <c r="X181" s="393" t="str">
        <f t="shared" si="46"/>
        <v/>
      </c>
      <c r="Y181" s="393" t="str">
        <f t="shared" si="47"/>
        <v/>
      </c>
      <c r="Z181" s="393" t="str">
        <f t="shared" si="48"/>
        <v/>
      </c>
      <c r="AA181" s="393" t="str">
        <f t="shared" si="49"/>
        <v/>
      </c>
      <c r="AB181" s="393" t="str">
        <f t="shared" si="50"/>
        <v/>
      </c>
      <c r="AC181" s="393" t="str">
        <f t="shared" si="51"/>
        <v/>
      </c>
      <c r="AD181" s="398" t="str">
        <f t="shared" si="52"/>
        <v/>
      </c>
      <c r="AF181" s="396" t="str">
        <f t="shared" si="53"/>
        <v/>
      </c>
      <c r="AH181" s="393" t="str">
        <f t="shared" si="54"/>
        <v/>
      </c>
      <c r="AI181" s="393" t="str">
        <f t="shared" si="55"/>
        <v/>
      </c>
      <c r="AJ181" s="393" t="str">
        <f t="shared" si="59"/>
        <v/>
      </c>
      <c r="AK181" s="393" t="str">
        <f t="shared" si="56"/>
        <v/>
      </c>
      <c r="AL181" s="398" t="str">
        <f t="shared" si="57"/>
        <v/>
      </c>
      <c r="AN181" s="396" t="str">
        <f t="shared" si="58"/>
        <v/>
      </c>
      <c r="AQ181" s="395"/>
      <c r="AR181" s="395"/>
    </row>
    <row r="182" spans="1:44" x14ac:dyDescent="0.2">
      <c r="A182" s="398" t="str">
        <f>IF(B182="","",CONCATENATE("GBL",B182," - ",Mantenedor!E182))</f>
        <v/>
      </c>
      <c r="J182" s="318"/>
      <c r="K182" s="312"/>
      <c r="M182" s="315"/>
      <c r="P182" s="398" t="str">
        <f t="shared" si="43"/>
        <v/>
      </c>
      <c r="Q182" s="401" t="str" cm="1">
        <f t="array" ref="Q182">+_xlfn.IFS(O182="Nacional","CLP",O182="Extranjero","USD",O182="","")</f>
        <v/>
      </c>
      <c r="R182" s="399" t="str">
        <f>IFERROR(IF(O182="Nacional",VLOOKUP(P182,PRICING!$D$4:$E$59,2,FALSE),VLOOKUP(P182,PRICING!$J$4:$K$59,2,FALSE)),"")</f>
        <v/>
      </c>
      <c r="S182"/>
      <c r="V182" s="399">
        <f t="shared" si="44"/>
        <v>0</v>
      </c>
      <c r="W182" s="400">
        <f t="shared" si="45"/>
        <v>0</v>
      </c>
      <c r="X182" s="393" t="str">
        <f t="shared" si="46"/>
        <v/>
      </c>
      <c r="Y182" s="393" t="str">
        <f t="shared" si="47"/>
        <v/>
      </c>
      <c r="Z182" s="393" t="str">
        <f t="shared" si="48"/>
        <v/>
      </c>
      <c r="AA182" s="393" t="str">
        <f t="shared" si="49"/>
        <v/>
      </c>
      <c r="AB182" s="393" t="str">
        <f t="shared" si="50"/>
        <v/>
      </c>
      <c r="AC182" s="393" t="str">
        <f t="shared" si="51"/>
        <v/>
      </c>
      <c r="AD182" s="398" t="str">
        <f t="shared" si="52"/>
        <v/>
      </c>
      <c r="AF182" s="396" t="str">
        <f t="shared" si="53"/>
        <v/>
      </c>
      <c r="AH182" s="393" t="str">
        <f t="shared" si="54"/>
        <v/>
      </c>
      <c r="AI182" s="393" t="str">
        <f t="shared" si="55"/>
        <v/>
      </c>
      <c r="AJ182" s="393" t="str">
        <f t="shared" si="59"/>
        <v/>
      </c>
      <c r="AK182" s="393" t="str">
        <f t="shared" si="56"/>
        <v/>
      </c>
      <c r="AL182" s="398" t="str">
        <f t="shared" si="57"/>
        <v/>
      </c>
      <c r="AN182" s="396" t="str">
        <f t="shared" si="58"/>
        <v/>
      </c>
      <c r="AQ182" s="395"/>
      <c r="AR182" s="395"/>
    </row>
    <row r="183" spans="1:44" x14ac:dyDescent="0.2">
      <c r="A183" s="398" t="str">
        <f>IF(B183="","",CONCATENATE("GBL",B183," - ",Mantenedor!E183))</f>
        <v/>
      </c>
      <c r="J183" s="318"/>
      <c r="K183" s="312"/>
      <c r="M183" s="315"/>
      <c r="P183" s="398" t="str">
        <f t="shared" si="43"/>
        <v/>
      </c>
      <c r="Q183" s="401" t="str" cm="1">
        <f t="array" ref="Q183">+_xlfn.IFS(O183="Nacional","CLP",O183="Extranjero","USD",O183="","")</f>
        <v/>
      </c>
      <c r="R183" s="399" t="str">
        <f>IFERROR(IF(O183="Nacional",VLOOKUP(P183,PRICING!$D$4:$E$59,2,FALSE),VLOOKUP(P183,PRICING!$J$4:$K$59,2,FALSE)),"")</f>
        <v/>
      </c>
      <c r="S183"/>
      <c r="V183" s="399">
        <f t="shared" si="44"/>
        <v>0</v>
      </c>
      <c r="W183" s="400">
        <f t="shared" si="45"/>
        <v>0</v>
      </c>
      <c r="X183" s="393" t="str">
        <f t="shared" si="46"/>
        <v/>
      </c>
      <c r="Y183" s="393" t="str">
        <f t="shared" si="47"/>
        <v/>
      </c>
      <c r="Z183" s="393" t="str">
        <f t="shared" si="48"/>
        <v/>
      </c>
      <c r="AA183" s="393" t="str">
        <f t="shared" si="49"/>
        <v/>
      </c>
      <c r="AB183" s="393" t="str">
        <f t="shared" si="50"/>
        <v/>
      </c>
      <c r="AC183" s="393" t="str">
        <f t="shared" si="51"/>
        <v/>
      </c>
      <c r="AD183" s="398" t="str">
        <f t="shared" si="52"/>
        <v/>
      </c>
      <c r="AF183" s="396" t="str">
        <f t="shared" si="53"/>
        <v/>
      </c>
      <c r="AH183" s="393" t="str">
        <f t="shared" si="54"/>
        <v/>
      </c>
      <c r="AI183" s="393" t="str">
        <f t="shared" si="55"/>
        <v/>
      </c>
      <c r="AJ183" s="393" t="str">
        <f t="shared" si="59"/>
        <v/>
      </c>
      <c r="AK183" s="393" t="str">
        <f t="shared" si="56"/>
        <v/>
      </c>
      <c r="AL183" s="398" t="str">
        <f t="shared" si="57"/>
        <v/>
      </c>
      <c r="AN183" s="396" t="str">
        <f t="shared" si="58"/>
        <v/>
      </c>
      <c r="AQ183" s="395"/>
      <c r="AR183" s="395"/>
    </row>
    <row r="184" spans="1:44" x14ac:dyDescent="0.2">
      <c r="A184" s="398" t="str">
        <f>IF(B184="","",CONCATENATE("GBL",B184," - ",Mantenedor!E184))</f>
        <v/>
      </c>
      <c r="J184" s="318"/>
      <c r="K184" s="312"/>
      <c r="M184" s="315"/>
      <c r="P184" s="398" t="str">
        <f t="shared" si="43"/>
        <v/>
      </c>
      <c r="Q184" s="401" t="str" cm="1">
        <f t="array" ref="Q184">+_xlfn.IFS(O184="Nacional","CLP",O184="Extranjero","USD",O184="","")</f>
        <v/>
      </c>
      <c r="R184" s="399" t="str">
        <f>IFERROR(IF(O184="Nacional",VLOOKUP(P184,PRICING!$D$4:$E$59,2,FALSE),VLOOKUP(P184,PRICING!$J$4:$K$59,2,FALSE)),"")</f>
        <v/>
      </c>
      <c r="S184"/>
      <c r="V184" s="399">
        <f t="shared" si="44"/>
        <v>0</v>
      </c>
      <c r="W184" s="400">
        <f t="shared" si="45"/>
        <v>0</v>
      </c>
      <c r="X184" s="393" t="str">
        <f t="shared" si="46"/>
        <v/>
      </c>
      <c r="Y184" s="393" t="str">
        <f t="shared" si="47"/>
        <v/>
      </c>
      <c r="Z184" s="393" t="str">
        <f t="shared" si="48"/>
        <v/>
      </c>
      <c r="AA184" s="393" t="str">
        <f t="shared" si="49"/>
        <v/>
      </c>
      <c r="AB184" s="393" t="str">
        <f t="shared" si="50"/>
        <v/>
      </c>
      <c r="AC184" s="393" t="str">
        <f t="shared" si="51"/>
        <v/>
      </c>
      <c r="AD184" s="398" t="str">
        <f t="shared" si="52"/>
        <v/>
      </c>
      <c r="AF184" s="396" t="str">
        <f t="shared" si="53"/>
        <v/>
      </c>
      <c r="AH184" s="393" t="str">
        <f t="shared" si="54"/>
        <v/>
      </c>
      <c r="AI184" s="393" t="str">
        <f t="shared" si="55"/>
        <v/>
      </c>
      <c r="AJ184" s="393" t="str">
        <f t="shared" si="59"/>
        <v/>
      </c>
      <c r="AK184" s="393" t="str">
        <f t="shared" si="56"/>
        <v/>
      </c>
      <c r="AL184" s="398" t="str">
        <f t="shared" si="57"/>
        <v/>
      </c>
      <c r="AN184" s="396" t="str">
        <f t="shared" si="58"/>
        <v/>
      </c>
      <c r="AQ184" s="395"/>
      <c r="AR184" s="395"/>
    </row>
    <row r="185" spans="1:44" x14ac:dyDescent="0.2">
      <c r="A185" s="398" t="str">
        <f>IF(B185="","",CONCATENATE("GBL",B185," - ",Mantenedor!E185))</f>
        <v/>
      </c>
      <c r="J185" s="318"/>
      <c r="K185" s="312"/>
      <c r="M185" s="315"/>
      <c r="P185" s="398" t="str">
        <f t="shared" si="43"/>
        <v/>
      </c>
      <c r="Q185" s="401" t="str" cm="1">
        <f t="array" ref="Q185">+_xlfn.IFS(O185="Nacional","CLP",O185="Extranjero","USD",O185="","")</f>
        <v/>
      </c>
      <c r="R185" s="399" t="str">
        <f>IFERROR(IF(O185="Nacional",VLOOKUP(P185,PRICING!$D$4:$E$59,2,FALSE),VLOOKUP(P185,PRICING!$J$4:$K$59,2,FALSE)),"")</f>
        <v/>
      </c>
      <c r="S185"/>
      <c r="V185" s="399">
        <f t="shared" si="44"/>
        <v>0</v>
      </c>
      <c r="W185" s="400">
        <f t="shared" si="45"/>
        <v>0</v>
      </c>
      <c r="X185" s="393" t="str">
        <f t="shared" si="46"/>
        <v/>
      </c>
      <c r="Y185" s="393" t="str">
        <f t="shared" si="47"/>
        <v/>
      </c>
      <c r="Z185" s="393" t="str">
        <f t="shared" si="48"/>
        <v/>
      </c>
      <c r="AA185" s="393" t="str">
        <f t="shared" si="49"/>
        <v/>
      </c>
      <c r="AB185" s="393" t="str">
        <f t="shared" si="50"/>
        <v/>
      </c>
      <c r="AC185" s="393" t="str">
        <f t="shared" si="51"/>
        <v/>
      </c>
      <c r="AD185" s="398" t="str">
        <f t="shared" si="52"/>
        <v/>
      </c>
      <c r="AF185" s="396" t="str">
        <f t="shared" si="53"/>
        <v/>
      </c>
      <c r="AH185" s="393" t="str">
        <f t="shared" si="54"/>
        <v/>
      </c>
      <c r="AI185" s="393" t="str">
        <f t="shared" si="55"/>
        <v/>
      </c>
      <c r="AJ185" s="393" t="str">
        <f t="shared" si="59"/>
        <v/>
      </c>
      <c r="AK185" s="393" t="str">
        <f t="shared" si="56"/>
        <v/>
      </c>
      <c r="AL185" s="398" t="str">
        <f t="shared" si="57"/>
        <v/>
      </c>
      <c r="AN185" s="396" t="str">
        <f t="shared" si="58"/>
        <v/>
      </c>
      <c r="AQ185" s="395"/>
      <c r="AR185" s="395"/>
    </row>
    <row r="186" spans="1:44" x14ac:dyDescent="0.2">
      <c r="A186" s="398" t="str">
        <f>IF(B186="","",CONCATENATE("GBL",B186," - ",Mantenedor!E186))</f>
        <v/>
      </c>
      <c r="J186" s="318"/>
      <c r="K186" s="312"/>
      <c r="M186" s="315"/>
      <c r="P186" s="398" t="str">
        <f t="shared" si="43"/>
        <v/>
      </c>
      <c r="Q186" s="401" t="str" cm="1">
        <f t="array" ref="Q186">+_xlfn.IFS(O186="Nacional","CLP",O186="Extranjero","USD",O186="","")</f>
        <v/>
      </c>
      <c r="R186" s="399" t="str">
        <f>IFERROR(IF(O186="Nacional",VLOOKUP(P186,PRICING!$D$4:$E$59,2,FALSE),VLOOKUP(P186,PRICING!$J$4:$K$59,2,FALSE)),"")</f>
        <v/>
      </c>
      <c r="S186"/>
      <c r="V186" s="399">
        <f t="shared" si="44"/>
        <v>0</v>
      </c>
      <c r="W186" s="400">
        <f t="shared" si="45"/>
        <v>0</v>
      </c>
      <c r="X186" s="393" t="str">
        <f t="shared" si="46"/>
        <v/>
      </c>
      <c r="Y186" s="393" t="str">
        <f t="shared" si="47"/>
        <v/>
      </c>
      <c r="Z186" s="393" t="str">
        <f t="shared" si="48"/>
        <v/>
      </c>
      <c r="AA186" s="393" t="str">
        <f t="shared" si="49"/>
        <v/>
      </c>
      <c r="AB186" s="393" t="str">
        <f t="shared" si="50"/>
        <v/>
      </c>
      <c r="AC186" s="393" t="str">
        <f t="shared" si="51"/>
        <v/>
      </c>
      <c r="AD186" s="398" t="str">
        <f t="shared" si="52"/>
        <v/>
      </c>
      <c r="AF186" s="396" t="str">
        <f t="shared" si="53"/>
        <v/>
      </c>
      <c r="AH186" s="393" t="str">
        <f t="shared" si="54"/>
        <v/>
      </c>
      <c r="AI186" s="393" t="str">
        <f t="shared" si="55"/>
        <v/>
      </c>
      <c r="AJ186" s="393" t="str">
        <f t="shared" si="59"/>
        <v/>
      </c>
      <c r="AK186" s="393" t="str">
        <f t="shared" si="56"/>
        <v/>
      </c>
      <c r="AL186" s="398" t="str">
        <f t="shared" si="57"/>
        <v/>
      </c>
      <c r="AN186" s="396" t="str">
        <f t="shared" si="58"/>
        <v/>
      </c>
      <c r="AQ186" s="395"/>
      <c r="AR186" s="395"/>
    </row>
    <row r="187" spans="1:44" x14ac:dyDescent="0.2">
      <c r="A187" s="398" t="str">
        <f>IF(B187="","",CONCATENATE("GBL",B187," - ",Mantenedor!E187))</f>
        <v/>
      </c>
      <c r="J187" s="318"/>
      <c r="K187" s="312"/>
      <c r="M187" s="315"/>
      <c r="P187" s="398" t="str">
        <f t="shared" si="43"/>
        <v/>
      </c>
      <c r="Q187" s="401" t="str" cm="1">
        <f t="array" ref="Q187">+_xlfn.IFS(O187="Nacional","CLP",O187="Extranjero","USD",O187="","")</f>
        <v/>
      </c>
      <c r="R187" s="399" t="str">
        <f>IFERROR(IF(O187="Nacional",VLOOKUP(P187,PRICING!$D$4:$E$59,2,FALSE),VLOOKUP(P187,PRICING!$J$4:$K$59,2,FALSE)),"")</f>
        <v/>
      </c>
      <c r="S187"/>
      <c r="V187" s="399">
        <f t="shared" si="44"/>
        <v>0</v>
      </c>
      <c r="W187" s="400">
        <f t="shared" si="45"/>
        <v>0</v>
      </c>
      <c r="X187" s="393" t="str">
        <f t="shared" si="46"/>
        <v/>
      </c>
      <c r="Y187" s="393" t="str">
        <f t="shared" si="47"/>
        <v/>
      </c>
      <c r="Z187" s="393" t="str">
        <f t="shared" si="48"/>
        <v/>
      </c>
      <c r="AA187" s="393" t="str">
        <f t="shared" si="49"/>
        <v/>
      </c>
      <c r="AB187" s="393" t="str">
        <f t="shared" si="50"/>
        <v/>
      </c>
      <c r="AC187" s="393" t="str">
        <f t="shared" si="51"/>
        <v/>
      </c>
      <c r="AD187" s="398" t="str">
        <f t="shared" si="52"/>
        <v/>
      </c>
      <c r="AF187" s="396" t="str">
        <f t="shared" si="53"/>
        <v/>
      </c>
      <c r="AH187" s="393" t="str">
        <f t="shared" si="54"/>
        <v/>
      </c>
      <c r="AI187" s="393" t="str">
        <f t="shared" si="55"/>
        <v/>
      </c>
      <c r="AJ187" s="393" t="str">
        <f t="shared" si="59"/>
        <v/>
      </c>
      <c r="AK187" s="393" t="str">
        <f t="shared" si="56"/>
        <v/>
      </c>
      <c r="AL187" s="398" t="str">
        <f t="shared" si="57"/>
        <v/>
      </c>
      <c r="AN187" s="396" t="str">
        <f t="shared" si="58"/>
        <v/>
      </c>
      <c r="AQ187" s="395"/>
      <c r="AR187" s="395"/>
    </row>
    <row r="188" spans="1:44" x14ac:dyDescent="0.2">
      <c r="A188" s="398" t="str">
        <f>IF(B188="","",CONCATENATE("GBL",B188," - ",Mantenedor!E188))</f>
        <v/>
      </c>
      <c r="J188" s="318"/>
      <c r="K188" s="312"/>
      <c r="M188" s="315"/>
      <c r="P188" s="398" t="str">
        <f t="shared" si="43"/>
        <v/>
      </c>
      <c r="Q188" s="401" t="str" cm="1">
        <f t="array" ref="Q188">+_xlfn.IFS(O188="Nacional","CLP",O188="Extranjero","USD",O188="","")</f>
        <v/>
      </c>
      <c r="R188" s="399" t="str">
        <f>IFERROR(IF(O188="Nacional",VLOOKUP(P188,PRICING!$D$4:$E$59,2,FALSE),VLOOKUP(P188,PRICING!$J$4:$K$59,2,FALSE)),"")</f>
        <v/>
      </c>
      <c r="S188"/>
      <c r="V188" s="399">
        <f t="shared" si="44"/>
        <v>0</v>
      </c>
      <c r="W188" s="400">
        <f t="shared" si="45"/>
        <v>0</v>
      </c>
      <c r="X188" s="393" t="str">
        <f t="shared" si="46"/>
        <v/>
      </c>
      <c r="Y188" s="393" t="str">
        <f t="shared" si="47"/>
        <v/>
      </c>
      <c r="Z188" s="393" t="str">
        <f t="shared" si="48"/>
        <v/>
      </c>
      <c r="AA188" s="393" t="str">
        <f t="shared" si="49"/>
        <v/>
      </c>
      <c r="AB188" s="393" t="str">
        <f t="shared" si="50"/>
        <v/>
      </c>
      <c r="AC188" s="393" t="str">
        <f t="shared" si="51"/>
        <v/>
      </c>
      <c r="AD188" s="398" t="str">
        <f t="shared" si="52"/>
        <v/>
      </c>
      <c r="AF188" s="396" t="str">
        <f t="shared" si="53"/>
        <v/>
      </c>
      <c r="AH188" s="393" t="str">
        <f t="shared" si="54"/>
        <v/>
      </c>
      <c r="AI188" s="393" t="str">
        <f t="shared" si="55"/>
        <v/>
      </c>
      <c r="AJ188" s="393" t="str">
        <f t="shared" si="59"/>
        <v/>
      </c>
      <c r="AK188" s="393" t="str">
        <f t="shared" si="56"/>
        <v/>
      </c>
      <c r="AL188" s="398" t="str">
        <f t="shared" si="57"/>
        <v/>
      </c>
      <c r="AN188" s="396" t="str">
        <f t="shared" si="58"/>
        <v/>
      </c>
      <c r="AQ188" s="395"/>
      <c r="AR188" s="395"/>
    </row>
    <row r="189" spans="1:44" x14ac:dyDescent="0.2">
      <c r="A189" s="398" t="str">
        <f>IF(B189="","",CONCATENATE("GBL",B189," - ",Mantenedor!E189))</f>
        <v/>
      </c>
      <c r="J189" s="318"/>
      <c r="K189" s="312"/>
      <c r="M189" s="315"/>
      <c r="P189" s="398" t="str">
        <f t="shared" si="43"/>
        <v/>
      </c>
      <c r="Q189" s="401" t="str" cm="1">
        <f t="array" ref="Q189">+_xlfn.IFS(O189="Nacional","CLP",O189="Extranjero","USD",O189="","")</f>
        <v/>
      </c>
      <c r="R189" s="399" t="str">
        <f>IFERROR(IF(O189="Nacional",VLOOKUP(P189,PRICING!$D$4:$E$59,2,FALSE),VLOOKUP(P189,PRICING!$J$4:$K$59,2,FALSE)),"")</f>
        <v/>
      </c>
      <c r="S189"/>
      <c r="V189" s="399">
        <f t="shared" si="44"/>
        <v>0</v>
      </c>
      <c r="W189" s="400">
        <f t="shared" si="45"/>
        <v>0</v>
      </c>
      <c r="X189" s="393" t="str">
        <f t="shared" si="46"/>
        <v/>
      </c>
      <c r="Y189" s="393" t="str">
        <f t="shared" si="47"/>
        <v/>
      </c>
      <c r="Z189" s="393" t="str">
        <f t="shared" si="48"/>
        <v/>
      </c>
      <c r="AA189" s="393" t="str">
        <f t="shared" si="49"/>
        <v/>
      </c>
      <c r="AB189" s="393" t="str">
        <f t="shared" si="50"/>
        <v/>
      </c>
      <c r="AC189" s="393" t="str">
        <f t="shared" si="51"/>
        <v/>
      </c>
      <c r="AD189" s="398" t="str">
        <f t="shared" si="52"/>
        <v/>
      </c>
      <c r="AF189" s="396" t="str">
        <f t="shared" si="53"/>
        <v/>
      </c>
      <c r="AH189" s="393" t="str">
        <f t="shared" si="54"/>
        <v/>
      </c>
      <c r="AI189" s="393" t="str">
        <f t="shared" si="55"/>
        <v/>
      </c>
      <c r="AJ189" s="393" t="str">
        <f t="shared" si="59"/>
        <v/>
      </c>
      <c r="AK189" s="393" t="str">
        <f t="shared" si="56"/>
        <v/>
      </c>
      <c r="AL189" s="398" t="str">
        <f t="shared" si="57"/>
        <v/>
      </c>
      <c r="AN189" s="396" t="str">
        <f t="shared" si="58"/>
        <v/>
      </c>
      <c r="AQ189" s="395"/>
      <c r="AR189" s="395"/>
    </row>
    <row r="190" spans="1:44" x14ac:dyDescent="0.2">
      <c r="A190" s="398" t="str">
        <f>IF(B190="","",CONCATENATE("GBL",B190," - ",Mantenedor!E190))</f>
        <v/>
      </c>
      <c r="J190" s="318"/>
      <c r="K190" s="312"/>
      <c r="M190" s="315"/>
      <c r="P190" s="398" t="str">
        <f t="shared" si="43"/>
        <v/>
      </c>
      <c r="Q190" s="401" t="str" cm="1">
        <f t="array" ref="Q190">+_xlfn.IFS(O190="Nacional","CLP",O190="Extranjero","USD",O190="","")</f>
        <v/>
      </c>
      <c r="R190" s="399" t="str">
        <f>IFERROR(IF(O190="Nacional",VLOOKUP(P190,PRICING!$D$4:$E$59,2,FALSE),VLOOKUP(P190,PRICING!$J$4:$K$59,2,FALSE)),"")</f>
        <v/>
      </c>
      <c r="S190"/>
      <c r="V190" s="399">
        <f t="shared" si="44"/>
        <v>0</v>
      </c>
      <c r="W190" s="400">
        <f t="shared" si="45"/>
        <v>0</v>
      </c>
      <c r="X190" s="393" t="str">
        <f t="shared" si="46"/>
        <v/>
      </c>
      <c r="Y190" s="393" t="str">
        <f t="shared" si="47"/>
        <v/>
      </c>
      <c r="Z190" s="393" t="str">
        <f t="shared" si="48"/>
        <v/>
      </c>
      <c r="AA190" s="393" t="str">
        <f t="shared" si="49"/>
        <v/>
      </c>
      <c r="AB190" s="393" t="str">
        <f t="shared" si="50"/>
        <v/>
      </c>
      <c r="AC190" s="393" t="str">
        <f t="shared" si="51"/>
        <v/>
      </c>
      <c r="AD190" s="398" t="str">
        <f t="shared" si="52"/>
        <v/>
      </c>
      <c r="AF190" s="396" t="str">
        <f t="shared" si="53"/>
        <v/>
      </c>
      <c r="AH190" s="393" t="str">
        <f t="shared" si="54"/>
        <v/>
      </c>
      <c r="AI190" s="393" t="str">
        <f t="shared" si="55"/>
        <v/>
      </c>
      <c r="AJ190" s="393" t="str">
        <f t="shared" si="59"/>
        <v/>
      </c>
      <c r="AK190" s="393" t="str">
        <f t="shared" si="56"/>
        <v/>
      </c>
      <c r="AL190" s="398" t="str">
        <f t="shared" si="57"/>
        <v/>
      </c>
      <c r="AN190" s="396" t="str">
        <f t="shared" si="58"/>
        <v/>
      </c>
      <c r="AQ190" s="395"/>
      <c r="AR190" s="395"/>
    </row>
    <row r="191" spans="1:44" x14ac:dyDescent="0.2">
      <c r="A191" s="398" t="str">
        <f>IF(B191="","",CONCATENATE("GBL",B191," - ",Mantenedor!E191))</f>
        <v/>
      </c>
      <c r="J191" s="318"/>
      <c r="K191" s="312"/>
      <c r="M191" s="315"/>
      <c r="P191" s="398" t="str">
        <f t="shared" si="43"/>
        <v/>
      </c>
      <c r="Q191" s="401" t="str" cm="1">
        <f t="array" ref="Q191">+_xlfn.IFS(O191="Nacional","CLP",O191="Extranjero","USD",O191="","")</f>
        <v/>
      </c>
      <c r="R191" s="399" t="str">
        <f>IFERROR(IF(O191="Nacional",VLOOKUP(P191,PRICING!$D$4:$E$59,2,FALSE),VLOOKUP(P191,PRICING!$J$4:$K$59,2,FALSE)),"")</f>
        <v/>
      </c>
      <c r="S191"/>
      <c r="V191" s="399">
        <f t="shared" si="44"/>
        <v>0</v>
      </c>
      <c r="W191" s="400">
        <f t="shared" si="45"/>
        <v>0</v>
      </c>
      <c r="X191" s="393" t="str">
        <f t="shared" si="46"/>
        <v/>
      </c>
      <c r="Y191" s="393" t="str">
        <f t="shared" si="47"/>
        <v/>
      </c>
      <c r="Z191" s="393" t="str">
        <f t="shared" si="48"/>
        <v/>
      </c>
      <c r="AA191" s="393" t="str">
        <f t="shared" si="49"/>
        <v/>
      </c>
      <c r="AB191" s="393" t="str">
        <f t="shared" si="50"/>
        <v/>
      </c>
      <c r="AC191" s="393" t="str">
        <f t="shared" si="51"/>
        <v/>
      </c>
      <c r="AD191" s="398" t="str">
        <f t="shared" si="52"/>
        <v/>
      </c>
      <c r="AF191" s="396" t="str">
        <f t="shared" si="53"/>
        <v/>
      </c>
      <c r="AH191" s="393" t="str">
        <f t="shared" si="54"/>
        <v/>
      </c>
      <c r="AI191" s="393" t="str">
        <f t="shared" si="55"/>
        <v/>
      </c>
      <c r="AJ191" s="393" t="str">
        <f t="shared" si="59"/>
        <v/>
      </c>
      <c r="AK191" s="393" t="str">
        <f t="shared" si="56"/>
        <v/>
      </c>
      <c r="AL191" s="398" t="str">
        <f t="shared" si="57"/>
        <v/>
      </c>
      <c r="AN191" s="396" t="str">
        <f t="shared" si="58"/>
        <v/>
      </c>
      <c r="AQ191" s="395"/>
      <c r="AR191" s="395"/>
    </row>
    <row r="192" spans="1:44" x14ac:dyDescent="0.2">
      <c r="A192" s="398" t="str">
        <f>IF(B192="","",CONCATENATE("GBL",B192," - ",Mantenedor!E192))</f>
        <v/>
      </c>
      <c r="J192" s="318"/>
      <c r="K192" s="312"/>
      <c r="M192" s="315"/>
      <c r="P192" s="398" t="str">
        <f t="shared" si="43"/>
        <v/>
      </c>
      <c r="Q192" s="401" t="str" cm="1">
        <f t="array" ref="Q192">+_xlfn.IFS(O192="Nacional","CLP",O192="Extranjero","USD",O192="","")</f>
        <v/>
      </c>
      <c r="R192" s="399" t="str">
        <f>IFERROR(IF(O192="Nacional",VLOOKUP(P192,PRICING!$D$4:$E$59,2,FALSE),VLOOKUP(P192,PRICING!$J$4:$K$59,2,FALSE)),"")</f>
        <v/>
      </c>
      <c r="S192"/>
      <c r="V192" s="399">
        <f t="shared" si="44"/>
        <v>0</v>
      </c>
      <c r="W192" s="400">
        <f t="shared" si="45"/>
        <v>0</v>
      </c>
      <c r="X192" s="393" t="str">
        <f t="shared" si="46"/>
        <v/>
      </c>
      <c r="Y192" s="393" t="str">
        <f t="shared" si="47"/>
        <v/>
      </c>
      <c r="Z192" s="393" t="str">
        <f t="shared" si="48"/>
        <v/>
      </c>
      <c r="AA192" s="393" t="str">
        <f t="shared" si="49"/>
        <v/>
      </c>
      <c r="AB192" s="393" t="str">
        <f t="shared" si="50"/>
        <v/>
      </c>
      <c r="AC192" s="393" t="str">
        <f t="shared" si="51"/>
        <v/>
      </c>
      <c r="AD192" s="398" t="str">
        <f t="shared" si="52"/>
        <v/>
      </c>
      <c r="AF192" s="396" t="str">
        <f t="shared" si="53"/>
        <v/>
      </c>
      <c r="AH192" s="393" t="str">
        <f t="shared" si="54"/>
        <v/>
      </c>
      <c r="AI192" s="393" t="str">
        <f t="shared" si="55"/>
        <v/>
      </c>
      <c r="AJ192" s="393" t="str">
        <f t="shared" si="59"/>
        <v/>
      </c>
      <c r="AK192" s="393" t="str">
        <f t="shared" si="56"/>
        <v/>
      </c>
      <c r="AL192" s="398" t="str">
        <f t="shared" si="57"/>
        <v/>
      </c>
      <c r="AN192" s="396" t="str">
        <f t="shared" si="58"/>
        <v/>
      </c>
      <c r="AQ192" s="395"/>
      <c r="AR192" s="395"/>
    </row>
    <row r="193" spans="1:44" x14ac:dyDescent="0.2">
      <c r="A193" s="398" t="str">
        <f>IF(B193="","",CONCATENATE("GBL",B193," - ",Mantenedor!E193))</f>
        <v/>
      </c>
      <c r="J193" s="318"/>
      <c r="K193" s="312"/>
      <c r="M193" s="315"/>
      <c r="P193" s="398" t="str">
        <f t="shared" si="43"/>
        <v/>
      </c>
      <c r="Q193" s="401" t="str" cm="1">
        <f t="array" ref="Q193">+_xlfn.IFS(O193="Nacional","CLP",O193="Extranjero","USD",O193="","")</f>
        <v/>
      </c>
      <c r="R193" s="399" t="str">
        <f>IFERROR(IF(O193="Nacional",VLOOKUP(P193,PRICING!$D$4:$E$59,2,FALSE),VLOOKUP(P193,PRICING!$J$4:$K$59,2,FALSE)),"")</f>
        <v/>
      </c>
      <c r="S193"/>
      <c r="V193" s="399">
        <f t="shared" si="44"/>
        <v>0</v>
      </c>
      <c r="W193" s="400">
        <f t="shared" si="45"/>
        <v>0</v>
      </c>
      <c r="X193" s="393" t="str">
        <f t="shared" si="46"/>
        <v/>
      </c>
      <c r="Y193" s="393" t="str">
        <f t="shared" si="47"/>
        <v/>
      </c>
      <c r="Z193" s="393" t="str">
        <f t="shared" si="48"/>
        <v/>
      </c>
      <c r="AA193" s="393" t="str">
        <f t="shared" si="49"/>
        <v/>
      </c>
      <c r="AB193" s="393" t="str">
        <f t="shared" si="50"/>
        <v/>
      </c>
      <c r="AC193" s="393" t="str">
        <f t="shared" si="51"/>
        <v/>
      </c>
      <c r="AD193" s="398" t="str">
        <f t="shared" si="52"/>
        <v/>
      </c>
      <c r="AF193" s="396" t="str">
        <f t="shared" si="53"/>
        <v/>
      </c>
      <c r="AH193" s="393" t="str">
        <f t="shared" si="54"/>
        <v/>
      </c>
      <c r="AI193" s="393" t="str">
        <f t="shared" si="55"/>
        <v/>
      </c>
      <c r="AJ193" s="393" t="str">
        <f t="shared" si="59"/>
        <v/>
      </c>
      <c r="AK193" s="393" t="str">
        <f t="shared" si="56"/>
        <v/>
      </c>
      <c r="AL193" s="398" t="str">
        <f t="shared" si="57"/>
        <v/>
      </c>
      <c r="AN193" s="396" t="str">
        <f t="shared" si="58"/>
        <v/>
      </c>
      <c r="AQ193" s="395"/>
      <c r="AR193" s="395"/>
    </row>
    <row r="194" spans="1:44" x14ac:dyDescent="0.2">
      <c r="A194" s="398" t="str">
        <f>IF(B194="","",CONCATENATE("GBL",B194," - ",Mantenedor!E194))</f>
        <v/>
      </c>
      <c r="J194" s="318"/>
      <c r="K194" s="312"/>
      <c r="M194" s="315"/>
      <c r="P194" s="398" t="str">
        <f t="shared" ref="P194:P257" si="60">IF(N194="","",(IF(L194=1,(CONCATENATE("Base ",N194," ",L194," noche")),(CONCATENATE("Base ",N194," ",L194," noches")))))</f>
        <v/>
      </c>
      <c r="Q194" s="401" t="str" cm="1">
        <f t="array" ref="Q194">+_xlfn.IFS(O194="Nacional","CLP",O194="Extranjero","USD",O194="","")</f>
        <v/>
      </c>
      <c r="R194" s="399" t="str">
        <f>IFERROR(IF(O194="Nacional",VLOOKUP(P194,PRICING!$D$4:$E$59,2,FALSE),VLOOKUP(P194,PRICING!$J$4:$K$59,2,FALSE)),"")</f>
        <v/>
      </c>
      <c r="S194"/>
      <c r="V194" s="399">
        <f t="shared" ref="V194:V257" si="61">+S194*(1-T194)</f>
        <v>0</v>
      </c>
      <c r="W194" s="400">
        <f t="shared" ref="W194:W257" si="62">IFERROR(+V194*(1-T194),"")</f>
        <v>0</v>
      </c>
      <c r="X194" s="393" t="str">
        <f t="shared" ref="X194:X257" si="63">IF($J194="","",$J194-105)</f>
        <v/>
      </c>
      <c r="Y194" s="393" t="str">
        <f t="shared" ref="Y194:Y257" si="64">IF($J194="","",$J194-90)</f>
        <v/>
      </c>
      <c r="Z194" s="393" t="str">
        <f t="shared" ref="Z194:Z257" si="65">IF($J194="","",$J194-75)</f>
        <v/>
      </c>
      <c r="AA194" s="393" t="str">
        <f t="shared" ref="AA194:AA257" si="66">IF($J194="","",$J194-60)</f>
        <v/>
      </c>
      <c r="AB194" s="393" t="str">
        <f t="shared" ref="AB194:AB257" si="67">IF($J194="","",$J194-45)</f>
        <v/>
      </c>
      <c r="AC194" s="393" t="str">
        <f t="shared" ref="AC194:AC257" si="68">IF($J194="","",$J194-30)</f>
        <v/>
      </c>
      <c r="AD194" s="398" t="str">
        <f t="shared" ref="AD194:AD257" si="69">+IF(AC194="","","LLAMAR")</f>
        <v/>
      </c>
      <c r="AF194" s="396" t="str">
        <f t="shared" ref="AF194:AF257" si="70">+IF(AE194="","",W194*0.5)</f>
        <v/>
      </c>
      <c r="AH194" s="393" t="str">
        <f t="shared" ref="AH194:AH257" si="71">+IF($M194="","",$M194-45)</f>
        <v/>
      </c>
      <c r="AI194" s="393" t="str">
        <f t="shared" ref="AI194:AI257" si="72">+IF($M194="","",$M194-30)</f>
        <v/>
      </c>
      <c r="AJ194" s="393" t="str">
        <f t="shared" si="59"/>
        <v/>
      </c>
      <c r="AK194" s="393" t="str">
        <f t="shared" ref="AK194:AK257" si="73">+IF($M194="","",$M194-7)</f>
        <v/>
      </c>
      <c r="AL194" s="398" t="str">
        <f t="shared" ref="AL194:AL257" si="74">+IF(AK194="","","LLAMAR")</f>
        <v/>
      </c>
      <c r="AN194" s="396" t="str">
        <f t="shared" ref="AN194:AN257" si="75">+IF(AM194="","",W194*0.5)</f>
        <v/>
      </c>
      <c r="AQ194" s="395"/>
      <c r="AR194" s="395"/>
    </row>
    <row r="195" spans="1:44" x14ac:dyDescent="0.2">
      <c r="A195" s="398" t="str">
        <f>IF(B195="","",CONCATENATE("GBL",B195," - ",Mantenedor!E195))</f>
        <v/>
      </c>
      <c r="J195" s="318"/>
      <c r="K195" s="312"/>
      <c r="M195" s="315"/>
      <c r="P195" s="398" t="str">
        <f t="shared" si="60"/>
        <v/>
      </c>
      <c r="Q195" s="401" t="str" cm="1">
        <f t="array" ref="Q195">+_xlfn.IFS(O195="Nacional","CLP",O195="Extranjero","USD",O195="","")</f>
        <v/>
      </c>
      <c r="R195" s="399" t="str">
        <f>IFERROR(IF(O195="Nacional",VLOOKUP(P195,PRICING!$D$4:$E$59,2,FALSE),VLOOKUP(P195,PRICING!$J$4:$K$59,2,FALSE)),"")</f>
        <v/>
      </c>
      <c r="S195"/>
      <c r="V195" s="399">
        <f t="shared" si="61"/>
        <v>0</v>
      </c>
      <c r="W195" s="400">
        <f t="shared" si="62"/>
        <v>0</v>
      </c>
      <c r="X195" s="393" t="str">
        <f t="shared" si="63"/>
        <v/>
      </c>
      <c r="Y195" s="393" t="str">
        <f t="shared" si="64"/>
        <v/>
      </c>
      <c r="Z195" s="393" t="str">
        <f t="shared" si="65"/>
        <v/>
      </c>
      <c r="AA195" s="393" t="str">
        <f t="shared" si="66"/>
        <v/>
      </c>
      <c r="AB195" s="393" t="str">
        <f t="shared" si="67"/>
        <v/>
      </c>
      <c r="AC195" s="393" t="str">
        <f t="shared" si="68"/>
        <v/>
      </c>
      <c r="AD195" s="398" t="str">
        <f t="shared" si="69"/>
        <v/>
      </c>
      <c r="AF195" s="396" t="str">
        <f t="shared" si="70"/>
        <v/>
      </c>
      <c r="AH195" s="393" t="str">
        <f t="shared" si="71"/>
        <v/>
      </c>
      <c r="AI195" s="393" t="str">
        <f t="shared" si="72"/>
        <v/>
      </c>
      <c r="AJ195" s="393" t="str">
        <f t="shared" si="59"/>
        <v/>
      </c>
      <c r="AK195" s="393" t="str">
        <f t="shared" si="73"/>
        <v/>
      </c>
      <c r="AL195" s="398" t="str">
        <f t="shared" si="74"/>
        <v/>
      </c>
      <c r="AN195" s="396" t="str">
        <f t="shared" si="75"/>
        <v/>
      </c>
      <c r="AQ195" s="395"/>
      <c r="AR195" s="395"/>
    </row>
    <row r="196" spans="1:44" x14ac:dyDescent="0.2">
      <c r="A196" s="398" t="str">
        <f>IF(B196="","",CONCATENATE("GBL",B196," - ",Mantenedor!E196))</f>
        <v/>
      </c>
      <c r="J196" s="318"/>
      <c r="K196" s="312"/>
      <c r="M196" s="315"/>
      <c r="P196" s="398" t="str">
        <f t="shared" si="60"/>
        <v/>
      </c>
      <c r="Q196" s="401" t="str" cm="1">
        <f t="array" ref="Q196">+_xlfn.IFS(O196="Nacional","CLP",O196="Extranjero","USD",O196="","")</f>
        <v/>
      </c>
      <c r="R196" s="399" t="str">
        <f>IFERROR(IF(O196="Nacional",VLOOKUP(P196,PRICING!$D$4:$E$59,2,FALSE),VLOOKUP(P196,PRICING!$J$4:$K$59,2,FALSE)),"")</f>
        <v/>
      </c>
      <c r="S196"/>
      <c r="V196" s="399">
        <f t="shared" si="61"/>
        <v>0</v>
      </c>
      <c r="W196" s="400">
        <f t="shared" si="62"/>
        <v>0</v>
      </c>
      <c r="X196" s="393" t="str">
        <f t="shared" si="63"/>
        <v/>
      </c>
      <c r="Y196" s="393" t="str">
        <f t="shared" si="64"/>
        <v/>
      </c>
      <c r="Z196" s="393" t="str">
        <f t="shared" si="65"/>
        <v/>
      </c>
      <c r="AA196" s="393" t="str">
        <f t="shared" si="66"/>
        <v/>
      </c>
      <c r="AB196" s="393" t="str">
        <f t="shared" si="67"/>
        <v/>
      </c>
      <c r="AC196" s="393" t="str">
        <f t="shared" si="68"/>
        <v/>
      </c>
      <c r="AD196" s="398" t="str">
        <f t="shared" si="69"/>
        <v/>
      </c>
      <c r="AF196" s="396" t="str">
        <f t="shared" si="70"/>
        <v/>
      </c>
      <c r="AH196" s="393" t="str">
        <f t="shared" si="71"/>
        <v/>
      </c>
      <c r="AI196" s="393" t="str">
        <f t="shared" si="72"/>
        <v/>
      </c>
      <c r="AJ196" s="393" t="str">
        <f t="shared" ref="AJ196:AJ259" si="76">+IF($M196="","",$M196-15)</f>
        <v/>
      </c>
      <c r="AK196" s="393" t="str">
        <f t="shared" si="73"/>
        <v/>
      </c>
      <c r="AL196" s="398" t="str">
        <f t="shared" si="74"/>
        <v/>
      </c>
      <c r="AN196" s="396" t="str">
        <f t="shared" si="75"/>
        <v/>
      </c>
      <c r="AQ196" s="395"/>
      <c r="AR196" s="395"/>
    </row>
    <row r="197" spans="1:44" x14ac:dyDescent="0.2">
      <c r="A197" s="398" t="str">
        <f>IF(B197="","",CONCATENATE("GBL",B197," - ",Mantenedor!E197))</f>
        <v/>
      </c>
      <c r="J197" s="318"/>
      <c r="K197" s="312"/>
      <c r="M197" s="315"/>
      <c r="P197" s="398" t="str">
        <f t="shared" si="60"/>
        <v/>
      </c>
      <c r="Q197" s="401" t="str" cm="1">
        <f t="array" ref="Q197">+_xlfn.IFS(O197="Nacional","CLP",O197="Extranjero","USD",O197="","")</f>
        <v/>
      </c>
      <c r="R197" s="399" t="str">
        <f>IFERROR(IF(O197="Nacional",VLOOKUP(P197,PRICING!$D$4:$E$59,2,FALSE),VLOOKUP(P197,PRICING!$J$4:$K$59,2,FALSE)),"")</f>
        <v/>
      </c>
      <c r="S197"/>
      <c r="V197" s="399">
        <f t="shared" si="61"/>
        <v>0</v>
      </c>
      <c r="W197" s="400">
        <f t="shared" si="62"/>
        <v>0</v>
      </c>
      <c r="X197" s="393" t="str">
        <f t="shared" si="63"/>
        <v/>
      </c>
      <c r="Y197" s="393" t="str">
        <f t="shared" si="64"/>
        <v/>
      </c>
      <c r="Z197" s="393" t="str">
        <f t="shared" si="65"/>
        <v/>
      </c>
      <c r="AA197" s="393" t="str">
        <f t="shared" si="66"/>
        <v/>
      </c>
      <c r="AB197" s="393" t="str">
        <f t="shared" si="67"/>
        <v/>
      </c>
      <c r="AC197" s="393" t="str">
        <f t="shared" si="68"/>
        <v/>
      </c>
      <c r="AD197" s="398" t="str">
        <f t="shared" si="69"/>
        <v/>
      </c>
      <c r="AF197" s="396" t="str">
        <f t="shared" si="70"/>
        <v/>
      </c>
      <c r="AH197" s="393" t="str">
        <f t="shared" si="71"/>
        <v/>
      </c>
      <c r="AI197" s="393" t="str">
        <f t="shared" si="72"/>
        <v/>
      </c>
      <c r="AJ197" s="393" t="str">
        <f t="shared" si="76"/>
        <v/>
      </c>
      <c r="AK197" s="393" t="str">
        <f t="shared" si="73"/>
        <v/>
      </c>
      <c r="AL197" s="398" t="str">
        <f t="shared" si="74"/>
        <v/>
      </c>
      <c r="AN197" s="396" t="str">
        <f t="shared" si="75"/>
        <v/>
      </c>
      <c r="AQ197" s="395"/>
      <c r="AR197" s="395"/>
    </row>
    <row r="198" spans="1:44" x14ac:dyDescent="0.2">
      <c r="A198" s="398" t="str">
        <f>IF(B198="","",CONCATENATE("GBL",B198," - ",Mantenedor!E198))</f>
        <v/>
      </c>
      <c r="J198" s="318"/>
      <c r="K198" s="312"/>
      <c r="M198" s="315"/>
      <c r="P198" s="398" t="str">
        <f t="shared" si="60"/>
        <v/>
      </c>
      <c r="Q198" s="401" t="str" cm="1">
        <f t="array" ref="Q198">+_xlfn.IFS(O198="Nacional","CLP",O198="Extranjero","USD",O198="","")</f>
        <v/>
      </c>
      <c r="R198" s="399" t="str">
        <f>IFERROR(IF(O198="Nacional",VLOOKUP(P198,PRICING!$D$4:$E$59,2,FALSE),VLOOKUP(P198,PRICING!$J$4:$K$59,2,FALSE)),"")</f>
        <v/>
      </c>
      <c r="S198"/>
      <c r="V198" s="399">
        <f t="shared" si="61"/>
        <v>0</v>
      </c>
      <c r="W198" s="400">
        <f t="shared" si="62"/>
        <v>0</v>
      </c>
      <c r="X198" s="393" t="str">
        <f t="shared" si="63"/>
        <v/>
      </c>
      <c r="Y198" s="393" t="str">
        <f t="shared" si="64"/>
        <v/>
      </c>
      <c r="Z198" s="393" t="str">
        <f t="shared" si="65"/>
        <v/>
      </c>
      <c r="AA198" s="393" t="str">
        <f t="shared" si="66"/>
        <v/>
      </c>
      <c r="AB198" s="393" t="str">
        <f t="shared" si="67"/>
        <v/>
      </c>
      <c r="AC198" s="393" t="str">
        <f t="shared" si="68"/>
        <v/>
      </c>
      <c r="AD198" s="398" t="str">
        <f t="shared" si="69"/>
        <v/>
      </c>
      <c r="AF198" s="396" t="str">
        <f t="shared" si="70"/>
        <v/>
      </c>
      <c r="AH198" s="393" t="str">
        <f t="shared" si="71"/>
        <v/>
      </c>
      <c r="AI198" s="393" t="str">
        <f t="shared" si="72"/>
        <v/>
      </c>
      <c r="AJ198" s="393" t="str">
        <f t="shared" si="76"/>
        <v/>
      </c>
      <c r="AK198" s="393" t="str">
        <f t="shared" si="73"/>
        <v/>
      </c>
      <c r="AL198" s="398" t="str">
        <f t="shared" si="74"/>
        <v/>
      </c>
      <c r="AN198" s="396" t="str">
        <f t="shared" si="75"/>
        <v/>
      </c>
      <c r="AQ198" s="395"/>
      <c r="AR198" s="395"/>
    </row>
    <row r="199" spans="1:44" x14ac:dyDescent="0.2">
      <c r="A199" s="398" t="str">
        <f>IF(B199="","",CONCATENATE("GBL",B199," - ",Mantenedor!E199))</f>
        <v/>
      </c>
      <c r="J199" s="318"/>
      <c r="K199" s="312"/>
      <c r="M199" s="315"/>
      <c r="P199" s="398" t="str">
        <f t="shared" si="60"/>
        <v/>
      </c>
      <c r="Q199" s="401" t="str" cm="1">
        <f t="array" ref="Q199">+_xlfn.IFS(O199="Nacional","CLP",O199="Extranjero","USD",O199="","")</f>
        <v/>
      </c>
      <c r="R199" s="399" t="str">
        <f>IFERROR(IF(O199="Nacional",VLOOKUP(P199,PRICING!$D$4:$E$59,2,FALSE),VLOOKUP(P199,PRICING!$J$4:$K$59,2,FALSE)),"")</f>
        <v/>
      </c>
      <c r="S199"/>
      <c r="V199" s="399">
        <f t="shared" si="61"/>
        <v>0</v>
      </c>
      <c r="W199" s="400">
        <f t="shared" si="62"/>
        <v>0</v>
      </c>
      <c r="X199" s="393" t="str">
        <f t="shared" si="63"/>
        <v/>
      </c>
      <c r="Y199" s="393" t="str">
        <f t="shared" si="64"/>
        <v/>
      </c>
      <c r="Z199" s="393" t="str">
        <f t="shared" si="65"/>
        <v/>
      </c>
      <c r="AA199" s="393" t="str">
        <f t="shared" si="66"/>
        <v/>
      </c>
      <c r="AB199" s="393" t="str">
        <f t="shared" si="67"/>
        <v/>
      </c>
      <c r="AC199" s="393" t="str">
        <f t="shared" si="68"/>
        <v/>
      </c>
      <c r="AD199" s="398" t="str">
        <f t="shared" si="69"/>
        <v/>
      </c>
      <c r="AF199" s="396" t="str">
        <f t="shared" si="70"/>
        <v/>
      </c>
      <c r="AH199" s="393" t="str">
        <f t="shared" si="71"/>
        <v/>
      </c>
      <c r="AI199" s="393" t="str">
        <f t="shared" si="72"/>
        <v/>
      </c>
      <c r="AJ199" s="393" t="str">
        <f t="shared" si="76"/>
        <v/>
      </c>
      <c r="AK199" s="393" t="str">
        <f t="shared" si="73"/>
        <v/>
      </c>
      <c r="AL199" s="398" t="str">
        <f t="shared" si="74"/>
        <v/>
      </c>
      <c r="AN199" s="396" t="str">
        <f t="shared" si="75"/>
        <v/>
      </c>
      <c r="AQ199" s="395"/>
      <c r="AR199" s="395"/>
    </row>
    <row r="200" spans="1:44" x14ac:dyDescent="0.2">
      <c r="A200" s="398" t="str">
        <f>IF(B200="","",CONCATENATE("GBL",B200," - ",Mantenedor!E200))</f>
        <v/>
      </c>
      <c r="J200" s="318"/>
      <c r="K200" s="312"/>
      <c r="M200" s="315"/>
      <c r="P200" s="398" t="str">
        <f t="shared" si="60"/>
        <v/>
      </c>
      <c r="Q200" s="401" t="str" cm="1">
        <f t="array" ref="Q200">+_xlfn.IFS(O200="Nacional","CLP",O200="Extranjero","USD",O200="","")</f>
        <v/>
      </c>
      <c r="R200" s="399" t="str">
        <f>IFERROR(IF(O200="Nacional",VLOOKUP(P200,PRICING!$D$4:$E$59,2,FALSE),VLOOKUP(P200,PRICING!$J$4:$K$59,2,FALSE)),"")</f>
        <v/>
      </c>
      <c r="S200"/>
      <c r="V200" s="399">
        <f t="shared" si="61"/>
        <v>0</v>
      </c>
      <c r="W200" s="400">
        <f t="shared" si="62"/>
        <v>0</v>
      </c>
      <c r="X200" s="393" t="str">
        <f t="shared" si="63"/>
        <v/>
      </c>
      <c r="Y200" s="393" t="str">
        <f t="shared" si="64"/>
        <v/>
      </c>
      <c r="Z200" s="393" t="str">
        <f t="shared" si="65"/>
        <v/>
      </c>
      <c r="AA200" s="393" t="str">
        <f t="shared" si="66"/>
        <v/>
      </c>
      <c r="AB200" s="393" t="str">
        <f t="shared" si="67"/>
        <v/>
      </c>
      <c r="AC200" s="393" t="str">
        <f t="shared" si="68"/>
        <v/>
      </c>
      <c r="AD200" s="398" t="str">
        <f t="shared" si="69"/>
        <v/>
      </c>
      <c r="AF200" s="396" t="str">
        <f t="shared" si="70"/>
        <v/>
      </c>
      <c r="AH200" s="393" t="str">
        <f t="shared" si="71"/>
        <v/>
      </c>
      <c r="AI200" s="393" t="str">
        <f t="shared" si="72"/>
        <v/>
      </c>
      <c r="AJ200" s="393" t="str">
        <f t="shared" si="76"/>
        <v/>
      </c>
      <c r="AK200" s="393" t="str">
        <f t="shared" si="73"/>
        <v/>
      </c>
      <c r="AL200" s="398" t="str">
        <f t="shared" si="74"/>
        <v/>
      </c>
      <c r="AN200" s="396" t="str">
        <f t="shared" si="75"/>
        <v/>
      </c>
      <c r="AQ200" s="395"/>
      <c r="AR200" s="395"/>
    </row>
    <row r="201" spans="1:44" x14ac:dyDescent="0.2">
      <c r="A201" s="398" t="str">
        <f>IF(B201="","",CONCATENATE("GBL",B201," - ",Mantenedor!E201))</f>
        <v/>
      </c>
      <c r="J201" s="318"/>
      <c r="K201" s="312"/>
      <c r="M201" s="315"/>
      <c r="P201" s="398" t="str">
        <f t="shared" si="60"/>
        <v/>
      </c>
      <c r="Q201" s="401" t="str" cm="1">
        <f t="array" ref="Q201">+_xlfn.IFS(O201="Nacional","CLP",O201="Extranjero","USD",O201="","")</f>
        <v/>
      </c>
      <c r="R201" s="399" t="str">
        <f>IFERROR(IF(O201="Nacional",VLOOKUP(P201,PRICING!$D$4:$E$59,2,FALSE),VLOOKUP(P201,PRICING!$J$4:$K$59,2,FALSE)),"")</f>
        <v/>
      </c>
      <c r="S201"/>
      <c r="V201" s="399">
        <f t="shared" si="61"/>
        <v>0</v>
      </c>
      <c r="W201" s="400">
        <f t="shared" si="62"/>
        <v>0</v>
      </c>
      <c r="X201" s="393" t="str">
        <f t="shared" si="63"/>
        <v/>
      </c>
      <c r="Y201" s="393" t="str">
        <f t="shared" si="64"/>
        <v/>
      </c>
      <c r="Z201" s="393" t="str">
        <f t="shared" si="65"/>
        <v/>
      </c>
      <c r="AA201" s="393" t="str">
        <f t="shared" si="66"/>
        <v/>
      </c>
      <c r="AB201" s="393" t="str">
        <f t="shared" si="67"/>
        <v/>
      </c>
      <c r="AC201" s="393" t="str">
        <f t="shared" si="68"/>
        <v/>
      </c>
      <c r="AD201" s="398" t="str">
        <f t="shared" si="69"/>
        <v/>
      </c>
      <c r="AF201" s="396" t="str">
        <f t="shared" si="70"/>
        <v/>
      </c>
      <c r="AH201" s="393" t="str">
        <f t="shared" si="71"/>
        <v/>
      </c>
      <c r="AI201" s="393" t="str">
        <f t="shared" si="72"/>
        <v/>
      </c>
      <c r="AJ201" s="393" t="str">
        <f t="shared" si="76"/>
        <v/>
      </c>
      <c r="AK201" s="393" t="str">
        <f t="shared" si="73"/>
        <v/>
      </c>
      <c r="AL201" s="398" t="str">
        <f t="shared" si="74"/>
        <v/>
      </c>
      <c r="AN201" s="396" t="str">
        <f t="shared" si="75"/>
        <v/>
      </c>
      <c r="AQ201" s="395"/>
      <c r="AR201" s="395"/>
    </row>
    <row r="202" spans="1:44" x14ac:dyDescent="0.2">
      <c r="A202" s="398" t="str">
        <f>IF(B202="","",CONCATENATE("GBL",B202," - ",Mantenedor!E202))</f>
        <v/>
      </c>
      <c r="J202" s="318"/>
      <c r="K202" s="312"/>
      <c r="M202" s="315"/>
      <c r="P202" s="398" t="str">
        <f t="shared" si="60"/>
        <v/>
      </c>
      <c r="Q202" s="401" t="str" cm="1">
        <f t="array" ref="Q202">+_xlfn.IFS(O202="Nacional","CLP",O202="Extranjero","USD",O202="","")</f>
        <v/>
      </c>
      <c r="R202" s="399" t="str">
        <f>IFERROR(IF(O202="Nacional",VLOOKUP(P202,PRICING!$D$4:$E$59,2,FALSE),VLOOKUP(P202,PRICING!$J$4:$K$59,2,FALSE)),"")</f>
        <v/>
      </c>
      <c r="S202"/>
      <c r="V202" s="399">
        <f t="shared" si="61"/>
        <v>0</v>
      </c>
      <c r="W202" s="400">
        <f t="shared" si="62"/>
        <v>0</v>
      </c>
      <c r="X202" s="393" t="str">
        <f t="shared" si="63"/>
        <v/>
      </c>
      <c r="Y202" s="393" t="str">
        <f t="shared" si="64"/>
        <v/>
      </c>
      <c r="Z202" s="393" t="str">
        <f t="shared" si="65"/>
        <v/>
      </c>
      <c r="AA202" s="393" t="str">
        <f t="shared" si="66"/>
        <v/>
      </c>
      <c r="AB202" s="393" t="str">
        <f t="shared" si="67"/>
        <v/>
      </c>
      <c r="AC202" s="393" t="str">
        <f t="shared" si="68"/>
        <v/>
      </c>
      <c r="AD202" s="398" t="str">
        <f t="shared" si="69"/>
        <v/>
      </c>
      <c r="AF202" s="396" t="str">
        <f t="shared" si="70"/>
        <v/>
      </c>
      <c r="AH202" s="393" t="str">
        <f t="shared" si="71"/>
        <v/>
      </c>
      <c r="AI202" s="393" t="str">
        <f t="shared" si="72"/>
        <v/>
      </c>
      <c r="AJ202" s="393" t="str">
        <f t="shared" si="76"/>
        <v/>
      </c>
      <c r="AK202" s="393" t="str">
        <f t="shared" si="73"/>
        <v/>
      </c>
      <c r="AL202" s="398" t="str">
        <f t="shared" si="74"/>
        <v/>
      </c>
      <c r="AN202" s="396" t="str">
        <f t="shared" si="75"/>
        <v/>
      </c>
      <c r="AQ202" s="395"/>
      <c r="AR202" s="395"/>
    </row>
    <row r="203" spans="1:44" x14ac:dyDescent="0.2">
      <c r="A203" s="398" t="str">
        <f>IF(B203="","",CONCATENATE("GBL",B203," - ",Mantenedor!E203))</f>
        <v/>
      </c>
      <c r="J203" s="318"/>
      <c r="K203" s="312"/>
      <c r="M203" s="315"/>
      <c r="P203" s="398" t="str">
        <f t="shared" si="60"/>
        <v/>
      </c>
      <c r="Q203" s="401" t="str" cm="1">
        <f t="array" ref="Q203">+_xlfn.IFS(O203="Nacional","CLP",O203="Extranjero","USD",O203="","")</f>
        <v/>
      </c>
      <c r="R203" s="399" t="str">
        <f>IFERROR(IF(O203="Nacional",VLOOKUP(P203,PRICING!$D$4:$E$59,2,FALSE),VLOOKUP(P203,PRICING!$J$4:$K$59,2,FALSE)),"")</f>
        <v/>
      </c>
      <c r="S203"/>
      <c r="V203" s="399">
        <f t="shared" si="61"/>
        <v>0</v>
      </c>
      <c r="W203" s="400">
        <f t="shared" si="62"/>
        <v>0</v>
      </c>
      <c r="X203" s="393" t="str">
        <f t="shared" si="63"/>
        <v/>
      </c>
      <c r="Y203" s="393" t="str">
        <f t="shared" si="64"/>
        <v/>
      </c>
      <c r="Z203" s="393" t="str">
        <f t="shared" si="65"/>
        <v/>
      </c>
      <c r="AA203" s="393" t="str">
        <f t="shared" si="66"/>
        <v/>
      </c>
      <c r="AB203" s="393" t="str">
        <f t="shared" si="67"/>
        <v/>
      </c>
      <c r="AC203" s="393" t="str">
        <f t="shared" si="68"/>
        <v/>
      </c>
      <c r="AD203" s="398" t="str">
        <f t="shared" si="69"/>
        <v/>
      </c>
      <c r="AF203" s="396" t="str">
        <f t="shared" si="70"/>
        <v/>
      </c>
      <c r="AH203" s="393" t="str">
        <f t="shared" si="71"/>
        <v/>
      </c>
      <c r="AI203" s="393" t="str">
        <f t="shared" si="72"/>
        <v/>
      </c>
      <c r="AJ203" s="393" t="str">
        <f t="shared" si="76"/>
        <v/>
      </c>
      <c r="AK203" s="393" t="str">
        <f t="shared" si="73"/>
        <v/>
      </c>
      <c r="AL203" s="398" t="str">
        <f t="shared" si="74"/>
        <v/>
      </c>
      <c r="AN203" s="396" t="str">
        <f t="shared" si="75"/>
        <v/>
      </c>
      <c r="AQ203" s="395"/>
      <c r="AR203" s="395"/>
    </row>
    <row r="204" spans="1:44" x14ac:dyDescent="0.2">
      <c r="A204" s="398" t="str">
        <f>IF(B204="","",CONCATENATE("GBL",B204," - ",Mantenedor!E204))</f>
        <v/>
      </c>
      <c r="J204" s="318"/>
      <c r="K204" s="312"/>
      <c r="M204" s="315"/>
      <c r="P204" s="398" t="str">
        <f t="shared" si="60"/>
        <v/>
      </c>
      <c r="Q204" s="401" t="str" cm="1">
        <f t="array" ref="Q204">+_xlfn.IFS(O204="Nacional","CLP",O204="Extranjero","USD",O204="","")</f>
        <v/>
      </c>
      <c r="R204" s="399" t="str">
        <f>IFERROR(IF(O204="Nacional",VLOOKUP(P204,PRICING!$D$4:$E$59,2,FALSE),VLOOKUP(P204,PRICING!$J$4:$K$59,2,FALSE)),"")</f>
        <v/>
      </c>
      <c r="S204"/>
      <c r="V204" s="399">
        <f t="shared" si="61"/>
        <v>0</v>
      </c>
      <c r="W204" s="400">
        <f t="shared" si="62"/>
        <v>0</v>
      </c>
      <c r="X204" s="393" t="str">
        <f t="shared" si="63"/>
        <v/>
      </c>
      <c r="Y204" s="393" t="str">
        <f t="shared" si="64"/>
        <v/>
      </c>
      <c r="Z204" s="393" t="str">
        <f t="shared" si="65"/>
        <v/>
      </c>
      <c r="AA204" s="393" t="str">
        <f t="shared" si="66"/>
        <v/>
      </c>
      <c r="AB204" s="393" t="str">
        <f t="shared" si="67"/>
        <v/>
      </c>
      <c r="AC204" s="393" t="str">
        <f t="shared" si="68"/>
        <v/>
      </c>
      <c r="AD204" s="398" t="str">
        <f t="shared" si="69"/>
        <v/>
      </c>
      <c r="AF204" s="396" t="str">
        <f t="shared" si="70"/>
        <v/>
      </c>
      <c r="AH204" s="393" t="str">
        <f t="shared" si="71"/>
        <v/>
      </c>
      <c r="AI204" s="393" t="str">
        <f t="shared" si="72"/>
        <v/>
      </c>
      <c r="AJ204" s="393" t="str">
        <f t="shared" si="76"/>
        <v/>
      </c>
      <c r="AK204" s="393" t="str">
        <f t="shared" si="73"/>
        <v/>
      </c>
      <c r="AL204" s="398" t="str">
        <f t="shared" si="74"/>
        <v/>
      </c>
      <c r="AN204" s="396" t="str">
        <f t="shared" si="75"/>
        <v/>
      </c>
      <c r="AQ204" s="395"/>
      <c r="AR204" s="395"/>
    </row>
    <row r="205" spans="1:44" x14ac:dyDescent="0.2">
      <c r="A205" s="398" t="str">
        <f>IF(B205="","",CONCATENATE("GBL",B205," - ",Mantenedor!E205))</f>
        <v/>
      </c>
      <c r="J205" s="318"/>
      <c r="K205" s="312"/>
      <c r="M205" s="315"/>
      <c r="P205" s="398" t="str">
        <f t="shared" si="60"/>
        <v/>
      </c>
      <c r="Q205" s="401" t="str" cm="1">
        <f t="array" ref="Q205">+_xlfn.IFS(O205="Nacional","CLP",O205="Extranjero","USD",O205="","")</f>
        <v/>
      </c>
      <c r="R205" s="399" t="str">
        <f>IFERROR(IF(O205="Nacional",VLOOKUP(P205,PRICING!$D$4:$E$59,2,FALSE),VLOOKUP(P205,PRICING!$J$4:$K$59,2,FALSE)),"")</f>
        <v/>
      </c>
      <c r="S205"/>
      <c r="V205" s="399">
        <f t="shared" si="61"/>
        <v>0</v>
      </c>
      <c r="W205" s="400">
        <f t="shared" si="62"/>
        <v>0</v>
      </c>
      <c r="X205" s="393" t="str">
        <f t="shared" si="63"/>
        <v/>
      </c>
      <c r="Y205" s="393" t="str">
        <f t="shared" si="64"/>
        <v/>
      </c>
      <c r="Z205" s="393" t="str">
        <f t="shared" si="65"/>
        <v/>
      </c>
      <c r="AA205" s="393" t="str">
        <f t="shared" si="66"/>
        <v/>
      </c>
      <c r="AB205" s="393" t="str">
        <f t="shared" si="67"/>
        <v/>
      </c>
      <c r="AC205" s="393" t="str">
        <f t="shared" si="68"/>
        <v/>
      </c>
      <c r="AD205" s="398" t="str">
        <f t="shared" si="69"/>
        <v/>
      </c>
      <c r="AF205" s="396" t="str">
        <f t="shared" si="70"/>
        <v/>
      </c>
      <c r="AH205" s="393" t="str">
        <f t="shared" si="71"/>
        <v/>
      </c>
      <c r="AI205" s="393" t="str">
        <f t="shared" si="72"/>
        <v/>
      </c>
      <c r="AJ205" s="393" t="str">
        <f t="shared" si="76"/>
        <v/>
      </c>
      <c r="AK205" s="393" t="str">
        <f t="shared" si="73"/>
        <v/>
      </c>
      <c r="AL205" s="398" t="str">
        <f t="shared" si="74"/>
        <v/>
      </c>
      <c r="AN205" s="396" t="str">
        <f t="shared" si="75"/>
        <v/>
      </c>
      <c r="AQ205" s="395"/>
      <c r="AR205" s="395"/>
    </row>
    <row r="206" spans="1:44" x14ac:dyDescent="0.2">
      <c r="A206" s="398" t="str">
        <f>IF(B206="","",CONCATENATE("GBL",B206," - ",Mantenedor!E206))</f>
        <v/>
      </c>
      <c r="J206" s="318"/>
      <c r="K206" s="312"/>
      <c r="M206" s="315"/>
      <c r="P206" s="398" t="str">
        <f t="shared" si="60"/>
        <v/>
      </c>
      <c r="Q206" s="401" t="str" cm="1">
        <f t="array" ref="Q206">+_xlfn.IFS(O206="Nacional","CLP",O206="Extranjero","USD",O206="","")</f>
        <v/>
      </c>
      <c r="R206" s="399" t="str">
        <f>IFERROR(IF(O206="Nacional",VLOOKUP(P206,PRICING!$D$4:$E$59,2,FALSE),VLOOKUP(P206,PRICING!$J$4:$K$59,2,FALSE)),"")</f>
        <v/>
      </c>
      <c r="S206"/>
      <c r="V206" s="399">
        <f t="shared" si="61"/>
        <v>0</v>
      </c>
      <c r="W206" s="400">
        <f t="shared" si="62"/>
        <v>0</v>
      </c>
      <c r="X206" s="393" t="str">
        <f t="shared" si="63"/>
        <v/>
      </c>
      <c r="Y206" s="393" t="str">
        <f t="shared" si="64"/>
        <v/>
      </c>
      <c r="Z206" s="393" t="str">
        <f t="shared" si="65"/>
        <v/>
      </c>
      <c r="AA206" s="393" t="str">
        <f t="shared" si="66"/>
        <v/>
      </c>
      <c r="AB206" s="393" t="str">
        <f t="shared" si="67"/>
        <v/>
      </c>
      <c r="AC206" s="393" t="str">
        <f t="shared" si="68"/>
        <v/>
      </c>
      <c r="AD206" s="398" t="str">
        <f t="shared" si="69"/>
        <v/>
      </c>
      <c r="AF206" s="396" t="str">
        <f t="shared" si="70"/>
        <v/>
      </c>
      <c r="AH206" s="393" t="str">
        <f t="shared" si="71"/>
        <v/>
      </c>
      <c r="AI206" s="393" t="str">
        <f t="shared" si="72"/>
        <v/>
      </c>
      <c r="AJ206" s="393" t="str">
        <f t="shared" si="76"/>
        <v/>
      </c>
      <c r="AK206" s="393" t="str">
        <f t="shared" si="73"/>
        <v/>
      </c>
      <c r="AL206" s="398" t="str">
        <f t="shared" si="74"/>
        <v/>
      </c>
      <c r="AN206" s="396" t="str">
        <f t="shared" si="75"/>
        <v/>
      </c>
      <c r="AQ206" s="395"/>
      <c r="AR206" s="395"/>
    </row>
    <row r="207" spans="1:44" x14ac:dyDescent="0.2">
      <c r="A207" s="398" t="str">
        <f>IF(B207="","",CONCATENATE("GBL",B207," - ",Mantenedor!E207))</f>
        <v/>
      </c>
      <c r="J207" s="318"/>
      <c r="K207" s="312"/>
      <c r="M207" s="315"/>
      <c r="P207" s="398" t="str">
        <f t="shared" si="60"/>
        <v/>
      </c>
      <c r="Q207" s="401" t="str" cm="1">
        <f t="array" ref="Q207">+_xlfn.IFS(O207="Nacional","CLP",O207="Extranjero","USD",O207="","")</f>
        <v/>
      </c>
      <c r="R207" s="399" t="str">
        <f>IFERROR(IF(O207="Nacional",VLOOKUP(P207,PRICING!$D$4:$E$59,2,FALSE),VLOOKUP(P207,PRICING!$J$4:$K$59,2,FALSE)),"")</f>
        <v/>
      </c>
      <c r="S207"/>
      <c r="V207" s="399">
        <f t="shared" si="61"/>
        <v>0</v>
      </c>
      <c r="W207" s="400">
        <f t="shared" si="62"/>
        <v>0</v>
      </c>
      <c r="X207" s="393" t="str">
        <f t="shared" si="63"/>
        <v/>
      </c>
      <c r="Y207" s="393" t="str">
        <f t="shared" si="64"/>
        <v/>
      </c>
      <c r="Z207" s="393" t="str">
        <f t="shared" si="65"/>
        <v/>
      </c>
      <c r="AA207" s="393" t="str">
        <f t="shared" si="66"/>
        <v/>
      </c>
      <c r="AB207" s="393" t="str">
        <f t="shared" si="67"/>
        <v/>
      </c>
      <c r="AC207" s="393" t="str">
        <f t="shared" si="68"/>
        <v/>
      </c>
      <c r="AD207" s="398" t="str">
        <f t="shared" si="69"/>
        <v/>
      </c>
      <c r="AF207" s="396" t="str">
        <f t="shared" si="70"/>
        <v/>
      </c>
      <c r="AH207" s="393" t="str">
        <f t="shared" si="71"/>
        <v/>
      </c>
      <c r="AI207" s="393" t="str">
        <f t="shared" si="72"/>
        <v/>
      </c>
      <c r="AJ207" s="393" t="str">
        <f t="shared" si="76"/>
        <v/>
      </c>
      <c r="AK207" s="393" t="str">
        <f t="shared" si="73"/>
        <v/>
      </c>
      <c r="AL207" s="398" t="str">
        <f t="shared" si="74"/>
        <v/>
      </c>
      <c r="AN207" s="396" t="str">
        <f t="shared" si="75"/>
        <v/>
      </c>
      <c r="AQ207" s="395"/>
      <c r="AR207" s="395"/>
    </row>
    <row r="208" spans="1:44" x14ac:dyDescent="0.2">
      <c r="A208" s="398" t="str">
        <f>IF(B208="","",CONCATENATE("GBL",B208," - ",Mantenedor!E208))</f>
        <v/>
      </c>
      <c r="J208" s="318"/>
      <c r="K208" s="312"/>
      <c r="M208" s="315"/>
      <c r="P208" s="398" t="str">
        <f t="shared" si="60"/>
        <v/>
      </c>
      <c r="Q208" s="401" t="str" cm="1">
        <f t="array" ref="Q208">+_xlfn.IFS(O208="Nacional","CLP",O208="Extranjero","USD",O208="","")</f>
        <v/>
      </c>
      <c r="R208" s="399" t="str">
        <f>IFERROR(IF(O208="Nacional",VLOOKUP(P208,PRICING!$D$4:$E$59,2,FALSE),VLOOKUP(P208,PRICING!$J$4:$K$59,2,FALSE)),"")</f>
        <v/>
      </c>
      <c r="S208"/>
      <c r="V208" s="399">
        <f t="shared" si="61"/>
        <v>0</v>
      </c>
      <c r="W208" s="400">
        <f t="shared" si="62"/>
        <v>0</v>
      </c>
      <c r="X208" s="393" t="str">
        <f t="shared" si="63"/>
        <v/>
      </c>
      <c r="Y208" s="393" t="str">
        <f t="shared" si="64"/>
        <v/>
      </c>
      <c r="Z208" s="393" t="str">
        <f t="shared" si="65"/>
        <v/>
      </c>
      <c r="AA208" s="393" t="str">
        <f t="shared" si="66"/>
        <v/>
      </c>
      <c r="AB208" s="393" t="str">
        <f t="shared" si="67"/>
        <v/>
      </c>
      <c r="AC208" s="393" t="str">
        <f t="shared" si="68"/>
        <v/>
      </c>
      <c r="AD208" s="398" t="str">
        <f t="shared" si="69"/>
        <v/>
      </c>
      <c r="AF208" s="396" t="str">
        <f t="shared" si="70"/>
        <v/>
      </c>
      <c r="AH208" s="393" t="str">
        <f t="shared" si="71"/>
        <v/>
      </c>
      <c r="AI208" s="393" t="str">
        <f t="shared" si="72"/>
        <v/>
      </c>
      <c r="AJ208" s="393" t="str">
        <f t="shared" si="76"/>
        <v/>
      </c>
      <c r="AK208" s="393" t="str">
        <f t="shared" si="73"/>
        <v/>
      </c>
      <c r="AL208" s="398" t="str">
        <f t="shared" si="74"/>
        <v/>
      </c>
      <c r="AN208" s="396" t="str">
        <f t="shared" si="75"/>
        <v/>
      </c>
      <c r="AQ208" s="395"/>
      <c r="AR208" s="395"/>
    </row>
    <row r="209" spans="1:44" x14ac:dyDescent="0.2">
      <c r="A209" s="398" t="str">
        <f>IF(B209="","",CONCATENATE("GBL",B209," - ",Mantenedor!E209))</f>
        <v/>
      </c>
      <c r="J209" s="318"/>
      <c r="K209" s="312"/>
      <c r="M209" s="315"/>
      <c r="P209" s="398" t="str">
        <f t="shared" si="60"/>
        <v/>
      </c>
      <c r="Q209" s="401" t="str" cm="1">
        <f t="array" ref="Q209">+_xlfn.IFS(O209="Nacional","CLP",O209="Extranjero","USD",O209="","")</f>
        <v/>
      </c>
      <c r="R209" s="399" t="str">
        <f>IFERROR(IF(O209="Nacional",VLOOKUP(P209,PRICING!$D$4:$E$59,2,FALSE),VLOOKUP(P209,PRICING!$J$4:$K$59,2,FALSE)),"")</f>
        <v/>
      </c>
      <c r="S209"/>
      <c r="V209" s="399">
        <f t="shared" si="61"/>
        <v>0</v>
      </c>
      <c r="W209" s="400">
        <f t="shared" si="62"/>
        <v>0</v>
      </c>
      <c r="X209" s="393" t="str">
        <f t="shared" si="63"/>
        <v/>
      </c>
      <c r="Y209" s="393" t="str">
        <f t="shared" si="64"/>
        <v/>
      </c>
      <c r="Z209" s="393" t="str">
        <f t="shared" si="65"/>
        <v/>
      </c>
      <c r="AA209" s="393" t="str">
        <f t="shared" si="66"/>
        <v/>
      </c>
      <c r="AB209" s="393" t="str">
        <f t="shared" si="67"/>
        <v/>
      </c>
      <c r="AC209" s="393" t="str">
        <f t="shared" si="68"/>
        <v/>
      </c>
      <c r="AD209" s="398" t="str">
        <f t="shared" si="69"/>
        <v/>
      </c>
      <c r="AF209" s="396" t="str">
        <f t="shared" si="70"/>
        <v/>
      </c>
      <c r="AH209" s="393" t="str">
        <f t="shared" si="71"/>
        <v/>
      </c>
      <c r="AI209" s="393" t="str">
        <f t="shared" si="72"/>
        <v/>
      </c>
      <c r="AJ209" s="393" t="str">
        <f t="shared" si="76"/>
        <v/>
      </c>
      <c r="AK209" s="393" t="str">
        <f t="shared" si="73"/>
        <v/>
      </c>
      <c r="AL209" s="398" t="str">
        <f t="shared" si="74"/>
        <v/>
      </c>
      <c r="AN209" s="396" t="str">
        <f t="shared" si="75"/>
        <v/>
      </c>
      <c r="AQ209" s="395"/>
      <c r="AR209" s="395"/>
    </row>
    <row r="210" spans="1:44" x14ac:dyDescent="0.2">
      <c r="A210" s="398" t="str">
        <f>IF(B210="","",CONCATENATE("GBL",B210," - ",Mantenedor!E210))</f>
        <v/>
      </c>
      <c r="J210" s="318"/>
      <c r="K210" s="312"/>
      <c r="M210" s="315"/>
      <c r="P210" s="398" t="str">
        <f t="shared" si="60"/>
        <v/>
      </c>
      <c r="Q210" s="401" t="str" cm="1">
        <f t="array" ref="Q210">+_xlfn.IFS(O210="Nacional","CLP",O210="Extranjero","USD",O210="","")</f>
        <v/>
      </c>
      <c r="R210" s="399" t="str">
        <f>IFERROR(IF(O210="Nacional",VLOOKUP(P210,PRICING!$D$4:$E$59,2,FALSE),VLOOKUP(P210,PRICING!$J$4:$K$59,2,FALSE)),"")</f>
        <v/>
      </c>
      <c r="S210"/>
      <c r="V210" s="399">
        <f t="shared" si="61"/>
        <v>0</v>
      </c>
      <c r="W210" s="400">
        <f t="shared" si="62"/>
        <v>0</v>
      </c>
      <c r="X210" s="393" t="str">
        <f t="shared" si="63"/>
        <v/>
      </c>
      <c r="Y210" s="393" t="str">
        <f t="shared" si="64"/>
        <v/>
      </c>
      <c r="Z210" s="393" t="str">
        <f t="shared" si="65"/>
        <v/>
      </c>
      <c r="AA210" s="393" t="str">
        <f t="shared" si="66"/>
        <v/>
      </c>
      <c r="AB210" s="393" t="str">
        <f t="shared" si="67"/>
        <v/>
      </c>
      <c r="AC210" s="393" t="str">
        <f t="shared" si="68"/>
        <v/>
      </c>
      <c r="AD210" s="398" t="str">
        <f t="shared" si="69"/>
        <v/>
      </c>
      <c r="AF210" s="396" t="str">
        <f t="shared" si="70"/>
        <v/>
      </c>
      <c r="AH210" s="393" t="str">
        <f t="shared" si="71"/>
        <v/>
      </c>
      <c r="AI210" s="393" t="str">
        <f t="shared" si="72"/>
        <v/>
      </c>
      <c r="AJ210" s="393" t="str">
        <f t="shared" si="76"/>
        <v/>
      </c>
      <c r="AK210" s="393" t="str">
        <f t="shared" si="73"/>
        <v/>
      </c>
      <c r="AL210" s="398" t="str">
        <f t="shared" si="74"/>
        <v/>
      </c>
      <c r="AN210" s="396" t="str">
        <f t="shared" si="75"/>
        <v/>
      </c>
      <c r="AQ210" s="395"/>
      <c r="AR210" s="395"/>
    </row>
    <row r="211" spans="1:44" x14ac:dyDescent="0.2">
      <c r="A211" s="398" t="str">
        <f>IF(B211="","",CONCATENATE("GBL",B211," - ",Mantenedor!E211))</f>
        <v/>
      </c>
      <c r="J211" s="318"/>
      <c r="K211" s="312"/>
      <c r="M211" s="315"/>
      <c r="P211" s="398" t="str">
        <f t="shared" si="60"/>
        <v/>
      </c>
      <c r="Q211" s="401" t="str" cm="1">
        <f t="array" ref="Q211">+_xlfn.IFS(O211="Nacional","CLP",O211="Extranjero","USD",O211="","")</f>
        <v/>
      </c>
      <c r="R211" s="399" t="str">
        <f>IFERROR(IF(O211="Nacional",VLOOKUP(P211,PRICING!$D$4:$E$59,2,FALSE),VLOOKUP(P211,PRICING!$J$4:$K$59,2,FALSE)),"")</f>
        <v/>
      </c>
      <c r="S211"/>
      <c r="V211" s="399">
        <f t="shared" si="61"/>
        <v>0</v>
      </c>
      <c r="W211" s="400">
        <f t="shared" si="62"/>
        <v>0</v>
      </c>
      <c r="X211" s="393" t="str">
        <f t="shared" si="63"/>
        <v/>
      </c>
      <c r="Y211" s="393" t="str">
        <f t="shared" si="64"/>
        <v/>
      </c>
      <c r="Z211" s="393" t="str">
        <f t="shared" si="65"/>
        <v/>
      </c>
      <c r="AA211" s="393" t="str">
        <f t="shared" si="66"/>
        <v/>
      </c>
      <c r="AB211" s="393" t="str">
        <f t="shared" si="67"/>
        <v/>
      </c>
      <c r="AC211" s="393" t="str">
        <f t="shared" si="68"/>
        <v/>
      </c>
      <c r="AD211" s="398" t="str">
        <f t="shared" si="69"/>
        <v/>
      </c>
      <c r="AF211" s="396" t="str">
        <f t="shared" si="70"/>
        <v/>
      </c>
      <c r="AH211" s="393" t="str">
        <f t="shared" si="71"/>
        <v/>
      </c>
      <c r="AI211" s="393" t="str">
        <f t="shared" si="72"/>
        <v/>
      </c>
      <c r="AJ211" s="393" t="str">
        <f t="shared" si="76"/>
        <v/>
      </c>
      <c r="AK211" s="393" t="str">
        <f t="shared" si="73"/>
        <v/>
      </c>
      <c r="AL211" s="398" t="str">
        <f t="shared" si="74"/>
        <v/>
      </c>
      <c r="AN211" s="396" t="str">
        <f t="shared" si="75"/>
        <v/>
      </c>
      <c r="AQ211" s="395"/>
      <c r="AR211" s="395"/>
    </row>
    <row r="212" spans="1:44" x14ac:dyDescent="0.2">
      <c r="A212" s="398" t="str">
        <f>IF(B212="","",CONCATENATE("GBL",B212," - ",Mantenedor!E212))</f>
        <v/>
      </c>
      <c r="J212" s="318"/>
      <c r="K212" s="312"/>
      <c r="M212" s="315"/>
      <c r="P212" s="398" t="str">
        <f t="shared" si="60"/>
        <v/>
      </c>
      <c r="Q212" s="401" t="str" cm="1">
        <f t="array" ref="Q212">+_xlfn.IFS(O212="Nacional","CLP",O212="Extranjero","USD",O212="","")</f>
        <v/>
      </c>
      <c r="R212" s="399" t="str">
        <f>IFERROR(IF(O212="Nacional",VLOOKUP(P212,PRICING!$D$4:$E$59,2,FALSE),VLOOKUP(P212,PRICING!$J$4:$K$59,2,FALSE)),"")</f>
        <v/>
      </c>
      <c r="S212"/>
      <c r="V212" s="399">
        <f t="shared" si="61"/>
        <v>0</v>
      </c>
      <c r="W212" s="400">
        <f t="shared" si="62"/>
        <v>0</v>
      </c>
      <c r="X212" s="393" t="str">
        <f t="shared" si="63"/>
        <v/>
      </c>
      <c r="Y212" s="393" t="str">
        <f t="shared" si="64"/>
        <v/>
      </c>
      <c r="Z212" s="393" t="str">
        <f t="shared" si="65"/>
        <v/>
      </c>
      <c r="AA212" s="393" t="str">
        <f t="shared" si="66"/>
        <v/>
      </c>
      <c r="AB212" s="393" t="str">
        <f t="shared" si="67"/>
        <v/>
      </c>
      <c r="AC212" s="393" t="str">
        <f t="shared" si="68"/>
        <v/>
      </c>
      <c r="AD212" s="398" t="str">
        <f t="shared" si="69"/>
        <v/>
      </c>
      <c r="AF212" s="396" t="str">
        <f t="shared" si="70"/>
        <v/>
      </c>
      <c r="AH212" s="393" t="str">
        <f t="shared" si="71"/>
        <v/>
      </c>
      <c r="AI212" s="393" t="str">
        <f t="shared" si="72"/>
        <v/>
      </c>
      <c r="AJ212" s="393" t="str">
        <f t="shared" si="76"/>
        <v/>
      </c>
      <c r="AK212" s="393" t="str">
        <f t="shared" si="73"/>
        <v/>
      </c>
      <c r="AL212" s="398" t="str">
        <f t="shared" si="74"/>
        <v/>
      </c>
      <c r="AN212" s="396" t="str">
        <f t="shared" si="75"/>
        <v/>
      </c>
      <c r="AQ212" s="395"/>
      <c r="AR212" s="395"/>
    </row>
    <row r="213" spans="1:44" x14ac:dyDescent="0.2">
      <c r="A213" s="398" t="str">
        <f>IF(B213="","",CONCATENATE("GBL",B213," - ",Mantenedor!E213))</f>
        <v/>
      </c>
      <c r="J213" s="318"/>
      <c r="K213" s="312"/>
      <c r="M213" s="315"/>
      <c r="P213" s="398" t="str">
        <f t="shared" si="60"/>
        <v/>
      </c>
      <c r="Q213" s="401" t="str" cm="1">
        <f t="array" ref="Q213">+_xlfn.IFS(O213="Nacional","CLP",O213="Extranjero","USD",O213="","")</f>
        <v/>
      </c>
      <c r="R213" s="399" t="str">
        <f>IFERROR(IF(O213="Nacional",VLOOKUP(P213,PRICING!$D$4:$E$59,2,FALSE),VLOOKUP(P213,PRICING!$J$4:$K$59,2,FALSE)),"")</f>
        <v/>
      </c>
      <c r="S213"/>
      <c r="V213" s="399">
        <f t="shared" si="61"/>
        <v>0</v>
      </c>
      <c r="W213" s="400">
        <f t="shared" si="62"/>
        <v>0</v>
      </c>
      <c r="X213" s="393" t="str">
        <f t="shared" si="63"/>
        <v/>
      </c>
      <c r="Y213" s="393" t="str">
        <f t="shared" si="64"/>
        <v/>
      </c>
      <c r="Z213" s="393" t="str">
        <f t="shared" si="65"/>
        <v/>
      </c>
      <c r="AA213" s="393" t="str">
        <f t="shared" si="66"/>
        <v/>
      </c>
      <c r="AB213" s="393" t="str">
        <f t="shared" si="67"/>
        <v/>
      </c>
      <c r="AC213" s="393" t="str">
        <f t="shared" si="68"/>
        <v/>
      </c>
      <c r="AD213" s="398" t="str">
        <f t="shared" si="69"/>
        <v/>
      </c>
      <c r="AF213" s="396" t="str">
        <f t="shared" si="70"/>
        <v/>
      </c>
      <c r="AH213" s="393" t="str">
        <f t="shared" si="71"/>
        <v/>
      </c>
      <c r="AI213" s="393" t="str">
        <f t="shared" si="72"/>
        <v/>
      </c>
      <c r="AJ213" s="393" t="str">
        <f t="shared" si="76"/>
        <v/>
      </c>
      <c r="AK213" s="393" t="str">
        <f t="shared" si="73"/>
        <v/>
      </c>
      <c r="AL213" s="398" t="str">
        <f t="shared" si="74"/>
        <v/>
      </c>
      <c r="AN213" s="396" t="str">
        <f t="shared" si="75"/>
        <v/>
      </c>
      <c r="AQ213" s="395"/>
      <c r="AR213" s="395"/>
    </row>
    <row r="214" spans="1:44" x14ac:dyDescent="0.2">
      <c r="A214" s="398" t="str">
        <f>IF(B214="","",CONCATENATE("GBL",B214," - ",Mantenedor!E214))</f>
        <v/>
      </c>
      <c r="J214" s="318"/>
      <c r="K214" s="312"/>
      <c r="M214" s="315"/>
      <c r="P214" s="398" t="str">
        <f t="shared" si="60"/>
        <v/>
      </c>
      <c r="Q214" s="401" t="str" cm="1">
        <f t="array" ref="Q214">+_xlfn.IFS(O214="Nacional","CLP",O214="Extranjero","USD",O214="","")</f>
        <v/>
      </c>
      <c r="R214" s="399" t="str">
        <f>IFERROR(IF(O214="Nacional",VLOOKUP(P214,PRICING!$D$4:$E$59,2,FALSE),VLOOKUP(P214,PRICING!$J$4:$K$59,2,FALSE)),"")</f>
        <v/>
      </c>
      <c r="S214"/>
      <c r="V214" s="399">
        <f t="shared" si="61"/>
        <v>0</v>
      </c>
      <c r="W214" s="400">
        <f t="shared" si="62"/>
        <v>0</v>
      </c>
      <c r="X214" s="393" t="str">
        <f t="shared" si="63"/>
        <v/>
      </c>
      <c r="Y214" s="393" t="str">
        <f t="shared" si="64"/>
        <v/>
      </c>
      <c r="Z214" s="393" t="str">
        <f t="shared" si="65"/>
        <v/>
      </c>
      <c r="AA214" s="393" t="str">
        <f t="shared" si="66"/>
        <v/>
      </c>
      <c r="AB214" s="393" t="str">
        <f t="shared" si="67"/>
        <v/>
      </c>
      <c r="AC214" s="393" t="str">
        <f t="shared" si="68"/>
        <v/>
      </c>
      <c r="AD214" s="398" t="str">
        <f t="shared" si="69"/>
        <v/>
      </c>
      <c r="AF214" s="396" t="str">
        <f t="shared" si="70"/>
        <v/>
      </c>
      <c r="AH214" s="393" t="str">
        <f t="shared" si="71"/>
        <v/>
      </c>
      <c r="AI214" s="393" t="str">
        <f t="shared" si="72"/>
        <v/>
      </c>
      <c r="AJ214" s="393" t="str">
        <f t="shared" si="76"/>
        <v/>
      </c>
      <c r="AK214" s="393" t="str">
        <f t="shared" si="73"/>
        <v/>
      </c>
      <c r="AL214" s="398" t="str">
        <f t="shared" si="74"/>
        <v/>
      </c>
      <c r="AN214" s="396" t="str">
        <f t="shared" si="75"/>
        <v/>
      </c>
      <c r="AQ214" s="395"/>
      <c r="AR214" s="395"/>
    </row>
    <row r="215" spans="1:44" x14ac:dyDescent="0.2">
      <c r="A215" s="398" t="str">
        <f>IF(B215="","",CONCATENATE("GBL",B215," - ",Mantenedor!E215))</f>
        <v/>
      </c>
      <c r="J215" s="318"/>
      <c r="K215" s="312"/>
      <c r="M215" s="315"/>
      <c r="P215" s="398" t="str">
        <f t="shared" si="60"/>
        <v/>
      </c>
      <c r="Q215" s="401" t="str" cm="1">
        <f t="array" ref="Q215">+_xlfn.IFS(O215="Nacional","CLP",O215="Extranjero","USD",O215="","")</f>
        <v/>
      </c>
      <c r="R215" s="399" t="str">
        <f>IFERROR(IF(O215="Nacional",VLOOKUP(P215,PRICING!$D$4:$E$59,2,FALSE),VLOOKUP(P215,PRICING!$J$4:$K$59,2,FALSE)),"")</f>
        <v/>
      </c>
      <c r="S215"/>
      <c r="V215" s="399">
        <f t="shared" si="61"/>
        <v>0</v>
      </c>
      <c r="W215" s="400">
        <f t="shared" si="62"/>
        <v>0</v>
      </c>
      <c r="X215" s="393" t="str">
        <f t="shared" si="63"/>
        <v/>
      </c>
      <c r="Y215" s="393" t="str">
        <f t="shared" si="64"/>
        <v/>
      </c>
      <c r="Z215" s="393" t="str">
        <f t="shared" si="65"/>
        <v/>
      </c>
      <c r="AA215" s="393" t="str">
        <f t="shared" si="66"/>
        <v/>
      </c>
      <c r="AB215" s="393" t="str">
        <f t="shared" si="67"/>
        <v/>
      </c>
      <c r="AC215" s="393" t="str">
        <f t="shared" si="68"/>
        <v/>
      </c>
      <c r="AD215" s="398" t="str">
        <f t="shared" si="69"/>
        <v/>
      </c>
      <c r="AF215" s="396" t="str">
        <f t="shared" si="70"/>
        <v/>
      </c>
      <c r="AH215" s="393" t="str">
        <f t="shared" si="71"/>
        <v/>
      </c>
      <c r="AI215" s="393" t="str">
        <f t="shared" si="72"/>
        <v/>
      </c>
      <c r="AJ215" s="393" t="str">
        <f t="shared" si="76"/>
        <v/>
      </c>
      <c r="AK215" s="393" t="str">
        <f t="shared" si="73"/>
        <v/>
      </c>
      <c r="AL215" s="398" t="str">
        <f t="shared" si="74"/>
        <v/>
      </c>
      <c r="AN215" s="396" t="str">
        <f t="shared" si="75"/>
        <v/>
      </c>
      <c r="AQ215" s="395"/>
      <c r="AR215" s="395"/>
    </row>
    <row r="216" spans="1:44" x14ac:dyDescent="0.2">
      <c r="A216" s="398" t="str">
        <f>IF(B216="","",CONCATENATE("GBL",B216," - ",Mantenedor!E216))</f>
        <v/>
      </c>
      <c r="J216" s="318"/>
      <c r="K216" s="312"/>
      <c r="M216" s="315"/>
      <c r="P216" s="398" t="str">
        <f t="shared" si="60"/>
        <v/>
      </c>
      <c r="Q216" s="401" t="str" cm="1">
        <f t="array" ref="Q216">+_xlfn.IFS(O216="Nacional","CLP",O216="Extranjero","USD",O216="","")</f>
        <v/>
      </c>
      <c r="R216" s="399" t="str">
        <f>IFERROR(IF(O216="Nacional",VLOOKUP(P216,PRICING!$D$4:$E$59,2,FALSE),VLOOKUP(P216,PRICING!$J$4:$K$59,2,FALSE)),"")</f>
        <v/>
      </c>
      <c r="S216"/>
      <c r="V216" s="399">
        <f t="shared" si="61"/>
        <v>0</v>
      </c>
      <c r="W216" s="400">
        <f t="shared" si="62"/>
        <v>0</v>
      </c>
      <c r="X216" s="393" t="str">
        <f t="shared" si="63"/>
        <v/>
      </c>
      <c r="Y216" s="393" t="str">
        <f t="shared" si="64"/>
        <v/>
      </c>
      <c r="Z216" s="393" t="str">
        <f t="shared" si="65"/>
        <v/>
      </c>
      <c r="AA216" s="393" t="str">
        <f t="shared" si="66"/>
        <v/>
      </c>
      <c r="AB216" s="393" t="str">
        <f t="shared" si="67"/>
        <v/>
      </c>
      <c r="AC216" s="393" t="str">
        <f t="shared" si="68"/>
        <v/>
      </c>
      <c r="AD216" s="398" t="str">
        <f t="shared" si="69"/>
        <v/>
      </c>
      <c r="AF216" s="396" t="str">
        <f t="shared" si="70"/>
        <v/>
      </c>
      <c r="AH216" s="393" t="str">
        <f t="shared" si="71"/>
        <v/>
      </c>
      <c r="AI216" s="393" t="str">
        <f t="shared" si="72"/>
        <v/>
      </c>
      <c r="AJ216" s="393" t="str">
        <f t="shared" si="76"/>
        <v/>
      </c>
      <c r="AK216" s="393" t="str">
        <f t="shared" si="73"/>
        <v/>
      </c>
      <c r="AL216" s="398" t="str">
        <f t="shared" si="74"/>
        <v/>
      </c>
      <c r="AN216" s="396" t="str">
        <f t="shared" si="75"/>
        <v/>
      </c>
      <c r="AQ216" s="395"/>
      <c r="AR216" s="395"/>
    </row>
    <row r="217" spans="1:44" x14ac:dyDescent="0.2">
      <c r="A217" s="398" t="str">
        <f>IF(B217="","",CONCATENATE("GBL",B217," - ",Mantenedor!E217))</f>
        <v/>
      </c>
      <c r="J217" s="318"/>
      <c r="K217" s="312"/>
      <c r="M217" s="315"/>
      <c r="P217" s="398" t="str">
        <f t="shared" si="60"/>
        <v/>
      </c>
      <c r="Q217" s="401" t="str" cm="1">
        <f t="array" ref="Q217">+_xlfn.IFS(O217="Nacional","CLP",O217="Extranjero","USD",O217="","")</f>
        <v/>
      </c>
      <c r="R217" s="399" t="str">
        <f>IFERROR(IF(O217="Nacional",VLOOKUP(P217,PRICING!$D$4:$E$59,2,FALSE),VLOOKUP(P217,PRICING!$J$4:$K$59,2,FALSE)),"")</f>
        <v/>
      </c>
      <c r="S217"/>
      <c r="V217" s="399">
        <f t="shared" si="61"/>
        <v>0</v>
      </c>
      <c r="W217" s="400">
        <f t="shared" si="62"/>
        <v>0</v>
      </c>
      <c r="X217" s="393" t="str">
        <f t="shared" si="63"/>
        <v/>
      </c>
      <c r="Y217" s="393" t="str">
        <f t="shared" si="64"/>
        <v/>
      </c>
      <c r="Z217" s="393" t="str">
        <f t="shared" si="65"/>
        <v/>
      </c>
      <c r="AA217" s="393" t="str">
        <f t="shared" si="66"/>
        <v/>
      </c>
      <c r="AB217" s="393" t="str">
        <f t="shared" si="67"/>
        <v/>
      </c>
      <c r="AC217" s="393" t="str">
        <f t="shared" si="68"/>
        <v/>
      </c>
      <c r="AD217" s="398" t="str">
        <f t="shared" si="69"/>
        <v/>
      </c>
      <c r="AF217" s="396" t="str">
        <f t="shared" si="70"/>
        <v/>
      </c>
      <c r="AH217" s="393" t="str">
        <f t="shared" si="71"/>
        <v/>
      </c>
      <c r="AI217" s="393" t="str">
        <f t="shared" si="72"/>
        <v/>
      </c>
      <c r="AJ217" s="393" t="str">
        <f t="shared" si="76"/>
        <v/>
      </c>
      <c r="AK217" s="393" t="str">
        <f t="shared" si="73"/>
        <v/>
      </c>
      <c r="AL217" s="398" t="str">
        <f t="shared" si="74"/>
        <v/>
      </c>
      <c r="AN217" s="396" t="str">
        <f t="shared" si="75"/>
        <v/>
      </c>
      <c r="AQ217" s="395"/>
      <c r="AR217" s="395"/>
    </row>
    <row r="218" spans="1:44" x14ac:dyDescent="0.2">
      <c r="A218" s="398" t="str">
        <f>IF(B218="","",CONCATENATE("GBL",B218," - ",Mantenedor!E218))</f>
        <v/>
      </c>
      <c r="J218" s="318"/>
      <c r="K218" s="312"/>
      <c r="M218" s="315"/>
      <c r="P218" s="398" t="str">
        <f t="shared" si="60"/>
        <v/>
      </c>
      <c r="Q218" s="401" t="str" cm="1">
        <f t="array" ref="Q218">+_xlfn.IFS(O218="Nacional","CLP",O218="Extranjero","USD",O218="","")</f>
        <v/>
      </c>
      <c r="R218" s="399" t="str">
        <f>IFERROR(IF(O218="Nacional",VLOOKUP(P218,PRICING!$D$4:$E$59,2,FALSE),VLOOKUP(P218,PRICING!$J$4:$K$59,2,FALSE)),"")</f>
        <v/>
      </c>
      <c r="S218"/>
      <c r="V218" s="399">
        <f t="shared" si="61"/>
        <v>0</v>
      </c>
      <c r="W218" s="400">
        <f t="shared" si="62"/>
        <v>0</v>
      </c>
      <c r="X218" s="393" t="str">
        <f t="shared" si="63"/>
        <v/>
      </c>
      <c r="Y218" s="393" t="str">
        <f t="shared" si="64"/>
        <v/>
      </c>
      <c r="Z218" s="393" t="str">
        <f t="shared" si="65"/>
        <v/>
      </c>
      <c r="AA218" s="393" t="str">
        <f t="shared" si="66"/>
        <v/>
      </c>
      <c r="AB218" s="393" t="str">
        <f t="shared" si="67"/>
        <v/>
      </c>
      <c r="AC218" s="393" t="str">
        <f t="shared" si="68"/>
        <v/>
      </c>
      <c r="AD218" s="398" t="str">
        <f t="shared" si="69"/>
        <v/>
      </c>
      <c r="AF218" s="396" t="str">
        <f t="shared" si="70"/>
        <v/>
      </c>
      <c r="AH218" s="393" t="str">
        <f t="shared" si="71"/>
        <v/>
      </c>
      <c r="AI218" s="393" t="str">
        <f t="shared" si="72"/>
        <v/>
      </c>
      <c r="AJ218" s="393" t="str">
        <f t="shared" si="76"/>
        <v/>
      </c>
      <c r="AK218" s="393" t="str">
        <f t="shared" si="73"/>
        <v/>
      </c>
      <c r="AL218" s="398" t="str">
        <f t="shared" si="74"/>
        <v/>
      </c>
      <c r="AN218" s="396" t="str">
        <f t="shared" si="75"/>
        <v/>
      </c>
      <c r="AQ218" s="395"/>
      <c r="AR218" s="395"/>
    </row>
    <row r="219" spans="1:44" x14ac:dyDescent="0.2">
      <c r="A219" s="398" t="str">
        <f>IF(B219="","",CONCATENATE("GBL",B219," - ",Mantenedor!E219))</f>
        <v/>
      </c>
      <c r="J219" s="318"/>
      <c r="K219" s="312"/>
      <c r="M219" s="315"/>
      <c r="P219" s="398" t="str">
        <f t="shared" si="60"/>
        <v/>
      </c>
      <c r="Q219" s="401" t="str" cm="1">
        <f t="array" ref="Q219">+_xlfn.IFS(O219="Nacional","CLP",O219="Extranjero","USD",O219="","")</f>
        <v/>
      </c>
      <c r="R219" s="399" t="str">
        <f>IFERROR(IF(O219="Nacional",VLOOKUP(P219,PRICING!$D$4:$E$59,2,FALSE),VLOOKUP(P219,PRICING!$J$4:$K$59,2,FALSE)),"")</f>
        <v/>
      </c>
      <c r="S219"/>
      <c r="V219" s="399">
        <f t="shared" si="61"/>
        <v>0</v>
      </c>
      <c r="W219" s="400">
        <f t="shared" si="62"/>
        <v>0</v>
      </c>
      <c r="X219" s="393" t="str">
        <f t="shared" si="63"/>
        <v/>
      </c>
      <c r="Y219" s="393" t="str">
        <f t="shared" si="64"/>
        <v/>
      </c>
      <c r="Z219" s="393" t="str">
        <f t="shared" si="65"/>
        <v/>
      </c>
      <c r="AA219" s="393" t="str">
        <f t="shared" si="66"/>
        <v/>
      </c>
      <c r="AB219" s="393" t="str">
        <f t="shared" si="67"/>
        <v/>
      </c>
      <c r="AC219" s="393" t="str">
        <f t="shared" si="68"/>
        <v/>
      </c>
      <c r="AD219" s="398" t="str">
        <f t="shared" si="69"/>
        <v/>
      </c>
      <c r="AF219" s="396" t="str">
        <f t="shared" si="70"/>
        <v/>
      </c>
      <c r="AH219" s="393" t="str">
        <f t="shared" si="71"/>
        <v/>
      </c>
      <c r="AI219" s="393" t="str">
        <f t="shared" si="72"/>
        <v/>
      </c>
      <c r="AJ219" s="393" t="str">
        <f t="shared" si="76"/>
        <v/>
      </c>
      <c r="AK219" s="393" t="str">
        <f t="shared" si="73"/>
        <v/>
      </c>
      <c r="AL219" s="398" t="str">
        <f t="shared" si="74"/>
        <v/>
      </c>
      <c r="AN219" s="396" t="str">
        <f t="shared" si="75"/>
        <v/>
      </c>
      <c r="AQ219" s="395"/>
      <c r="AR219" s="395"/>
    </row>
    <row r="220" spans="1:44" x14ac:dyDescent="0.2">
      <c r="A220" s="398" t="str">
        <f>IF(B220="","",CONCATENATE("GBL",B220," - ",Mantenedor!E220))</f>
        <v/>
      </c>
      <c r="J220" s="318"/>
      <c r="K220" s="312"/>
      <c r="M220" s="315"/>
      <c r="P220" s="398" t="str">
        <f t="shared" si="60"/>
        <v/>
      </c>
      <c r="Q220" s="401" t="str" cm="1">
        <f t="array" ref="Q220">+_xlfn.IFS(O220="Nacional","CLP",O220="Extranjero","USD",O220="","")</f>
        <v/>
      </c>
      <c r="R220" s="399" t="str">
        <f>IFERROR(IF(O220="Nacional",VLOOKUP(P220,PRICING!$D$4:$E$59,2,FALSE),VLOOKUP(P220,PRICING!$J$4:$K$59,2,FALSE)),"")</f>
        <v/>
      </c>
      <c r="S220"/>
      <c r="V220" s="399">
        <f t="shared" si="61"/>
        <v>0</v>
      </c>
      <c r="W220" s="400">
        <f t="shared" si="62"/>
        <v>0</v>
      </c>
      <c r="X220" s="393" t="str">
        <f t="shared" si="63"/>
        <v/>
      </c>
      <c r="Y220" s="393" t="str">
        <f t="shared" si="64"/>
        <v/>
      </c>
      <c r="Z220" s="393" t="str">
        <f t="shared" si="65"/>
        <v/>
      </c>
      <c r="AA220" s="393" t="str">
        <f t="shared" si="66"/>
        <v/>
      </c>
      <c r="AB220" s="393" t="str">
        <f t="shared" si="67"/>
        <v/>
      </c>
      <c r="AC220" s="393" t="str">
        <f t="shared" si="68"/>
        <v/>
      </c>
      <c r="AD220" s="398" t="str">
        <f t="shared" si="69"/>
        <v/>
      </c>
      <c r="AF220" s="396" t="str">
        <f t="shared" si="70"/>
        <v/>
      </c>
      <c r="AH220" s="393" t="str">
        <f t="shared" si="71"/>
        <v/>
      </c>
      <c r="AI220" s="393" t="str">
        <f t="shared" si="72"/>
        <v/>
      </c>
      <c r="AJ220" s="393" t="str">
        <f t="shared" si="76"/>
        <v/>
      </c>
      <c r="AK220" s="393" t="str">
        <f t="shared" si="73"/>
        <v/>
      </c>
      <c r="AL220" s="398" t="str">
        <f t="shared" si="74"/>
        <v/>
      </c>
      <c r="AN220" s="396" t="str">
        <f t="shared" si="75"/>
        <v/>
      </c>
      <c r="AQ220" s="395"/>
      <c r="AR220" s="395"/>
    </row>
    <row r="221" spans="1:44" x14ac:dyDescent="0.2">
      <c r="A221" s="398" t="str">
        <f>IF(B221="","",CONCATENATE("GBL",B221," - ",Mantenedor!E221))</f>
        <v/>
      </c>
      <c r="J221" s="318"/>
      <c r="K221" s="312"/>
      <c r="M221" s="315"/>
      <c r="P221" s="398" t="str">
        <f t="shared" si="60"/>
        <v/>
      </c>
      <c r="Q221" s="401" t="str" cm="1">
        <f t="array" ref="Q221">+_xlfn.IFS(O221="Nacional","CLP",O221="Extranjero","USD",O221="","")</f>
        <v/>
      </c>
      <c r="R221" s="399" t="str">
        <f>IFERROR(IF(O221="Nacional",VLOOKUP(P221,PRICING!$D$4:$E$59,2,FALSE),VLOOKUP(P221,PRICING!$J$4:$K$59,2,FALSE)),"")</f>
        <v/>
      </c>
      <c r="S221"/>
      <c r="V221" s="399">
        <f t="shared" si="61"/>
        <v>0</v>
      </c>
      <c r="W221" s="400">
        <f t="shared" si="62"/>
        <v>0</v>
      </c>
      <c r="X221" s="393" t="str">
        <f t="shared" si="63"/>
        <v/>
      </c>
      <c r="Y221" s="393" t="str">
        <f t="shared" si="64"/>
        <v/>
      </c>
      <c r="Z221" s="393" t="str">
        <f t="shared" si="65"/>
        <v/>
      </c>
      <c r="AA221" s="393" t="str">
        <f t="shared" si="66"/>
        <v/>
      </c>
      <c r="AB221" s="393" t="str">
        <f t="shared" si="67"/>
        <v/>
      </c>
      <c r="AC221" s="393" t="str">
        <f t="shared" si="68"/>
        <v/>
      </c>
      <c r="AD221" s="398" t="str">
        <f t="shared" si="69"/>
        <v/>
      </c>
      <c r="AF221" s="396" t="str">
        <f t="shared" si="70"/>
        <v/>
      </c>
      <c r="AH221" s="393" t="str">
        <f t="shared" si="71"/>
        <v/>
      </c>
      <c r="AI221" s="393" t="str">
        <f t="shared" si="72"/>
        <v/>
      </c>
      <c r="AJ221" s="393" t="str">
        <f t="shared" si="76"/>
        <v/>
      </c>
      <c r="AK221" s="393" t="str">
        <f t="shared" si="73"/>
        <v/>
      </c>
      <c r="AL221" s="398" t="str">
        <f t="shared" si="74"/>
        <v/>
      </c>
      <c r="AN221" s="396" t="str">
        <f t="shared" si="75"/>
        <v/>
      </c>
      <c r="AQ221" s="395"/>
      <c r="AR221" s="395"/>
    </row>
    <row r="222" spans="1:44" x14ac:dyDescent="0.2">
      <c r="A222" s="398" t="str">
        <f>IF(B222="","",CONCATENATE("GBL",B222," - ",Mantenedor!E222))</f>
        <v/>
      </c>
      <c r="J222" s="318"/>
      <c r="K222" s="312"/>
      <c r="M222" s="315"/>
      <c r="P222" s="398" t="str">
        <f t="shared" si="60"/>
        <v/>
      </c>
      <c r="Q222" s="401" t="str" cm="1">
        <f t="array" ref="Q222">+_xlfn.IFS(O222="Nacional","CLP",O222="Extranjero","USD",O222="","")</f>
        <v/>
      </c>
      <c r="R222" s="399" t="str">
        <f>IFERROR(IF(O222="Nacional",VLOOKUP(P222,PRICING!$D$4:$E$59,2,FALSE),VLOOKUP(P222,PRICING!$J$4:$K$59,2,FALSE)),"")</f>
        <v/>
      </c>
      <c r="S222"/>
      <c r="V222" s="399">
        <f t="shared" si="61"/>
        <v>0</v>
      </c>
      <c r="W222" s="400">
        <f t="shared" si="62"/>
        <v>0</v>
      </c>
      <c r="X222" s="393" t="str">
        <f t="shared" si="63"/>
        <v/>
      </c>
      <c r="Y222" s="393" t="str">
        <f t="shared" si="64"/>
        <v/>
      </c>
      <c r="Z222" s="393" t="str">
        <f t="shared" si="65"/>
        <v/>
      </c>
      <c r="AA222" s="393" t="str">
        <f t="shared" si="66"/>
        <v/>
      </c>
      <c r="AB222" s="393" t="str">
        <f t="shared" si="67"/>
        <v/>
      </c>
      <c r="AC222" s="393" t="str">
        <f t="shared" si="68"/>
        <v/>
      </c>
      <c r="AD222" s="398" t="str">
        <f t="shared" si="69"/>
        <v/>
      </c>
      <c r="AF222" s="396" t="str">
        <f t="shared" si="70"/>
        <v/>
      </c>
      <c r="AH222" s="393" t="str">
        <f t="shared" si="71"/>
        <v/>
      </c>
      <c r="AI222" s="393" t="str">
        <f t="shared" si="72"/>
        <v/>
      </c>
      <c r="AJ222" s="393" t="str">
        <f t="shared" si="76"/>
        <v/>
      </c>
      <c r="AK222" s="393" t="str">
        <f t="shared" si="73"/>
        <v/>
      </c>
      <c r="AL222" s="398" t="str">
        <f t="shared" si="74"/>
        <v/>
      </c>
      <c r="AN222" s="396" t="str">
        <f t="shared" si="75"/>
        <v/>
      </c>
      <c r="AQ222" s="395"/>
      <c r="AR222" s="395"/>
    </row>
    <row r="223" spans="1:44" x14ac:dyDescent="0.2">
      <c r="A223" s="398" t="str">
        <f>IF(B223="","",CONCATENATE("GBL",B223," - ",Mantenedor!E223))</f>
        <v/>
      </c>
      <c r="J223" s="318"/>
      <c r="K223" s="312"/>
      <c r="M223" s="315"/>
      <c r="P223" s="398" t="str">
        <f t="shared" si="60"/>
        <v/>
      </c>
      <c r="Q223" s="401" t="str" cm="1">
        <f t="array" ref="Q223">+_xlfn.IFS(O223="Nacional","CLP",O223="Extranjero","USD",O223="","")</f>
        <v/>
      </c>
      <c r="R223" s="399" t="str">
        <f>IFERROR(IF(O223="Nacional",VLOOKUP(P223,PRICING!$D$4:$E$59,2,FALSE),VLOOKUP(P223,PRICING!$J$4:$K$59,2,FALSE)),"")</f>
        <v/>
      </c>
      <c r="S223"/>
      <c r="V223" s="399">
        <f t="shared" si="61"/>
        <v>0</v>
      </c>
      <c r="W223" s="400">
        <f t="shared" si="62"/>
        <v>0</v>
      </c>
      <c r="X223" s="393" t="str">
        <f t="shared" si="63"/>
        <v/>
      </c>
      <c r="Y223" s="393" t="str">
        <f t="shared" si="64"/>
        <v/>
      </c>
      <c r="Z223" s="393" t="str">
        <f t="shared" si="65"/>
        <v/>
      </c>
      <c r="AA223" s="393" t="str">
        <f t="shared" si="66"/>
        <v/>
      </c>
      <c r="AB223" s="393" t="str">
        <f t="shared" si="67"/>
        <v/>
      </c>
      <c r="AC223" s="393" t="str">
        <f t="shared" si="68"/>
        <v/>
      </c>
      <c r="AD223" s="398" t="str">
        <f t="shared" si="69"/>
        <v/>
      </c>
      <c r="AF223" s="396" t="str">
        <f t="shared" si="70"/>
        <v/>
      </c>
      <c r="AH223" s="393" t="str">
        <f t="shared" si="71"/>
        <v/>
      </c>
      <c r="AI223" s="393" t="str">
        <f t="shared" si="72"/>
        <v/>
      </c>
      <c r="AJ223" s="393" t="str">
        <f t="shared" si="76"/>
        <v/>
      </c>
      <c r="AK223" s="393" t="str">
        <f t="shared" si="73"/>
        <v/>
      </c>
      <c r="AL223" s="398" t="str">
        <f t="shared" si="74"/>
        <v/>
      </c>
      <c r="AN223" s="396" t="str">
        <f t="shared" si="75"/>
        <v/>
      </c>
      <c r="AQ223" s="395"/>
      <c r="AR223" s="395"/>
    </row>
    <row r="224" spans="1:44" x14ac:dyDescent="0.2">
      <c r="A224" s="398" t="str">
        <f>IF(B224="","",CONCATENATE("GBL",B224," - ",Mantenedor!E224))</f>
        <v/>
      </c>
      <c r="J224" s="318"/>
      <c r="K224" s="312"/>
      <c r="M224" s="315"/>
      <c r="P224" s="398" t="str">
        <f t="shared" si="60"/>
        <v/>
      </c>
      <c r="Q224" s="401" t="str" cm="1">
        <f t="array" ref="Q224">+_xlfn.IFS(O224="Nacional","CLP",O224="Extranjero","USD",O224="","")</f>
        <v/>
      </c>
      <c r="R224" s="399" t="str">
        <f>IFERROR(IF(O224="Nacional",VLOOKUP(P224,PRICING!$D$4:$E$59,2,FALSE),VLOOKUP(P224,PRICING!$J$4:$K$59,2,FALSE)),"")</f>
        <v/>
      </c>
      <c r="S224"/>
      <c r="V224" s="399">
        <f t="shared" si="61"/>
        <v>0</v>
      </c>
      <c r="W224" s="400">
        <f t="shared" si="62"/>
        <v>0</v>
      </c>
      <c r="X224" s="393" t="str">
        <f t="shared" si="63"/>
        <v/>
      </c>
      <c r="Y224" s="393" t="str">
        <f t="shared" si="64"/>
        <v/>
      </c>
      <c r="Z224" s="393" t="str">
        <f t="shared" si="65"/>
        <v/>
      </c>
      <c r="AA224" s="393" t="str">
        <f t="shared" si="66"/>
        <v/>
      </c>
      <c r="AB224" s="393" t="str">
        <f t="shared" si="67"/>
        <v/>
      </c>
      <c r="AC224" s="393" t="str">
        <f t="shared" si="68"/>
        <v/>
      </c>
      <c r="AD224" s="398" t="str">
        <f t="shared" si="69"/>
        <v/>
      </c>
      <c r="AF224" s="396" t="str">
        <f t="shared" si="70"/>
        <v/>
      </c>
      <c r="AH224" s="393" t="str">
        <f t="shared" si="71"/>
        <v/>
      </c>
      <c r="AI224" s="393" t="str">
        <f t="shared" si="72"/>
        <v/>
      </c>
      <c r="AJ224" s="393" t="str">
        <f t="shared" si="76"/>
        <v/>
      </c>
      <c r="AK224" s="393" t="str">
        <f t="shared" si="73"/>
        <v/>
      </c>
      <c r="AL224" s="398" t="str">
        <f t="shared" si="74"/>
        <v/>
      </c>
      <c r="AN224" s="396" t="str">
        <f t="shared" si="75"/>
        <v/>
      </c>
      <c r="AQ224" s="395"/>
      <c r="AR224" s="395"/>
    </row>
    <row r="225" spans="1:44" x14ac:dyDescent="0.2">
      <c r="A225" s="398" t="str">
        <f>IF(B225="","",CONCATENATE("GBL",B225," - ",Mantenedor!E225))</f>
        <v/>
      </c>
      <c r="J225" s="318"/>
      <c r="K225" s="312"/>
      <c r="M225" s="315"/>
      <c r="P225" s="398" t="str">
        <f t="shared" si="60"/>
        <v/>
      </c>
      <c r="Q225" s="401" t="str" cm="1">
        <f t="array" ref="Q225">+_xlfn.IFS(O225="Nacional","CLP",O225="Extranjero","USD",O225="","")</f>
        <v/>
      </c>
      <c r="R225" s="399" t="str">
        <f>IFERROR(IF(O225="Nacional",VLOOKUP(P225,PRICING!$D$4:$E$59,2,FALSE),VLOOKUP(P225,PRICING!$J$4:$K$59,2,FALSE)),"")</f>
        <v/>
      </c>
      <c r="S225"/>
      <c r="V225" s="399">
        <f t="shared" si="61"/>
        <v>0</v>
      </c>
      <c r="W225" s="400">
        <f t="shared" si="62"/>
        <v>0</v>
      </c>
      <c r="X225" s="393" t="str">
        <f t="shared" si="63"/>
        <v/>
      </c>
      <c r="Y225" s="393" t="str">
        <f t="shared" si="64"/>
        <v/>
      </c>
      <c r="Z225" s="393" t="str">
        <f t="shared" si="65"/>
        <v/>
      </c>
      <c r="AA225" s="393" t="str">
        <f t="shared" si="66"/>
        <v/>
      </c>
      <c r="AB225" s="393" t="str">
        <f t="shared" si="67"/>
        <v/>
      </c>
      <c r="AC225" s="393" t="str">
        <f t="shared" si="68"/>
        <v/>
      </c>
      <c r="AD225" s="398" t="str">
        <f t="shared" si="69"/>
        <v/>
      </c>
      <c r="AF225" s="396" t="str">
        <f t="shared" si="70"/>
        <v/>
      </c>
      <c r="AH225" s="393" t="str">
        <f t="shared" si="71"/>
        <v/>
      </c>
      <c r="AI225" s="393" t="str">
        <f t="shared" si="72"/>
        <v/>
      </c>
      <c r="AJ225" s="393" t="str">
        <f t="shared" si="76"/>
        <v/>
      </c>
      <c r="AK225" s="393" t="str">
        <f t="shared" si="73"/>
        <v/>
      </c>
      <c r="AL225" s="398" t="str">
        <f t="shared" si="74"/>
        <v/>
      </c>
      <c r="AN225" s="396" t="str">
        <f t="shared" si="75"/>
        <v/>
      </c>
      <c r="AQ225" s="395"/>
      <c r="AR225" s="395"/>
    </row>
    <row r="226" spans="1:44" x14ac:dyDescent="0.2">
      <c r="A226" s="398" t="str">
        <f>IF(B226="","",CONCATENATE("GBL",B226," - ",Mantenedor!E226))</f>
        <v/>
      </c>
      <c r="J226" s="318"/>
      <c r="K226" s="312"/>
      <c r="M226" s="315"/>
      <c r="P226" s="398" t="str">
        <f t="shared" si="60"/>
        <v/>
      </c>
      <c r="Q226" s="401" t="str" cm="1">
        <f t="array" ref="Q226">+_xlfn.IFS(O226="Nacional","CLP",O226="Extranjero","USD",O226="","")</f>
        <v/>
      </c>
      <c r="R226" s="399" t="str">
        <f>IFERROR(IF(O226="Nacional",VLOOKUP(P226,PRICING!$D$4:$E$59,2,FALSE),VLOOKUP(P226,PRICING!$J$4:$K$59,2,FALSE)),"")</f>
        <v/>
      </c>
      <c r="S226"/>
      <c r="V226" s="399">
        <f t="shared" si="61"/>
        <v>0</v>
      </c>
      <c r="W226" s="400">
        <f t="shared" si="62"/>
        <v>0</v>
      </c>
      <c r="X226" s="393" t="str">
        <f t="shared" si="63"/>
        <v/>
      </c>
      <c r="Y226" s="393" t="str">
        <f t="shared" si="64"/>
        <v/>
      </c>
      <c r="Z226" s="393" t="str">
        <f t="shared" si="65"/>
        <v/>
      </c>
      <c r="AA226" s="393" t="str">
        <f t="shared" si="66"/>
        <v/>
      </c>
      <c r="AB226" s="393" t="str">
        <f t="shared" si="67"/>
        <v/>
      </c>
      <c r="AC226" s="393" t="str">
        <f t="shared" si="68"/>
        <v/>
      </c>
      <c r="AD226" s="398" t="str">
        <f t="shared" si="69"/>
        <v/>
      </c>
      <c r="AF226" s="396" t="str">
        <f t="shared" si="70"/>
        <v/>
      </c>
      <c r="AH226" s="393" t="str">
        <f t="shared" si="71"/>
        <v/>
      </c>
      <c r="AI226" s="393" t="str">
        <f t="shared" si="72"/>
        <v/>
      </c>
      <c r="AJ226" s="393" t="str">
        <f t="shared" si="76"/>
        <v/>
      </c>
      <c r="AK226" s="393" t="str">
        <f t="shared" si="73"/>
        <v/>
      </c>
      <c r="AL226" s="398" t="str">
        <f t="shared" si="74"/>
        <v/>
      </c>
      <c r="AN226" s="396" t="str">
        <f t="shared" si="75"/>
        <v/>
      </c>
      <c r="AQ226" s="395"/>
      <c r="AR226" s="395"/>
    </row>
    <row r="227" spans="1:44" x14ac:dyDescent="0.2">
      <c r="A227" s="398" t="str">
        <f>IF(B227="","",CONCATENATE("GBL",B227," - ",Mantenedor!E227))</f>
        <v/>
      </c>
      <c r="J227" s="318"/>
      <c r="K227" s="312"/>
      <c r="M227" s="315"/>
      <c r="P227" s="398" t="str">
        <f t="shared" si="60"/>
        <v/>
      </c>
      <c r="Q227" s="401" t="str" cm="1">
        <f t="array" ref="Q227">+_xlfn.IFS(O227="Nacional","CLP",O227="Extranjero","USD",O227="","")</f>
        <v/>
      </c>
      <c r="R227" s="399" t="str">
        <f>IFERROR(IF(O227="Nacional",VLOOKUP(P227,PRICING!$D$4:$E$59,2,FALSE),VLOOKUP(P227,PRICING!$J$4:$K$59,2,FALSE)),"")</f>
        <v/>
      </c>
      <c r="S227"/>
      <c r="V227" s="399">
        <f t="shared" si="61"/>
        <v>0</v>
      </c>
      <c r="W227" s="400">
        <f t="shared" si="62"/>
        <v>0</v>
      </c>
      <c r="X227" s="393" t="str">
        <f t="shared" si="63"/>
        <v/>
      </c>
      <c r="Y227" s="393" t="str">
        <f t="shared" si="64"/>
        <v/>
      </c>
      <c r="Z227" s="393" t="str">
        <f t="shared" si="65"/>
        <v/>
      </c>
      <c r="AA227" s="393" t="str">
        <f t="shared" si="66"/>
        <v/>
      </c>
      <c r="AB227" s="393" t="str">
        <f t="shared" si="67"/>
        <v/>
      </c>
      <c r="AC227" s="393" t="str">
        <f t="shared" si="68"/>
        <v/>
      </c>
      <c r="AD227" s="398" t="str">
        <f t="shared" si="69"/>
        <v/>
      </c>
      <c r="AF227" s="396" t="str">
        <f t="shared" si="70"/>
        <v/>
      </c>
      <c r="AH227" s="393" t="str">
        <f t="shared" si="71"/>
        <v/>
      </c>
      <c r="AI227" s="393" t="str">
        <f t="shared" si="72"/>
        <v/>
      </c>
      <c r="AJ227" s="393" t="str">
        <f t="shared" si="76"/>
        <v/>
      </c>
      <c r="AK227" s="393" t="str">
        <f t="shared" si="73"/>
        <v/>
      </c>
      <c r="AL227" s="398" t="str">
        <f t="shared" si="74"/>
        <v/>
      </c>
      <c r="AN227" s="396" t="str">
        <f t="shared" si="75"/>
        <v/>
      </c>
      <c r="AQ227" s="395"/>
      <c r="AR227" s="395"/>
    </row>
    <row r="228" spans="1:44" x14ac:dyDescent="0.2">
      <c r="A228" s="398" t="str">
        <f>IF(B228="","",CONCATENATE("GBL",B228," - ",Mantenedor!E228))</f>
        <v/>
      </c>
      <c r="J228" s="318"/>
      <c r="K228" s="312"/>
      <c r="M228" s="315"/>
      <c r="P228" s="398" t="str">
        <f t="shared" si="60"/>
        <v/>
      </c>
      <c r="Q228" s="401" t="str" cm="1">
        <f t="array" ref="Q228">+_xlfn.IFS(O228="Nacional","CLP",O228="Extranjero","USD",O228="","")</f>
        <v/>
      </c>
      <c r="R228" s="399" t="str">
        <f>IFERROR(IF(O228="Nacional",VLOOKUP(P228,PRICING!$D$4:$E$59,2,FALSE),VLOOKUP(P228,PRICING!$J$4:$K$59,2,FALSE)),"")</f>
        <v/>
      </c>
      <c r="S228"/>
      <c r="V228" s="399">
        <f t="shared" si="61"/>
        <v>0</v>
      </c>
      <c r="W228" s="400">
        <f t="shared" si="62"/>
        <v>0</v>
      </c>
      <c r="X228" s="393" t="str">
        <f t="shared" si="63"/>
        <v/>
      </c>
      <c r="Y228" s="393" t="str">
        <f t="shared" si="64"/>
        <v/>
      </c>
      <c r="Z228" s="393" t="str">
        <f t="shared" si="65"/>
        <v/>
      </c>
      <c r="AA228" s="393" t="str">
        <f t="shared" si="66"/>
        <v/>
      </c>
      <c r="AB228" s="393" t="str">
        <f t="shared" si="67"/>
        <v/>
      </c>
      <c r="AC228" s="393" t="str">
        <f t="shared" si="68"/>
        <v/>
      </c>
      <c r="AD228" s="398" t="str">
        <f t="shared" si="69"/>
        <v/>
      </c>
      <c r="AF228" s="396" t="str">
        <f t="shared" si="70"/>
        <v/>
      </c>
      <c r="AH228" s="393" t="str">
        <f t="shared" si="71"/>
        <v/>
      </c>
      <c r="AI228" s="393" t="str">
        <f t="shared" si="72"/>
        <v/>
      </c>
      <c r="AJ228" s="393" t="str">
        <f t="shared" si="76"/>
        <v/>
      </c>
      <c r="AK228" s="393" t="str">
        <f t="shared" si="73"/>
        <v/>
      </c>
      <c r="AL228" s="398" t="str">
        <f t="shared" si="74"/>
        <v/>
      </c>
      <c r="AN228" s="396" t="str">
        <f t="shared" si="75"/>
        <v/>
      </c>
      <c r="AQ228" s="395"/>
      <c r="AR228" s="395"/>
    </row>
    <row r="229" spans="1:44" x14ac:dyDescent="0.2">
      <c r="A229" s="398" t="str">
        <f>IF(B229="","",CONCATENATE("GBL",B229," - ",Mantenedor!E229))</f>
        <v/>
      </c>
      <c r="J229" s="318"/>
      <c r="K229" s="312"/>
      <c r="M229" s="315"/>
      <c r="P229" s="398" t="str">
        <f t="shared" si="60"/>
        <v/>
      </c>
      <c r="Q229" s="401" t="str" cm="1">
        <f t="array" ref="Q229">+_xlfn.IFS(O229="Nacional","CLP",O229="Extranjero","USD",O229="","")</f>
        <v/>
      </c>
      <c r="R229" s="399" t="str">
        <f>IFERROR(IF(O229="Nacional",VLOOKUP(P229,PRICING!$D$4:$E$59,2,FALSE),VLOOKUP(P229,PRICING!$J$4:$K$59,2,FALSE)),"")</f>
        <v/>
      </c>
      <c r="S229"/>
      <c r="V229" s="399">
        <f t="shared" si="61"/>
        <v>0</v>
      </c>
      <c r="W229" s="400">
        <f t="shared" si="62"/>
        <v>0</v>
      </c>
      <c r="X229" s="393" t="str">
        <f t="shared" si="63"/>
        <v/>
      </c>
      <c r="Y229" s="393" t="str">
        <f t="shared" si="64"/>
        <v/>
      </c>
      <c r="Z229" s="393" t="str">
        <f t="shared" si="65"/>
        <v/>
      </c>
      <c r="AA229" s="393" t="str">
        <f t="shared" si="66"/>
        <v/>
      </c>
      <c r="AB229" s="393" t="str">
        <f t="shared" si="67"/>
        <v/>
      </c>
      <c r="AC229" s="393" t="str">
        <f t="shared" si="68"/>
        <v/>
      </c>
      <c r="AD229" s="398" t="str">
        <f t="shared" si="69"/>
        <v/>
      </c>
      <c r="AF229" s="396" t="str">
        <f t="shared" si="70"/>
        <v/>
      </c>
      <c r="AH229" s="393" t="str">
        <f t="shared" si="71"/>
        <v/>
      </c>
      <c r="AI229" s="393" t="str">
        <f t="shared" si="72"/>
        <v/>
      </c>
      <c r="AJ229" s="393" t="str">
        <f t="shared" si="76"/>
        <v/>
      </c>
      <c r="AK229" s="393" t="str">
        <f t="shared" si="73"/>
        <v/>
      </c>
      <c r="AL229" s="398" t="str">
        <f t="shared" si="74"/>
        <v/>
      </c>
      <c r="AN229" s="396" t="str">
        <f t="shared" si="75"/>
        <v/>
      </c>
      <c r="AQ229" s="395"/>
      <c r="AR229" s="395"/>
    </row>
    <row r="230" spans="1:44" x14ac:dyDescent="0.2">
      <c r="A230" s="398" t="str">
        <f>IF(B230="","",CONCATENATE("GBL",B230," - ",Mantenedor!E230))</f>
        <v/>
      </c>
      <c r="J230" s="318"/>
      <c r="K230" s="312"/>
      <c r="M230" s="315"/>
      <c r="P230" s="398" t="str">
        <f t="shared" si="60"/>
        <v/>
      </c>
      <c r="Q230" s="401" t="str" cm="1">
        <f t="array" ref="Q230">+_xlfn.IFS(O230="Nacional","CLP",O230="Extranjero","USD",O230="","")</f>
        <v/>
      </c>
      <c r="R230" s="399" t="str">
        <f>IFERROR(IF(O230="Nacional",VLOOKUP(P230,PRICING!$D$4:$E$59,2,FALSE),VLOOKUP(P230,PRICING!$J$4:$K$59,2,FALSE)),"")</f>
        <v/>
      </c>
      <c r="S230"/>
      <c r="V230" s="399">
        <f t="shared" si="61"/>
        <v>0</v>
      </c>
      <c r="W230" s="400">
        <f t="shared" si="62"/>
        <v>0</v>
      </c>
      <c r="X230" s="393" t="str">
        <f t="shared" si="63"/>
        <v/>
      </c>
      <c r="Y230" s="393" t="str">
        <f t="shared" si="64"/>
        <v/>
      </c>
      <c r="Z230" s="393" t="str">
        <f t="shared" si="65"/>
        <v/>
      </c>
      <c r="AA230" s="393" t="str">
        <f t="shared" si="66"/>
        <v/>
      </c>
      <c r="AB230" s="393" t="str">
        <f t="shared" si="67"/>
        <v/>
      </c>
      <c r="AC230" s="393" t="str">
        <f t="shared" si="68"/>
        <v/>
      </c>
      <c r="AD230" s="398" t="str">
        <f t="shared" si="69"/>
        <v/>
      </c>
      <c r="AF230" s="396" t="str">
        <f t="shared" si="70"/>
        <v/>
      </c>
      <c r="AH230" s="393" t="str">
        <f t="shared" si="71"/>
        <v/>
      </c>
      <c r="AI230" s="393" t="str">
        <f t="shared" si="72"/>
        <v/>
      </c>
      <c r="AJ230" s="393" t="str">
        <f t="shared" si="76"/>
        <v/>
      </c>
      <c r="AK230" s="393" t="str">
        <f t="shared" si="73"/>
        <v/>
      </c>
      <c r="AL230" s="398" t="str">
        <f t="shared" si="74"/>
        <v/>
      </c>
      <c r="AN230" s="396" t="str">
        <f t="shared" si="75"/>
        <v/>
      </c>
      <c r="AQ230" s="395"/>
      <c r="AR230" s="395"/>
    </row>
    <row r="231" spans="1:44" x14ac:dyDescent="0.2">
      <c r="A231" s="398" t="str">
        <f>IF(B231="","",CONCATENATE("GBL",B231," - ",Mantenedor!E231))</f>
        <v/>
      </c>
      <c r="J231" s="318"/>
      <c r="K231" s="312"/>
      <c r="M231" s="315"/>
      <c r="P231" s="398" t="str">
        <f t="shared" si="60"/>
        <v/>
      </c>
      <c r="Q231" s="401" t="str" cm="1">
        <f t="array" ref="Q231">+_xlfn.IFS(O231="Nacional","CLP",O231="Extranjero","USD",O231="","")</f>
        <v/>
      </c>
      <c r="R231" s="399" t="str">
        <f>IFERROR(IF(O231="Nacional",VLOOKUP(P231,PRICING!$D$4:$E$59,2,FALSE),VLOOKUP(P231,PRICING!$J$4:$K$59,2,FALSE)),"")</f>
        <v/>
      </c>
      <c r="S231"/>
      <c r="V231" s="399">
        <f t="shared" si="61"/>
        <v>0</v>
      </c>
      <c r="W231" s="400">
        <f t="shared" si="62"/>
        <v>0</v>
      </c>
      <c r="X231" s="393" t="str">
        <f t="shared" si="63"/>
        <v/>
      </c>
      <c r="Y231" s="393" t="str">
        <f t="shared" si="64"/>
        <v/>
      </c>
      <c r="Z231" s="393" t="str">
        <f t="shared" si="65"/>
        <v/>
      </c>
      <c r="AA231" s="393" t="str">
        <f t="shared" si="66"/>
        <v/>
      </c>
      <c r="AB231" s="393" t="str">
        <f t="shared" si="67"/>
        <v/>
      </c>
      <c r="AC231" s="393" t="str">
        <f t="shared" si="68"/>
        <v/>
      </c>
      <c r="AD231" s="398" t="str">
        <f t="shared" si="69"/>
        <v/>
      </c>
      <c r="AF231" s="396" t="str">
        <f t="shared" si="70"/>
        <v/>
      </c>
      <c r="AH231" s="393" t="str">
        <f t="shared" si="71"/>
        <v/>
      </c>
      <c r="AI231" s="393" t="str">
        <f t="shared" si="72"/>
        <v/>
      </c>
      <c r="AJ231" s="393" t="str">
        <f t="shared" si="76"/>
        <v/>
      </c>
      <c r="AK231" s="393" t="str">
        <f t="shared" si="73"/>
        <v/>
      </c>
      <c r="AL231" s="398" t="str">
        <f t="shared" si="74"/>
        <v/>
      </c>
      <c r="AN231" s="396" t="str">
        <f t="shared" si="75"/>
        <v/>
      </c>
      <c r="AQ231" s="395"/>
      <c r="AR231" s="395"/>
    </row>
    <row r="232" spans="1:44" x14ac:dyDescent="0.2">
      <c r="A232" s="398" t="str">
        <f>IF(B232="","",CONCATENATE("GBL",B232," - ",Mantenedor!E232))</f>
        <v/>
      </c>
      <c r="J232" s="318"/>
      <c r="K232" s="312"/>
      <c r="M232" s="315"/>
      <c r="P232" s="398" t="str">
        <f t="shared" si="60"/>
        <v/>
      </c>
      <c r="Q232" s="401" t="str" cm="1">
        <f t="array" ref="Q232">+_xlfn.IFS(O232="Nacional","CLP",O232="Extranjero","USD",O232="","")</f>
        <v/>
      </c>
      <c r="R232" s="399" t="str">
        <f>IFERROR(IF(O232="Nacional",VLOOKUP(P232,PRICING!$D$4:$E$59,2,FALSE),VLOOKUP(P232,PRICING!$J$4:$K$59,2,FALSE)),"")</f>
        <v/>
      </c>
      <c r="S232"/>
      <c r="V232" s="399">
        <f t="shared" si="61"/>
        <v>0</v>
      </c>
      <c r="W232" s="400">
        <f t="shared" si="62"/>
        <v>0</v>
      </c>
      <c r="X232" s="393" t="str">
        <f t="shared" si="63"/>
        <v/>
      </c>
      <c r="Y232" s="393" t="str">
        <f t="shared" si="64"/>
        <v/>
      </c>
      <c r="Z232" s="393" t="str">
        <f t="shared" si="65"/>
        <v/>
      </c>
      <c r="AA232" s="393" t="str">
        <f t="shared" si="66"/>
        <v/>
      </c>
      <c r="AB232" s="393" t="str">
        <f t="shared" si="67"/>
        <v/>
      </c>
      <c r="AC232" s="393" t="str">
        <f t="shared" si="68"/>
        <v/>
      </c>
      <c r="AD232" s="398" t="str">
        <f t="shared" si="69"/>
        <v/>
      </c>
      <c r="AF232" s="396" t="str">
        <f t="shared" si="70"/>
        <v/>
      </c>
      <c r="AH232" s="393" t="str">
        <f t="shared" si="71"/>
        <v/>
      </c>
      <c r="AI232" s="393" t="str">
        <f t="shared" si="72"/>
        <v/>
      </c>
      <c r="AJ232" s="393" t="str">
        <f t="shared" si="76"/>
        <v/>
      </c>
      <c r="AK232" s="393" t="str">
        <f t="shared" si="73"/>
        <v/>
      </c>
      <c r="AL232" s="398" t="str">
        <f t="shared" si="74"/>
        <v/>
      </c>
      <c r="AN232" s="396" t="str">
        <f t="shared" si="75"/>
        <v/>
      </c>
      <c r="AQ232" s="395"/>
      <c r="AR232" s="395"/>
    </row>
    <row r="233" spans="1:44" x14ac:dyDescent="0.2">
      <c r="A233" s="398" t="str">
        <f>IF(B233="","",CONCATENATE("GBL",B233," - ",Mantenedor!E233))</f>
        <v/>
      </c>
      <c r="J233" s="318"/>
      <c r="K233" s="312"/>
      <c r="M233" s="315"/>
      <c r="P233" s="398" t="str">
        <f t="shared" si="60"/>
        <v/>
      </c>
      <c r="Q233" s="401" t="str" cm="1">
        <f t="array" ref="Q233">+_xlfn.IFS(O233="Nacional","CLP",O233="Extranjero","USD",O233="","")</f>
        <v/>
      </c>
      <c r="R233" s="399" t="str">
        <f>IFERROR(IF(O233="Nacional",VLOOKUP(P233,PRICING!$D$4:$E$59,2,FALSE),VLOOKUP(P233,PRICING!$J$4:$K$59,2,FALSE)),"")</f>
        <v/>
      </c>
      <c r="S233"/>
      <c r="V233" s="399">
        <f t="shared" si="61"/>
        <v>0</v>
      </c>
      <c r="W233" s="400">
        <f t="shared" si="62"/>
        <v>0</v>
      </c>
      <c r="X233" s="393" t="str">
        <f t="shared" si="63"/>
        <v/>
      </c>
      <c r="Y233" s="393" t="str">
        <f t="shared" si="64"/>
        <v/>
      </c>
      <c r="Z233" s="393" t="str">
        <f t="shared" si="65"/>
        <v/>
      </c>
      <c r="AA233" s="393" t="str">
        <f t="shared" si="66"/>
        <v/>
      </c>
      <c r="AB233" s="393" t="str">
        <f t="shared" si="67"/>
        <v/>
      </c>
      <c r="AC233" s="393" t="str">
        <f t="shared" si="68"/>
        <v/>
      </c>
      <c r="AD233" s="398" t="str">
        <f t="shared" si="69"/>
        <v/>
      </c>
      <c r="AF233" s="396" t="str">
        <f t="shared" si="70"/>
        <v/>
      </c>
      <c r="AH233" s="393" t="str">
        <f t="shared" si="71"/>
        <v/>
      </c>
      <c r="AI233" s="393" t="str">
        <f t="shared" si="72"/>
        <v/>
      </c>
      <c r="AJ233" s="393" t="str">
        <f t="shared" si="76"/>
        <v/>
      </c>
      <c r="AK233" s="393" t="str">
        <f t="shared" si="73"/>
        <v/>
      </c>
      <c r="AL233" s="398" t="str">
        <f t="shared" si="74"/>
        <v/>
      </c>
      <c r="AN233" s="396" t="str">
        <f t="shared" si="75"/>
        <v/>
      </c>
      <c r="AQ233" s="395"/>
      <c r="AR233" s="395"/>
    </row>
    <row r="234" spans="1:44" x14ac:dyDescent="0.2">
      <c r="A234" s="398" t="str">
        <f>IF(B234="","",CONCATENATE("GBL",B234," - ",Mantenedor!E234))</f>
        <v/>
      </c>
      <c r="J234" s="318"/>
      <c r="K234" s="312"/>
      <c r="M234" s="315"/>
      <c r="P234" s="398" t="str">
        <f t="shared" si="60"/>
        <v/>
      </c>
      <c r="Q234" s="401" t="str" cm="1">
        <f t="array" ref="Q234">+_xlfn.IFS(O234="Nacional","CLP",O234="Extranjero","USD",O234="","")</f>
        <v/>
      </c>
      <c r="R234" s="399" t="str">
        <f>IFERROR(IF(O234="Nacional",VLOOKUP(P234,PRICING!$D$4:$E$59,2,FALSE),VLOOKUP(P234,PRICING!$J$4:$K$59,2,FALSE)),"")</f>
        <v/>
      </c>
      <c r="S234"/>
      <c r="V234" s="399">
        <f t="shared" si="61"/>
        <v>0</v>
      </c>
      <c r="W234" s="400">
        <f t="shared" si="62"/>
        <v>0</v>
      </c>
      <c r="X234" s="393" t="str">
        <f t="shared" si="63"/>
        <v/>
      </c>
      <c r="Y234" s="393" t="str">
        <f t="shared" si="64"/>
        <v/>
      </c>
      <c r="Z234" s="393" t="str">
        <f t="shared" si="65"/>
        <v/>
      </c>
      <c r="AA234" s="393" t="str">
        <f t="shared" si="66"/>
        <v/>
      </c>
      <c r="AB234" s="393" t="str">
        <f t="shared" si="67"/>
        <v/>
      </c>
      <c r="AC234" s="393" t="str">
        <f t="shared" si="68"/>
        <v/>
      </c>
      <c r="AD234" s="398" t="str">
        <f t="shared" si="69"/>
        <v/>
      </c>
      <c r="AF234" s="396" t="str">
        <f t="shared" si="70"/>
        <v/>
      </c>
      <c r="AH234" s="393" t="str">
        <f t="shared" si="71"/>
        <v/>
      </c>
      <c r="AI234" s="393" t="str">
        <f t="shared" si="72"/>
        <v/>
      </c>
      <c r="AJ234" s="393" t="str">
        <f t="shared" si="76"/>
        <v/>
      </c>
      <c r="AK234" s="393" t="str">
        <f t="shared" si="73"/>
        <v/>
      </c>
      <c r="AL234" s="398" t="str">
        <f t="shared" si="74"/>
        <v/>
      </c>
      <c r="AN234" s="396" t="str">
        <f t="shared" si="75"/>
        <v/>
      </c>
      <c r="AQ234" s="395"/>
      <c r="AR234" s="395"/>
    </row>
    <row r="235" spans="1:44" x14ac:dyDescent="0.2">
      <c r="A235" s="398" t="str">
        <f>IF(B235="","",CONCATENATE("GBL",B235," - ",Mantenedor!E235))</f>
        <v/>
      </c>
      <c r="J235" s="318"/>
      <c r="K235" s="312"/>
      <c r="M235" s="315"/>
      <c r="P235" s="398" t="str">
        <f t="shared" si="60"/>
        <v/>
      </c>
      <c r="Q235" s="401" t="str" cm="1">
        <f t="array" ref="Q235">+_xlfn.IFS(O235="Nacional","CLP",O235="Extranjero","USD",O235="","")</f>
        <v/>
      </c>
      <c r="R235" s="399" t="str">
        <f>IFERROR(IF(O235="Nacional",VLOOKUP(P235,PRICING!$D$4:$E$59,2,FALSE),VLOOKUP(P235,PRICING!$J$4:$K$59,2,FALSE)),"")</f>
        <v/>
      </c>
      <c r="S235"/>
      <c r="V235" s="399">
        <f t="shared" si="61"/>
        <v>0</v>
      </c>
      <c r="W235" s="400">
        <f t="shared" si="62"/>
        <v>0</v>
      </c>
      <c r="X235" s="393" t="str">
        <f t="shared" si="63"/>
        <v/>
      </c>
      <c r="Y235" s="393" t="str">
        <f t="shared" si="64"/>
        <v/>
      </c>
      <c r="Z235" s="393" t="str">
        <f t="shared" si="65"/>
        <v/>
      </c>
      <c r="AA235" s="393" t="str">
        <f t="shared" si="66"/>
        <v/>
      </c>
      <c r="AB235" s="393" t="str">
        <f t="shared" si="67"/>
        <v/>
      </c>
      <c r="AC235" s="393" t="str">
        <f t="shared" si="68"/>
        <v/>
      </c>
      <c r="AD235" s="398" t="str">
        <f t="shared" si="69"/>
        <v/>
      </c>
      <c r="AF235" s="396" t="str">
        <f t="shared" si="70"/>
        <v/>
      </c>
      <c r="AH235" s="393" t="str">
        <f t="shared" si="71"/>
        <v/>
      </c>
      <c r="AI235" s="393" t="str">
        <f t="shared" si="72"/>
        <v/>
      </c>
      <c r="AJ235" s="393" t="str">
        <f t="shared" si="76"/>
        <v/>
      </c>
      <c r="AK235" s="393" t="str">
        <f t="shared" si="73"/>
        <v/>
      </c>
      <c r="AL235" s="398" t="str">
        <f t="shared" si="74"/>
        <v/>
      </c>
      <c r="AN235" s="396" t="str">
        <f t="shared" si="75"/>
        <v/>
      </c>
      <c r="AQ235" s="395"/>
      <c r="AR235" s="395"/>
    </row>
    <row r="236" spans="1:44" x14ac:dyDescent="0.2">
      <c r="A236" s="398" t="str">
        <f>IF(B236="","",CONCATENATE("GBL",B236," - ",Mantenedor!E236))</f>
        <v/>
      </c>
      <c r="J236" s="318"/>
      <c r="K236" s="312"/>
      <c r="M236" s="315"/>
      <c r="P236" s="398" t="str">
        <f t="shared" si="60"/>
        <v/>
      </c>
      <c r="Q236" s="401" t="str" cm="1">
        <f t="array" ref="Q236">+_xlfn.IFS(O236="Nacional","CLP",O236="Extranjero","USD",O236="","")</f>
        <v/>
      </c>
      <c r="R236" s="399" t="str">
        <f>IFERROR(IF(O236="Nacional",VLOOKUP(P236,PRICING!$D$4:$E$59,2,FALSE),VLOOKUP(P236,PRICING!$J$4:$K$59,2,FALSE)),"")</f>
        <v/>
      </c>
      <c r="S236"/>
      <c r="V236" s="399">
        <f t="shared" si="61"/>
        <v>0</v>
      </c>
      <c r="W236" s="400">
        <f t="shared" si="62"/>
        <v>0</v>
      </c>
      <c r="X236" s="393" t="str">
        <f t="shared" si="63"/>
        <v/>
      </c>
      <c r="Y236" s="393" t="str">
        <f t="shared" si="64"/>
        <v/>
      </c>
      <c r="Z236" s="393" t="str">
        <f t="shared" si="65"/>
        <v/>
      </c>
      <c r="AA236" s="393" t="str">
        <f t="shared" si="66"/>
        <v/>
      </c>
      <c r="AB236" s="393" t="str">
        <f t="shared" si="67"/>
        <v/>
      </c>
      <c r="AC236" s="393" t="str">
        <f t="shared" si="68"/>
        <v/>
      </c>
      <c r="AD236" s="398" t="str">
        <f t="shared" si="69"/>
        <v/>
      </c>
      <c r="AF236" s="396" t="str">
        <f t="shared" si="70"/>
        <v/>
      </c>
      <c r="AH236" s="393" t="str">
        <f t="shared" si="71"/>
        <v/>
      </c>
      <c r="AI236" s="393" t="str">
        <f t="shared" si="72"/>
        <v/>
      </c>
      <c r="AJ236" s="393" t="str">
        <f t="shared" si="76"/>
        <v/>
      </c>
      <c r="AK236" s="393" t="str">
        <f t="shared" si="73"/>
        <v/>
      </c>
      <c r="AL236" s="398" t="str">
        <f t="shared" si="74"/>
        <v/>
      </c>
      <c r="AN236" s="396" t="str">
        <f t="shared" si="75"/>
        <v/>
      </c>
      <c r="AQ236" s="395"/>
      <c r="AR236" s="395"/>
    </row>
    <row r="237" spans="1:44" x14ac:dyDescent="0.2">
      <c r="A237" s="398" t="str">
        <f>IF(B237="","",CONCATENATE("GBL",B237," - ",Mantenedor!E237))</f>
        <v/>
      </c>
      <c r="J237" s="318"/>
      <c r="K237" s="312"/>
      <c r="M237" s="315"/>
      <c r="P237" s="398" t="str">
        <f t="shared" si="60"/>
        <v/>
      </c>
      <c r="Q237" s="401" t="str" cm="1">
        <f t="array" ref="Q237">+_xlfn.IFS(O237="Nacional","CLP",O237="Extranjero","USD",O237="","")</f>
        <v/>
      </c>
      <c r="R237" s="399" t="str">
        <f>IFERROR(IF(O237="Nacional",VLOOKUP(P237,PRICING!$D$4:$E$59,2,FALSE),VLOOKUP(P237,PRICING!$J$4:$K$59,2,FALSE)),"")</f>
        <v/>
      </c>
      <c r="S237"/>
      <c r="V237" s="399">
        <f t="shared" si="61"/>
        <v>0</v>
      </c>
      <c r="W237" s="400">
        <f t="shared" si="62"/>
        <v>0</v>
      </c>
      <c r="X237" s="393" t="str">
        <f t="shared" si="63"/>
        <v/>
      </c>
      <c r="Y237" s="393" t="str">
        <f t="shared" si="64"/>
        <v/>
      </c>
      <c r="Z237" s="393" t="str">
        <f t="shared" si="65"/>
        <v/>
      </c>
      <c r="AA237" s="393" t="str">
        <f t="shared" si="66"/>
        <v/>
      </c>
      <c r="AB237" s="393" t="str">
        <f t="shared" si="67"/>
        <v/>
      </c>
      <c r="AC237" s="393" t="str">
        <f t="shared" si="68"/>
        <v/>
      </c>
      <c r="AD237" s="398" t="str">
        <f t="shared" si="69"/>
        <v/>
      </c>
      <c r="AF237" s="396" t="str">
        <f t="shared" si="70"/>
        <v/>
      </c>
      <c r="AH237" s="393" t="str">
        <f t="shared" si="71"/>
        <v/>
      </c>
      <c r="AI237" s="393" t="str">
        <f t="shared" si="72"/>
        <v/>
      </c>
      <c r="AJ237" s="393" t="str">
        <f t="shared" si="76"/>
        <v/>
      </c>
      <c r="AK237" s="393" t="str">
        <f t="shared" si="73"/>
        <v/>
      </c>
      <c r="AL237" s="398" t="str">
        <f t="shared" si="74"/>
        <v/>
      </c>
      <c r="AN237" s="396" t="str">
        <f t="shared" si="75"/>
        <v/>
      </c>
      <c r="AQ237" s="395"/>
      <c r="AR237" s="395"/>
    </row>
    <row r="238" spans="1:44" x14ac:dyDescent="0.2">
      <c r="A238" s="398" t="str">
        <f>IF(B238="","",CONCATENATE("GBL",B238," - ",Mantenedor!E238))</f>
        <v/>
      </c>
      <c r="J238" s="318"/>
      <c r="K238" s="312"/>
      <c r="M238" s="315"/>
      <c r="P238" s="398" t="str">
        <f t="shared" si="60"/>
        <v/>
      </c>
      <c r="Q238" s="401" t="str" cm="1">
        <f t="array" ref="Q238">+_xlfn.IFS(O238="Nacional","CLP",O238="Extranjero","USD",O238="","")</f>
        <v/>
      </c>
      <c r="R238" s="399" t="str">
        <f>IFERROR(IF(O238="Nacional",VLOOKUP(P238,PRICING!$D$4:$E$59,2,FALSE),VLOOKUP(P238,PRICING!$J$4:$K$59,2,FALSE)),"")</f>
        <v/>
      </c>
      <c r="S238"/>
      <c r="V238" s="399">
        <f t="shared" si="61"/>
        <v>0</v>
      </c>
      <c r="W238" s="400">
        <f t="shared" si="62"/>
        <v>0</v>
      </c>
      <c r="X238" s="393" t="str">
        <f t="shared" si="63"/>
        <v/>
      </c>
      <c r="Y238" s="393" t="str">
        <f t="shared" si="64"/>
        <v/>
      </c>
      <c r="Z238" s="393" t="str">
        <f t="shared" si="65"/>
        <v/>
      </c>
      <c r="AA238" s="393" t="str">
        <f t="shared" si="66"/>
        <v/>
      </c>
      <c r="AB238" s="393" t="str">
        <f t="shared" si="67"/>
        <v/>
      </c>
      <c r="AC238" s="393" t="str">
        <f t="shared" si="68"/>
        <v/>
      </c>
      <c r="AD238" s="398" t="str">
        <f t="shared" si="69"/>
        <v/>
      </c>
      <c r="AF238" s="396" t="str">
        <f t="shared" si="70"/>
        <v/>
      </c>
      <c r="AH238" s="393" t="str">
        <f t="shared" si="71"/>
        <v/>
      </c>
      <c r="AI238" s="393" t="str">
        <f t="shared" si="72"/>
        <v/>
      </c>
      <c r="AJ238" s="393" t="str">
        <f t="shared" si="76"/>
        <v/>
      </c>
      <c r="AK238" s="393" t="str">
        <f t="shared" si="73"/>
        <v/>
      </c>
      <c r="AL238" s="398" t="str">
        <f t="shared" si="74"/>
        <v/>
      </c>
      <c r="AN238" s="396" t="str">
        <f t="shared" si="75"/>
        <v/>
      </c>
      <c r="AQ238" s="395"/>
      <c r="AR238" s="395"/>
    </row>
    <row r="239" spans="1:44" x14ac:dyDescent="0.2">
      <c r="A239" s="398" t="str">
        <f>IF(B239="","",CONCATENATE("GBL",B239," - ",Mantenedor!E239))</f>
        <v/>
      </c>
      <c r="J239" s="318"/>
      <c r="K239" s="312"/>
      <c r="M239" s="315"/>
      <c r="P239" s="398" t="str">
        <f t="shared" si="60"/>
        <v/>
      </c>
      <c r="Q239" s="401" t="str" cm="1">
        <f t="array" ref="Q239">+_xlfn.IFS(O239="Nacional","CLP",O239="Extranjero","USD",O239="","")</f>
        <v/>
      </c>
      <c r="R239" s="399" t="str">
        <f>IFERROR(IF(O239="Nacional",VLOOKUP(P239,PRICING!$D$4:$E$59,2,FALSE),VLOOKUP(P239,PRICING!$J$4:$K$59,2,FALSE)),"")</f>
        <v/>
      </c>
      <c r="S239"/>
      <c r="V239" s="399">
        <f t="shared" si="61"/>
        <v>0</v>
      </c>
      <c r="W239" s="400">
        <f t="shared" si="62"/>
        <v>0</v>
      </c>
      <c r="X239" s="393" t="str">
        <f t="shared" si="63"/>
        <v/>
      </c>
      <c r="Y239" s="393" t="str">
        <f t="shared" si="64"/>
        <v/>
      </c>
      <c r="Z239" s="393" t="str">
        <f t="shared" si="65"/>
        <v/>
      </c>
      <c r="AA239" s="393" t="str">
        <f t="shared" si="66"/>
        <v/>
      </c>
      <c r="AB239" s="393" t="str">
        <f t="shared" si="67"/>
        <v/>
      </c>
      <c r="AC239" s="393" t="str">
        <f t="shared" si="68"/>
        <v/>
      </c>
      <c r="AD239" s="398" t="str">
        <f t="shared" si="69"/>
        <v/>
      </c>
      <c r="AF239" s="396" t="str">
        <f t="shared" si="70"/>
        <v/>
      </c>
      <c r="AH239" s="393" t="str">
        <f t="shared" si="71"/>
        <v/>
      </c>
      <c r="AI239" s="393" t="str">
        <f t="shared" si="72"/>
        <v/>
      </c>
      <c r="AJ239" s="393" t="str">
        <f t="shared" si="76"/>
        <v/>
      </c>
      <c r="AK239" s="393" t="str">
        <f t="shared" si="73"/>
        <v/>
      </c>
      <c r="AL239" s="398" t="str">
        <f t="shared" si="74"/>
        <v/>
      </c>
      <c r="AN239" s="396" t="str">
        <f t="shared" si="75"/>
        <v/>
      </c>
      <c r="AQ239" s="395"/>
      <c r="AR239" s="395"/>
    </row>
    <row r="240" spans="1:44" x14ac:dyDescent="0.2">
      <c r="A240" s="398" t="str">
        <f>IF(B240="","",CONCATENATE("GBL",B240," - ",Mantenedor!E240))</f>
        <v/>
      </c>
      <c r="J240" s="318"/>
      <c r="K240" s="312"/>
      <c r="M240" s="315"/>
      <c r="P240" s="398" t="str">
        <f t="shared" si="60"/>
        <v/>
      </c>
      <c r="Q240" s="401" t="str" cm="1">
        <f t="array" ref="Q240">+_xlfn.IFS(O240="Nacional","CLP",O240="Extranjero","USD",O240="","")</f>
        <v/>
      </c>
      <c r="R240" s="399" t="str">
        <f>IFERROR(IF(O240="Nacional",VLOOKUP(P240,PRICING!$D$4:$E$59,2,FALSE),VLOOKUP(P240,PRICING!$J$4:$K$59,2,FALSE)),"")</f>
        <v/>
      </c>
      <c r="S240"/>
      <c r="V240" s="399">
        <f t="shared" si="61"/>
        <v>0</v>
      </c>
      <c r="W240" s="400">
        <f t="shared" si="62"/>
        <v>0</v>
      </c>
      <c r="X240" s="393" t="str">
        <f t="shared" si="63"/>
        <v/>
      </c>
      <c r="Y240" s="393" t="str">
        <f t="shared" si="64"/>
        <v/>
      </c>
      <c r="Z240" s="393" t="str">
        <f t="shared" si="65"/>
        <v/>
      </c>
      <c r="AA240" s="393" t="str">
        <f t="shared" si="66"/>
        <v/>
      </c>
      <c r="AB240" s="393" t="str">
        <f t="shared" si="67"/>
        <v/>
      </c>
      <c r="AC240" s="393" t="str">
        <f t="shared" si="68"/>
        <v/>
      </c>
      <c r="AD240" s="398" t="str">
        <f t="shared" si="69"/>
        <v/>
      </c>
      <c r="AF240" s="396" t="str">
        <f t="shared" si="70"/>
        <v/>
      </c>
      <c r="AH240" s="393" t="str">
        <f t="shared" si="71"/>
        <v/>
      </c>
      <c r="AI240" s="393" t="str">
        <f t="shared" si="72"/>
        <v/>
      </c>
      <c r="AJ240" s="393" t="str">
        <f t="shared" si="76"/>
        <v/>
      </c>
      <c r="AK240" s="393" t="str">
        <f t="shared" si="73"/>
        <v/>
      </c>
      <c r="AL240" s="398" t="str">
        <f t="shared" si="74"/>
        <v/>
      </c>
      <c r="AN240" s="396" t="str">
        <f t="shared" si="75"/>
        <v/>
      </c>
      <c r="AQ240" s="395"/>
      <c r="AR240" s="395"/>
    </row>
    <row r="241" spans="1:44" x14ac:dyDescent="0.2">
      <c r="A241" s="398" t="str">
        <f>IF(B241="","",CONCATENATE("GBL",B241," - ",Mantenedor!E241))</f>
        <v/>
      </c>
      <c r="J241" s="318"/>
      <c r="K241" s="312"/>
      <c r="M241" s="315"/>
      <c r="P241" s="398" t="str">
        <f t="shared" si="60"/>
        <v/>
      </c>
      <c r="Q241" s="401" t="str" cm="1">
        <f t="array" ref="Q241">+_xlfn.IFS(O241="Nacional","CLP",O241="Extranjero","USD",O241="","")</f>
        <v/>
      </c>
      <c r="R241" s="399" t="str">
        <f>IFERROR(IF(O241="Nacional",VLOOKUP(P241,PRICING!$D$4:$E$59,2,FALSE),VLOOKUP(P241,PRICING!$J$4:$K$59,2,FALSE)),"")</f>
        <v/>
      </c>
      <c r="S241"/>
      <c r="V241" s="399">
        <f t="shared" si="61"/>
        <v>0</v>
      </c>
      <c r="W241" s="400">
        <f t="shared" si="62"/>
        <v>0</v>
      </c>
      <c r="X241" s="393" t="str">
        <f t="shared" si="63"/>
        <v/>
      </c>
      <c r="Y241" s="393" t="str">
        <f t="shared" si="64"/>
        <v/>
      </c>
      <c r="Z241" s="393" t="str">
        <f t="shared" si="65"/>
        <v/>
      </c>
      <c r="AA241" s="393" t="str">
        <f t="shared" si="66"/>
        <v/>
      </c>
      <c r="AB241" s="393" t="str">
        <f t="shared" si="67"/>
        <v/>
      </c>
      <c r="AC241" s="393" t="str">
        <f t="shared" si="68"/>
        <v/>
      </c>
      <c r="AD241" s="398" t="str">
        <f t="shared" si="69"/>
        <v/>
      </c>
      <c r="AF241" s="396" t="str">
        <f t="shared" si="70"/>
        <v/>
      </c>
      <c r="AH241" s="393" t="str">
        <f t="shared" si="71"/>
        <v/>
      </c>
      <c r="AI241" s="393" t="str">
        <f t="shared" si="72"/>
        <v/>
      </c>
      <c r="AJ241" s="393" t="str">
        <f t="shared" si="76"/>
        <v/>
      </c>
      <c r="AK241" s="393" t="str">
        <f t="shared" si="73"/>
        <v/>
      </c>
      <c r="AL241" s="398" t="str">
        <f t="shared" si="74"/>
        <v/>
      </c>
      <c r="AN241" s="396" t="str">
        <f t="shared" si="75"/>
        <v/>
      </c>
      <c r="AQ241" s="395"/>
      <c r="AR241" s="395"/>
    </row>
    <row r="242" spans="1:44" x14ac:dyDescent="0.2">
      <c r="A242" s="398" t="str">
        <f>IF(B242="","",CONCATENATE("GBL",B242," - ",Mantenedor!E242))</f>
        <v/>
      </c>
      <c r="J242" s="318"/>
      <c r="K242" s="312"/>
      <c r="M242" s="315"/>
      <c r="P242" s="398" t="str">
        <f t="shared" si="60"/>
        <v/>
      </c>
      <c r="Q242" s="401" t="str" cm="1">
        <f t="array" ref="Q242">+_xlfn.IFS(O242="Nacional","CLP",O242="Extranjero","USD",O242="","")</f>
        <v/>
      </c>
      <c r="R242" s="399" t="str">
        <f>IFERROR(IF(O242="Nacional",VLOOKUP(P242,PRICING!$D$4:$E$59,2,FALSE),VLOOKUP(P242,PRICING!$J$4:$K$59,2,FALSE)),"")</f>
        <v/>
      </c>
      <c r="S242"/>
      <c r="V242" s="399">
        <f t="shared" si="61"/>
        <v>0</v>
      </c>
      <c r="W242" s="400">
        <f t="shared" si="62"/>
        <v>0</v>
      </c>
      <c r="X242" s="393" t="str">
        <f t="shared" si="63"/>
        <v/>
      </c>
      <c r="Y242" s="393" t="str">
        <f t="shared" si="64"/>
        <v/>
      </c>
      <c r="Z242" s="393" t="str">
        <f t="shared" si="65"/>
        <v/>
      </c>
      <c r="AA242" s="393" t="str">
        <f t="shared" si="66"/>
        <v/>
      </c>
      <c r="AB242" s="393" t="str">
        <f t="shared" si="67"/>
        <v/>
      </c>
      <c r="AC242" s="393" t="str">
        <f t="shared" si="68"/>
        <v/>
      </c>
      <c r="AD242" s="398" t="str">
        <f t="shared" si="69"/>
        <v/>
      </c>
      <c r="AF242" s="396" t="str">
        <f t="shared" si="70"/>
        <v/>
      </c>
      <c r="AH242" s="393" t="str">
        <f t="shared" si="71"/>
        <v/>
      </c>
      <c r="AI242" s="393" t="str">
        <f t="shared" si="72"/>
        <v/>
      </c>
      <c r="AJ242" s="393" t="str">
        <f t="shared" si="76"/>
        <v/>
      </c>
      <c r="AK242" s="393" t="str">
        <f t="shared" si="73"/>
        <v/>
      </c>
      <c r="AL242" s="398" t="str">
        <f t="shared" si="74"/>
        <v/>
      </c>
      <c r="AN242" s="396" t="str">
        <f t="shared" si="75"/>
        <v/>
      </c>
      <c r="AQ242" s="395"/>
      <c r="AR242" s="395"/>
    </row>
    <row r="243" spans="1:44" x14ac:dyDescent="0.2">
      <c r="A243" s="398" t="str">
        <f>IF(B243="","",CONCATENATE("GBL",B243," - ",Mantenedor!E243))</f>
        <v/>
      </c>
      <c r="J243" s="318"/>
      <c r="K243" s="312"/>
      <c r="M243" s="315"/>
      <c r="P243" s="398" t="str">
        <f t="shared" si="60"/>
        <v/>
      </c>
      <c r="Q243" s="401" t="str" cm="1">
        <f t="array" ref="Q243">+_xlfn.IFS(O243="Nacional","CLP",O243="Extranjero","USD",O243="","")</f>
        <v/>
      </c>
      <c r="R243" s="399" t="str">
        <f>IFERROR(IF(O243="Nacional",VLOOKUP(P243,PRICING!$D$4:$E$59,2,FALSE),VLOOKUP(P243,PRICING!$J$4:$K$59,2,FALSE)),"")</f>
        <v/>
      </c>
      <c r="S243"/>
      <c r="V243" s="399">
        <f t="shared" si="61"/>
        <v>0</v>
      </c>
      <c r="W243" s="400">
        <f t="shared" si="62"/>
        <v>0</v>
      </c>
      <c r="X243" s="393" t="str">
        <f t="shared" si="63"/>
        <v/>
      </c>
      <c r="Y243" s="393" t="str">
        <f t="shared" si="64"/>
        <v/>
      </c>
      <c r="Z243" s="393" t="str">
        <f t="shared" si="65"/>
        <v/>
      </c>
      <c r="AA243" s="393" t="str">
        <f t="shared" si="66"/>
        <v/>
      </c>
      <c r="AB243" s="393" t="str">
        <f t="shared" si="67"/>
        <v/>
      </c>
      <c r="AC243" s="393" t="str">
        <f t="shared" si="68"/>
        <v/>
      </c>
      <c r="AD243" s="398" t="str">
        <f t="shared" si="69"/>
        <v/>
      </c>
      <c r="AF243" s="396" t="str">
        <f t="shared" si="70"/>
        <v/>
      </c>
      <c r="AH243" s="393" t="str">
        <f t="shared" si="71"/>
        <v/>
      </c>
      <c r="AI243" s="393" t="str">
        <f t="shared" si="72"/>
        <v/>
      </c>
      <c r="AJ243" s="393" t="str">
        <f t="shared" si="76"/>
        <v/>
      </c>
      <c r="AK243" s="393" t="str">
        <f t="shared" si="73"/>
        <v/>
      </c>
      <c r="AL243" s="398" t="str">
        <f t="shared" si="74"/>
        <v/>
      </c>
      <c r="AN243" s="396" t="str">
        <f t="shared" si="75"/>
        <v/>
      </c>
      <c r="AQ243" s="395"/>
      <c r="AR243" s="395"/>
    </row>
    <row r="244" spans="1:44" x14ac:dyDescent="0.2">
      <c r="A244" s="398" t="str">
        <f>IF(B244="","",CONCATENATE("GBL",B244," - ",Mantenedor!E244))</f>
        <v/>
      </c>
      <c r="J244" s="318"/>
      <c r="K244" s="312"/>
      <c r="M244" s="315"/>
      <c r="P244" s="398" t="str">
        <f t="shared" si="60"/>
        <v/>
      </c>
      <c r="Q244" s="401" t="str" cm="1">
        <f t="array" ref="Q244">+_xlfn.IFS(O244="Nacional","CLP",O244="Extranjero","USD",O244="","")</f>
        <v/>
      </c>
      <c r="R244" s="399" t="str">
        <f>IFERROR(IF(O244="Nacional",VLOOKUP(P244,PRICING!$D$4:$E$59,2,FALSE),VLOOKUP(P244,PRICING!$J$4:$K$59,2,FALSE)),"")</f>
        <v/>
      </c>
      <c r="S244"/>
      <c r="V244" s="399">
        <f t="shared" si="61"/>
        <v>0</v>
      </c>
      <c r="W244" s="400">
        <f t="shared" si="62"/>
        <v>0</v>
      </c>
      <c r="X244" s="393" t="str">
        <f t="shared" si="63"/>
        <v/>
      </c>
      <c r="Y244" s="393" t="str">
        <f t="shared" si="64"/>
        <v/>
      </c>
      <c r="Z244" s="393" t="str">
        <f t="shared" si="65"/>
        <v/>
      </c>
      <c r="AA244" s="393" t="str">
        <f t="shared" si="66"/>
        <v/>
      </c>
      <c r="AB244" s="393" t="str">
        <f t="shared" si="67"/>
        <v/>
      </c>
      <c r="AC244" s="393" t="str">
        <f t="shared" si="68"/>
        <v/>
      </c>
      <c r="AD244" s="398" t="str">
        <f t="shared" si="69"/>
        <v/>
      </c>
      <c r="AF244" s="396" t="str">
        <f t="shared" si="70"/>
        <v/>
      </c>
      <c r="AH244" s="393" t="str">
        <f t="shared" si="71"/>
        <v/>
      </c>
      <c r="AI244" s="393" t="str">
        <f t="shared" si="72"/>
        <v/>
      </c>
      <c r="AJ244" s="393" t="str">
        <f t="shared" si="76"/>
        <v/>
      </c>
      <c r="AK244" s="393" t="str">
        <f t="shared" si="73"/>
        <v/>
      </c>
      <c r="AL244" s="398" t="str">
        <f t="shared" si="74"/>
        <v/>
      </c>
      <c r="AN244" s="396" t="str">
        <f t="shared" si="75"/>
        <v/>
      </c>
      <c r="AQ244" s="395"/>
      <c r="AR244" s="395"/>
    </row>
    <row r="245" spans="1:44" x14ac:dyDescent="0.2">
      <c r="A245" s="398" t="str">
        <f>IF(B245="","",CONCATENATE("GBL",B245," - ",Mantenedor!E245))</f>
        <v/>
      </c>
      <c r="J245" s="318"/>
      <c r="K245" s="312"/>
      <c r="M245" s="315"/>
      <c r="P245" s="398" t="str">
        <f t="shared" si="60"/>
        <v/>
      </c>
      <c r="Q245" s="401" t="str" cm="1">
        <f t="array" ref="Q245">+_xlfn.IFS(O245="Nacional","CLP",O245="Extranjero","USD",O245="","")</f>
        <v/>
      </c>
      <c r="R245" s="399" t="str">
        <f>IFERROR(IF(O245="Nacional",VLOOKUP(P245,PRICING!$D$4:$E$59,2,FALSE),VLOOKUP(P245,PRICING!$J$4:$K$59,2,FALSE)),"")</f>
        <v/>
      </c>
      <c r="S245"/>
      <c r="V245" s="399">
        <f t="shared" si="61"/>
        <v>0</v>
      </c>
      <c r="W245" s="400">
        <f t="shared" si="62"/>
        <v>0</v>
      </c>
      <c r="X245" s="393" t="str">
        <f t="shared" si="63"/>
        <v/>
      </c>
      <c r="Y245" s="393" t="str">
        <f t="shared" si="64"/>
        <v/>
      </c>
      <c r="Z245" s="393" t="str">
        <f t="shared" si="65"/>
        <v/>
      </c>
      <c r="AA245" s="393" t="str">
        <f t="shared" si="66"/>
        <v/>
      </c>
      <c r="AB245" s="393" t="str">
        <f t="shared" si="67"/>
        <v/>
      </c>
      <c r="AC245" s="393" t="str">
        <f t="shared" si="68"/>
        <v/>
      </c>
      <c r="AD245" s="398" t="str">
        <f t="shared" si="69"/>
        <v/>
      </c>
      <c r="AF245" s="396" t="str">
        <f t="shared" si="70"/>
        <v/>
      </c>
      <c r="AH245" s="393" t="str">
        <f t="shared" si="71"/>
        <v/>
      </c>
      <c r="AI245" s="393" t="str">
        <f t="shared" si="72"/>
        <v/>
      </c>
      <c r="AJ245" s="393" t="str">
        <f t="shared" si="76"/>
        <v/>
      </c>
      <c r="AK245" s="393" t="str">
        <f t="shared" si="73"/>
        <v/>
      </c>
      <c r="AL245" s="398" t="str">
        <f t="shared" si="74"/>
        <v/>
      </c>
      <c r="AN245" s="396" t="str">
        <f t="shared" si="75"/>
        <v/>
      </c>
      <c r="AQ245" s="395"/>
      <c r="AR245" s="395"/>
    </row>
    <row r="246" spans="1:44" x14ac:dyDescent="0.2">
      <c r="A246" s="398" t="str">
        <f>IF(B246="","",CONCATENATE("GBL",B246," - ",Mantenedor!E246))</f>
        <v/>
      </c>
      <c r="J246" s="318"/>
      <c r="K246" s="312"/>
      <c r="M246" s="315"/>
      <c r="P246" s="398" t="str">
        <f t="shared" si="60"/>
        <v/>
      </c>
      <c r="Q246" s="401" t="str" cm="1">
        <f t="array" ref="Q246">+_xlfn.IFS(O246="Nacional","CLP",O246="Extranjero","USD",O246="","")</f>
        <v/>
      </c>
      <c r="R246" s="399" t="str">
        <f>IFERROR(IF(O246="Nacional",VLOOKUP(P246,PRICING!$D$4:$E$59,2,FALSE),VLOOKUP(P246,PRICING!$J$4:$K$59,2,FALSE)),"")</f>
        <v/>
      </c>
      <c r="S246"/>
      <c r="V246" s="399">
        <f t="shared" si="61"/>
        <v>0</v>
      </c>
      <c r="W246" s="400">
        <f t="shared" si="62"/>
        <v>0</v>
      </c>
      <c r="X246" s="393" t="str">
        <f t="shared" si="63"/>
        <v/>
      </c>
      <c r="Y246" s="393" t="str">
        <f t="shared" si="64"/>
        <v/>
      </c>
      <c r="Z246" s="393" t="str">
        <f t="shared" si="65"/>
        <v/>
      </c>
      <c r="AA246" s="393" t="str">
        <f t="shared" si="66"/>
        <v/>
      </c>
      <c r="AB246" s="393" t="str">
        <f t="shared" si="67"/>
        <v/>
      </c>
      <c r="AC246" s="393" t="str">
        <f t="shared" si="68"/>
        <v/>
      </c>
      <c r="AD246" s="398" t="str">
        <f t="shared" si="69"/>
        <v/>
      </c>
      <c r="AF246" s="396" t="str">
        <f t="shared" si="70"/>
        <v/>
      </c>
      <c r="AH246" s="393" t="str">
        <f t="shared" si="71"/>
        <v/>
      </c>
      <c r="AI246" s="393" t="str">
        <f t="shared" si="72"/>
        <v/>
      </c>
      <c r="AJ246" s="393" t="str">
        <f t="shared" si="76"/>
        <v/>
      </c>
      <c r="AK246" s="393" t="str">
        <f t="shared" si="73"/>
        <v/>
      </c>
      <c r="AL246" s="398" t="str">
        <f t="shared" si="74"/>
        <v/>
      </c>
      <c r="AN246" s="396" t="str">
        <f t="shared" si="75"/>
        <v/>
      </c>
      <c r="AQ246" s="395"/>
      <c r="AR246" s="395"/>
    </row>
    <row r="247" spans="1:44" x14ac:dyDescent="0.2">
      <c r="A247" s="398" t="str">
        <f>IF(B247="","",CONCATENATE("GBL",B247," - ",Mantenedor!E247))</f>
        <v/>
      </c>
      <c r="J247" s="318"/>
      <c r="K247" s="312"/>
      <c r="M247" s="315"/>
      <c r="P247" s="398" t="str">
        <f t="shared" si="60"/>
        <v/>
      </c>
      <c r="Q247" s="401" t="str" cm="1">
        <f t="array" ref="Q247">+_xlfn.IFS(O247="Nacional","CLP",O247="Extranjero","USD",O247="","")</f>
        <v/>
      </c>
      <c r="R247" s="399" t="str">
        <f>IFERROR(IF(O247="Nacional",VLOOKUP(P247,PRICING!$D$4:$E$59,2,FALSE),VLOOKUP(P247,PRICING!$J$4:$K$59,2,FALSE)),"")</f>
        <v/>
      </c>
      <c r="S247"/>
      <c r="V247" s="399">
        <f t="shared" si="61"/>
        <v>0</v>
      </c>
      <c r="W247" s="400">
        <f t="shared" si="62"/>
        <v>0</v>
      </c>
      <c r="X247" s="393" t="str">
        <f t="shared" si="63"/>
        <v/>
      </c>
      <c r="Y247" s="393" t="str">
        <f t="shared" si="64"/>
        <v/>
      </c>
      <c r="Z247" s="393" t="str">
        <f t="shared" si="65"/>
        <v/>
      </c>
      <c r="AA247" s="393" t="str">
        <f t="shared" si="66"/>
        <v/>
      </c>
      <c r="AB247" s="393" t="str">
        <f t="shared" si="67"/>
        <v/>
      </c>
      <c r="AC247" s="393" t="str">
        <f t="shared" si="68"/>
        <v/>
      </c>
      <c r="AD247" s="398" t="str">
        <f t="shared" si="69"/>
        <v/>
      </c>
      <c r="AF247" s="396" t="str">
        <f t="shared" si="70"/>
        <v/>
      </c>
      <c r="AH247" s="393" t="str">
        <f t="shared" si="71"/>
        <v/>
      </c>
      <c r="AI247" s="393" t="str">
        <f t="shared" si="72"/>
        <v/>
      </c>
      <c r="AJ247" s="393" t="str">
        <f t="shared" si="76"/>
        <v/>
      </c>
      <c r="AK247" s="393" t="str">
        <f t="shared" si="73"/>
        <v/>
      </c>
      <c r="AL247" s="398" t="str">
        <f t="shared" si="74"/>
        <v/>
      </c>
      <c r="AN247" s="396" t="str">
        <f t="shared" si="75"/>
        <v/>
      </c>
      <c r="AQ247" s="395"/>
      <c r="AR247" s="395"/>
    </row>
    <row r="248" spans="1:44" x14ac:dyDescent="0.2">
      <c r="A248" s="398" t="str">
        <f>IF(B248="","",CONCATENATE("GBL",B248," - ",Mantenedor!E248))</f>
        <v/>
      </c>
      <c r="J248" s="318"/>
      <c r="K248" s="312"/>
      <c r="M248" s="315"/>
      <c r="P248" s="398" t="str">
        <f t="shared" si="60"/>
        <v/>
      </c>
      <c r="Q248" s="401" t="str" cm="1">
        <f t="array" ref="Q248">+_xlfn.IFS(O248="Nacional","CLP",O248="Extranjero","USD",O248="","")</f>
        <v/>
      </c>
      <c r="R248" s="399" t="str">
        <f>IFERROR(IF(O248="Nacional",VLOOKUP(P248,PRICING!$D$4:$E$59,2,FALSE),VLOOKUP(P248,PRICING!$J$4:$K$59,2,FALSE)),"")</f>
        <v/>
      </c>
      <c r="S248"/>
      <c r="V248" s="399">
        <f t="shared" si="61"/>
        <v>0</v>
      </c>
      <c r="W248" s="400">
        <f t="shared" si="62"/>
        <v>0</v>
      </c>
      <c r="X248" s="393" t="str">
        <f t="shared" si="63"/>
        <v/>
      </c>
      <c r="Y248" s="393" t="str">
        <f t="shared" si="64"/>
        <v/>
      </c>
      <c r="Z248" s="393" t="str">
        <f t="shared" si="65"/>
        <v/>
      </c>
      <c r="AA248" s="393" t="str">
        <f t="shared" si="66"/>
        <v/>
      </c>
      <c r="AB248" s="393" t="str">
        <f t="shared" si="67"/>
        <v/>
      </c>
      <c r="AC248" s="393" t="str">
        <f t="shared" si="68"/>
        <v/>
      </c>
      <c r="AD248" s="398" t="str">
        <f t="shared" si="69"/>
        <v/>
      </c>
      <c r="AF248" s="396" t="str">
        <f t="shared" si="70"/>
        <v/>
      </c>
      <c r="AH248" s="393" t="str">
        <f t="shared" si="71"/>
        <v/>
      </c>
      <c r="AI248" s="393" t="str">
        <f t="shared" si="72"/>
        <v/>
      </c>
      <c r="AJ248" s="393" t="str">
        <f t="shared" si="76"/>
        <v/>
      </c>
      <c r="AK248" s="393" t="str">
        <f t="shared" si="73"/>
        <v/>
      </c>
      <c r="AL248" s="398" t="str">
        <f t="shared" si="74"/>
        <v/>
      </c>
      <c r="AN248" s="396" t="str">
        <f t="shared" si="75"/>
        <v/>
      </c>
      <c r="AQ248" s="395"/>
      <c r="AR248" s="395"/>
    </row>
    <row r="249" spans="1:44" x14ac:dyDescent="0.2">
      <c r="A249" s="398" t="str">
        <f>IF(B249="","",CONCATENATE("GBL",B249," - ",Mantenedor!E249))</f>
        <v/>
      </c>
      <c r="J249" s="318"/>
      <c r="K249" s="312"/>
      <c r="M249" s="315"/>
      <c r="P249" s="398" t="str">
        <f t="shared" si="60"/>
        <v/>
      </c>
      <c r="Q249" s="401" t="str" cm="1">
        <f t="array" ref="Q249">+_xlfn.IFS(O249="Nacional","CLP",O249="Extranjero","USD",O249="","")</f>
        <v/>
      </c>
      <c r="R249" s="399" t="str">
        <f>IFERROR(IF(O249="Nacional",VLOOKUP(P249,PRICING!$D$4:$E$59,2,FALSE),VLOOKUP(P249,PRICING!$J$4:$K$59,2,FALSE)),"")</f>
        <v/>
      </c>
      <c r="S249"/>
      <c r="V249" s="399">
        <f t="shared" si="61"/>
        <v>0</v>
      </c>
      <c r="W249" s="400">
        <f t="shared" si="62"/>
        <v>0</v>
      </c>
      <c r="X249" s="393" t="str">
        <f t="shared" si="63"/>
        <v/>
      </c>
      <c r="Y249" s="393" t="str">
        <f t="shared" si="64"/>
        <v/>
      </c>
      <c r="Z249" s="393" t="str">
        <f t="shared" si="65"/>
        <v/>
      </c>
      <c r="AA249" s="393" t="str">
        <f t="shared" si="66"/>
        <v/>
      </c>
      <c r="AB249" s="393" t="str">
        <f t="shared" si="67"/>
        <v/>
      </c>
      <c r="AC249" s="393" t="str">
        <f t="shared" si="68"/>
        <v/>
      </c>
      <c r="AD249" s="398" t="str">
        <f t="shared" si="69"/>
        <v/>
      </c>
      <c r="AF249" s="396" t="str">
        <f t="shared" si="70"/>
        <v/>
      </c>
      <c r="AH249" s="393" t="str">
        <f t="shared" si="71"/>
        <v/>
      </c>
      <c r="AI249" s="393" t="str">
        <f t="shared" si="72"/>
        <v/>
      </c>
      <c r="AJ249" s="393" t="str">
        <f t="shared" si="76"/>
        <v/>
      </c>
      <c r="AK249" s="393" t="str">
        <f t="shared" si="73"/>
        <v/>
      </c>
      <c r="AL249" s="398" t="str">
        <f t="shared" si="74"/>
        <v/>
      </c>
      <c r="AN249" s="396" t="str">
        <f t="shared" si="75"/>
        <v/>
      </c>
      <c r="AQ249" s="395"/>
      <c r="AR249" s="395"/>
    </row>
    <row r="250" spans="1:44" x14ac:dyDescent="0.2">
      <c r="A250" s="398" t="str">
        <f>IF(B250="","",CONCATENATE("GBL",B250," - ",Mantenedor!E250))</f>
        <v/>
      </c>
      <c r="J250" s="318"/>
      <c r="K250" s="312"/>
      <c r="M250" s="315"/>
      <c r="P250" s="398" t="str">
        <f t="shared" si="60"/>
        <v/>
      </c>
      <c r="Q250" s="401" t="str" cm="1">
        <f t="array" ref="Q250">+_xlfn.IFS(O250="Nacional","CLP",O250="Extranjero","USD",O250="","")</f>
        <v/>
      </c>
      <c r="R250" s="399" t="str">
        <f>IFERROR(IF(O250="Nacional",VLOOKUP(P250,PRICING!$D$4:$E$59,2,FALSE),VLOOKUP(P250,PRICING!$J$4:$K$59,2,FALSE)),"")</f>
        <v/>
      </c>
      <c r="S250"/>
      <c r="V250" s="399">
        <f t="shared" si="61"/>
        <v>0</v>
      </c>
      <c r="W250" s="400">
        <f t="shared" si="62"/>
        <v>0</v>
      </c>
      <c r="X250" s="393" t="str">
        <f t="shared" si="63"/>
        <v/>
      </c>
      <c r="Y250" s="393" t="str">
        <f t="shared" si="64"/>
        <v/>
      </c>
      <c r="Z250" s="393" t="str">
        <f t="shared" si="65"/>
        <v/>
      </c>
      <c r="AA250" s="393" t="str">
        <f t="shared" si="66"/>
        <v/>
      </c>
      <c r="AB250" s="393" t="str">
        <f t="shared" si="67"/>
        <v/>
      </c>
      <c r="AC250" s="393" t="str">
        <f t="shared" si="68"/>
        <v/>
      </c>
      <c r="AD250" s="398" t="str">
        <f t="shared" si="69"/>
        <v/>
      </c>
      <c r="AF250" s="396" t="str">
        <f t="shared" si="70"/>
        <v/>
      </c>
      <c r="AH250" s="393" t="str">
        <f t="shared" si="71"/>
        <v/>
      </c>
      <c r="AI250" s="393" t="str">
        <f t="shared" si="72"/>
        <v/>
      </c>
      <c r="AJ250" s="393" t="str">
        <f t="shared" si="76"/>
        <v/>
      </c>
      <c r="AK250" s="393" t="str">
        <f t="shared" si="73"/>
        <v/>
      </c>
      <c r="AL250" s="398" t="str">
        <f t="shared" si="74"/>
        <v/>
      </c>
      <c r="AN250" s="396" t="str">
        <f t="shared" si="75"/>
        <v/>
      </c>
      <c r="AQ250" s="395"/>
      <c r="AR250" s="395"/>
    </row>
    <row r="251" spans="1:44" x14ac:dyDescent="0.2">
      <c r="A251" s="398" t="str">
        <f>IF(B251="","",CONCATENATE("GBL",B251," - ",Mantenedor!E251))</f>
        <v/>
      </c>
      <c r="J251" s="318"/>
      <c r="K251" s="312"/>
      <c r="M251" s="315"/>
      <c r="P251" s="398" t="str">
        <f t="shared" si="60"/>
        <v/>
      </c>
      <c r="Q251" s="401" t="str" cm="1">
        <f t="array" ref="Q251">+_xlfn.IFS(O251="Nacional","CLP",O251="Extranjero","USD",O251="","")</f>
        <v/>
      </c>
      <c r="R251" s="399" t="str">
        <f>IFERROR(IF(O251="Nacional",VLOOKUP(P251,PRICING!$D$4:$E$59,2,FALSE),VLOOKUP(P251,PRICING!$J$4:$K$59,2,FALSE)),"")</f>
        <v/>
      </c>
      <c r="S251"/>
      <c r="V251" s="399">
        <f t="shared" si="61"/>
        <v>0</v>
      </c>
      <c r="W251" s="400">
        <f t="shared" si="62"/>
        <v>0</v>
      </c>
      <c r="X251" s="393" t="str">
        <f t="shared" si="63"/>
        <v/>
      </c>
      <c r="Y251" s="393" t="str">
        <f t="shared" si="64"/>
        <v/>
      </c>
      <c r="Z251" s="393" t="str">
        <f t="shared" si="65"/>
        <v/>
      </c>
      <c r="AA251" s="393" t="str">
        <f t="shared" si="66"/>
        <v/>
      </c>
      <c r="AB251" s="393" t="str">
        <f t="shared" si="67"/>
        <v/>
      </c>
      <c r="AC251" s="393" t="str">
        <f t="shared" si="68"/>
        <v/>
      </c>
      <c r="AD251" s="398" t="str">
        <f t="shared" si="69"/>
        <v/>
      </c>
      <c r="AF251" s="396" t="str">
        <f t="shared" si="70"/>
        <v/>
      </c>
      <c r="AH251" s="393" t="str">
        <f t="shared" si="71"/>
        <v/>
      </c>
      <c r="AI251" s="393" t="str">
        <f t="shared" si="72"/>
        <v/>
      </c>
      <c r="AJ251" s="393" t="str">
        <f t="shared" si="76"/>
        <v/>
      </c>
      <c r="AK251" s="393" t="str">
        <f t="shared" si="73"/>
        <v/>
      </c>
      <c r="AL251" s="398" t="str">
        <f t="shared" si="74"/>
        <v/>
      </c>
      <c r="AN251" s="396" t="str">
        <f t="shared" si="75"/>
        <v/>
      </c>
      <c r="AQ251" s="395"/>
      <c r="AR251" s="395"/>
    </row>
    <row r="252" spans="1:44" x14ac:dyDescent="0.2">
      <c r="A252" s="398" t="str">
        <f>IF(B252="","",CONCATENATE("GBL",B252," - ",Mantenedor!E252))</f>
        <v/>
      </c>
      <c r="J252" s="318"/>
      <c r="K252" s="312"/>
      <c r="M252" s="315"/>
      <c r="P252" s="398" t="str">
        <f t="shared" si="60"/>
        <v/>
      </c>
      <c r="Q252" s="401" t="str" cm="1">
        <f t="array" ref="Q252">+_xlfn.IFS(O252="Nacional","CLP",O252="Extranjero","USD",O252="","")</f>
        <v/>
      </c>
      <c r="R252" s="399" t="str">
        <f>IFERROR(IF(O252="Nacional",VLOOKUP(P252,PRICING!$D$4:$E$59,2,FALSE),VLOOKUP(P252,PRICING!$J$4:$K$59,2,FALSE)),"")</f>
        <v/>
      </c>
      <c r="S252"/>
      <c r="V252" s="399">
        <f t="shared" si="61"/>
        <v>0</v>
      </c>
      <c r="W252" s="400">
        <f t="shared" si="62"/>
        <v>0</v>
      </c>
      <c r="X252" s="393" t="str">
        <f t="shared" si="63"/>
        <v/>
      </c>
      <c r="Y252" s="393" t="str">
        <f t="shared" si="64"/>
        <v/>
      </c>
      <c r="Z252" s="393" t="str">
        <f t="shared" si="65"/>
        <v/>
      </c>
      <c r="AA252" s="393" t="str">
        <f t="shared" si="66"/>
        <v/>
      </c>
      <c r="AB252" s="393" t="str">
        <f t="shared" si="67"/>
        <v/>
      </c>
      <c r="AC252" s="393" t="str">
        <f t="shared" si="68"/>
        <v/>
      </c>
      <c r="AD252" s="398" t="str">
        <f t="shared" si="69"/>
        <v/>
      </c>
      <c r="AF252" s="396" t="str">
        <f t="shared" si="70"/>
        <v/>
      </c>
      <c r="AH252" s="393" t="str">
        <f t="shared" si="71"/>
        <v/>
      </c>
      <c r="AI252" s="393" t="str">
        <f t="shared" si="72"/>
        <v/>
      </c>
      <c r="AJ252" s="393" t="str">
        <f t="shared" si="76"/>
        <v/>
      </c>
      <c r="AK252" s="393" t="str">
        <f t="shared" si="73"/>
        <v/>
      </c>
      <c r="AL252" s="398" t="str">
        <f t="shared" si="74"/>
        <v/>
      </c>
      <c r="AN252" s="396" t="str">
        <f t="shared" si="75"/>
        <v/>
      </c>
      <c r="AQ252" s="395"/>
      <c r="AR252" s="395"/>
    </row>
    <row r="253" spans="1:44" x14ac:dyDescent="0.2">
      <c r="A253" s="398" t="str">
        <f>IF(B253="","",CONCATENATE("GBL",B253," - ",Mantenedor!E253))</f>
        <v/>
      </c>
      <c r="J253" s="318"/>
      <c r="K253" s="312"/>
      <c r="M253" s="315"/>
      <c r="P253" s="398" t="str">
        <f t="shared" si="60"/>
        <v/>
      </c>
      <c r="Q253" s="401" t="str" cm="1">
        <f t="array" ref="Q253">+_xlfn.IFS(O253="Nacional","CLP",O253="Extranjero","USD",O253="","")</f>
        <v/>
      </c>
      <c r="R253" s="399" t="str">
        <f>IFERROR(IF(O253="Nacional",VLOOKUP(P253,PRICING!$D$4:$E$59,2,FALSE),VLOOKUP(P253,PRICING!$J$4:$K$59,2,FALSE)),"")</f>
        <v/>
      </c>
      <c r="S253"/>
      <c r="V253" s="399">
        <f t="shared" si="61"/>
        <v>0</v>
      </c>
      <c r="W253" s="400">
        <f t="shared" si="62"/>
        <v>0</v>
      </c>
      <c r="X253" s="393" t="str">
        <f t="shared" si="63"/>
        <v/>
      </c>
      <c r="Y253" s="393" t="str">
        <f t="shared" si="64"/>
        <v/>
      </c>
      <c r="Z253" s="393" t="str">
        <f t="shared" si="65"/>
        <v/>
      </c>
      <c r="AA253" s="393" t="str">
        <f t="shared" si="66"/>
        <v/>
      </c>
      <c r="AB253" s="393" t="str">
        <f t="shared" si="67"/>
        <v/>
      </c>
      <c r="AC253" s="393" t="str">
        <f t="shared" si="68"/>
        <v/>
      </c>
      <c r="AD253" s="398" t="str">
        <f t="shared" si="69"/>
        <v/>
      </c>
      <c r="AF253" s="396" t="str">
        <f t="shared" si="70"/>
        <v/>
      </c>
      <c r="AH253" s="393" t="str">
        <f t="shared" si="71"/>
        <v/>
      </c>
      <c r="AI253" s="393" t="str">
        <f t="shared" si="72"/>
        <v/>
      </c>
      <c r="AJ253" s="393" t="str">
        <f t="shared" si="76"/>
        <v/>
      </c>
      <c r="AK253" s="393" t="str">
        <f t="shared" si="73"/>
        <v/>
      </c>
      <c r="AL253" s="398" t="str">
        <f t="shared" si="74"/>
        <v/>
      </c>
      <c r="AN253" s="396" t="str">
        <f t="shared" si="75"/>
        <v/>
      </c>
      <c r="AQ253" s="395"/>
      <c r="AR253" s="395"/>
    </row>
    <row r="254" spans="1:44" x14ac:dyDescent="0.2">
      <c r="A254" s="398"/>
      <c r="J254" s="318"/>
      <c r="K254" s="312"/>
      <c r="M254" s="315"/>
      <c r="P254" s="398"/>
      <c r="Q254" s="401"/>
      <c r="R254" s="399"/>
      <c r="S254"/>
      <c r="V254" s="399"/>
      <c r="W254" s="400"/>
      <c r="X254" s="393"/>
      <c r="Y254" s="393"/>
      <c r="Z254" s="393"/>
      <c r="AA254" s="393"/>
      <c r="AB254" s="393"/>
      <c r="AC254" s="393"/>
      <c r="AD254" s="398"/>
      <c r="AF254" s="396"/>
      <c r="AH254" s="393"/>
      <c r="AI254" s="393"/>
      <c r="AJ254" s="393"/>
      <c r="AK254" s="393"/>
      <c r="AL254" s="398"/>
      <c r="AN254" s="396"/>
      <c r="AQ254" s="395"/>
      <c r="AR254" s="395"/>
    </row>
    <row r="255" spans="1:44" x14ac:dyDescent="0.2">
      <c r="A255" s="398"/>
      <c r="J255" s="318"/>
      <c r="K255" s="312"/>
      <c r="M255" s="315"/>
      <c r="P255" s="398"/>
      <c r="Q255" s="401"/>
      <c r="R255" s="399"/>
      <c r="S255"/>
      <c r="V255" s="399"/>
      <c r="W255" s="400"/>
      <c r="X255" s="393"/>
      <c r="Y255" s="393"/>
      <c r="Z255" s="393"/>
      <c r="AA255" s="393"/>
      <c r="AB255" s="393"/>
      <c r="AC255" s="393"/>
      <c r="AD255" s="398"/>
      <c r="AF255" s="396"/>
      <c r="AH255" s="393"/>
      <c r="AI255" s="393"/>
      <c r="AJ255" s="393"/>
      <c r="AK255" s="393"/>
      <c r="AL255" s="398"/>
      <c r="AN255" s="396"/>
      <c r="AQ255" s="395"/>
      <c r="AR255" s="395"/>
    </row>
    <row r="256" spans="1:44" x14ac:dyDescent="0.2">
      <c r="A256" s="398"/>
      <c r="J256" s="318"/>
      <c r="K256" s="312"/>
      <c r="M256" s="315"/>
      <c r="P256" s="398"/>
      <c r="Q256" s="401"/>
      <c r="R256" s="399"/>
      <c r="S256"/>
      <c r="V256" s="399"/>
      <c r="W256" s="400"/>
      <c r="X256" s="393"/>
      <c r="Y256" s="393"/>
      <c r="Z256" s="393"/>
      <c r="AA256" s="393"/>
      <c r="AB256" s="393"/>
      <c r="AC256" s="393"/>
      <c r="AD256" s="398"/>
      <c r="AF256" s="396"/>
      <c r="AH256" s="393"/>
      <c r="AI256" s="393"/>
      <c r="AJ256" s="393"/>
      <c r="AK256" s="393"/>
      <c r="AL256" s="398"/>
      <c r="AN256" s="396"/>
      <c r="AQ256" s="395"/>
      <c r="AR256" s="395"/>
    </row>
    <row r="257" spans="1:44" x14ac:dyDescent="0.2">
      <c r="A257" s="398"/>
      <c r="J257" s="318"/>
      <c r="K257" s="312"/>
      <c r="M257" s="315"/>
      <c r="P257" s="398"/>
      <c r="Q257" s="401"/>
      <c r="R257" s="399"/>
      <c r="S257"/>
      <c r="V257" s="399"/>
      <c r="W257" s="400"/>
      <c r="X257" s="393"/>
      <c r="Y257" s="393"/>
      <c r="Z257" s="393"/>
      <c r="AA257" s="393"/>
      <c r="AB257" s="393"/>
      <c r="AC257" s="393"/>
      <c r="AD257" s="398"/>
      <c r="AF257" s="396"/>
      <c r="AH257" s="393"/>
      <c r="AI257" s="393"/>
      <c r="AJ257" s="393"/>
      <c r="AK257" s="393"/>
      <c r="AL257" s="398"/>
      <c r="AN257" s="396"/>
      <c r="AQ257" s="395"/>
      <c r="AR257" s="395"/>
    </row>
    <row r="258" spans="1:44" x14ac:dyDescent="0.2">
      <c r="A258" s="398"/>
      <c r="J258" s="318"/>
      <c r="K258" s="312"/>
      <c r="M258" s="315"/>
      <c r="P258" s="398"/>
      <c r="Q258" s="401"/>
      <c r="R258" s="399"/>
      <c r="S258"/>
      <c r="V258" s="399"/>
      <c r="W258" s="400"/>
      <c r="X258" s="393"/>
      <c r="Y258" s="393"/>
      <c r="Z258" s="393"/>
      <c r="AA258" s="393"/>
      <c r="AB258" s="393"/>
      <c r="AC258" s="393"/>
      <c r="AD258" s="398"/>
      <c r="AF258" s="396"/>
      <c r="AH258" s="393"/>
      <c r="AI258" s="393"/>
      <c r="AJ258" s="393"/>
      <c r="AK258" s="393"/>
      <c r="AL258" s="398"/>
      <c r="AN258" s="396"/>
      <c r="AQ258" s="395"/>
      <c r="AR258" s="395"/>
    </row>
    <row r="259" spans="1:44" x14ac:dyDescent="0.2">
      <c r="A259" s="398"/>
      <c r="J259" s="318"/>
      <c r="K259" s="312"/>
      <c r="M259" s="315"/>
      <c r="P259" s="398"/>
      <c r="Q259" s="401"/>
      <c r="R259" s="399"/>
      <c r="S259"/>
      <c r="V259" s="399"/>
      <c r="W259" s="400"/>
      <c r="X259" s="393"/>
      <c r="Y259" s="393"/>
      <c r="Z259" s="393"/>
      <c r="AA259" s="393"/>
      <c r="AB259" s="393"/>
      <c r="AC259" s="393"/>
      <c r="AD259" s="398"/>
      <c r="AF259" s="396"/>
      <c r="AH259" s="393"/>
      <c r="AI259" s="393"/>
      <c r="AJ259" s="393"/>
      <c r="AK259" s="393"/>
      <c r="AL259" s="398"/>
      <c r="AN259" s="396"/>
      <c r="AQ259" s="395"/>
      <c r="AR259" s="395"/>
    </row>
    <row r="260" spans="1:44" x14ac:dyDescent="0.2">
      <c r="A260" s="398"/>
      <c r="J260" s="318"/>
      <c r="K260" s="312"/>
      <c r="M260" s="315"/>
      <c r="P260" s="398"/>
      <c r="Q260" s="401"/>
      <c r="R260" s="399"/>
      <c r="S260"/>
      <c r="V260" s="399"/>
      <c r="W260" s="400"/>
      <c r="X260" s="393"/>
      <c r="Y260" s="393"/>
      <c r="Z260" s="393"/>
      <c r="AA260" s="393"/>
      <c r="AB260" s="393"/>
      <c r="AC260" s="393"/>
      <c r="AD260" s="398"/>
      <c r="AF260" s="396"/>
      <c r="AH260" s="393"/>
      <c r="AI260" s="393"/>
      <c r="AJ260" s="393"/>
      <c r="AK260" s="393"/>
      <c r="AL260" s="398"/>
      <c r="AN260" s="396"/>
      <c r="AQ260" s="395"/>
      <c r="AR260" s="395"/>
    </row>
    <row r="261" spans="1:44" x14ac:dyDescent="0.2">
      <c r="A261" s="398"/>
      <c r="J261" s="318"/>
      <c r="K261" s="312"/>
      <c r="M261" s="315"/>
      <c r="P261" s="398"/>
      <c r="Q261" s="401"/>
      <c r="R261" s="399"/>
      <c r="S261"/>
      <c r="V261" s="399"/>
      <c r="W261" s="400"/>
      <c r="X261" s="393"/>
      <c r="Y261" s="393"/>
      <c r="Z261" s="393"/>
      <c r="AA261" s="393"/>
      <c r="AB261" s="393"/>
      <c r="AC261" s="393"/>
      <c r="AD261" s="398"/>
      <c r="AF261" s="396"/>
      <c r="AH261" s="393"/>
      <c r="AI261" s="393"/>
      <c r="AJ261" s="393"/>
      <c r="AK261" s="393"/>
      <c r="AL261" s="398"/>
      <c r="AN261" s="396"/>
      <c r="AQ261" s="395"/>
      <c r="AR261" s="395"/>
    </row>
    <row r="262" spans="1:44" x14ac:dyDescent="0.2">
      <c r="A262" s="398"/>
      <c r="J262" s="318"/>
      <c r="K262" s="312"/>
      <c r="M262" s="315"/>
      <c r="P262" s="398"/>
      <c r="Q262" s="401"/>
      <c r="R262" s="399"/>
      <c r="S262"/>
      <c r="V262" s="399"/>
      <c r="W262" s="400"/>
      <c r="X262" s="393"/>
      <c r="Y262" s="393"/>
      <c r="Z262" s="393"/>
      <c r="AA262" s="393"/>
      <c r="AB262" s="393"/>
      <c r="AC262" s="393"/>
      <c r="AD262" s="398"/>
      <c r="AF262" s="396"/>
      <c r="AH262" s="393"/>
      <c r="AI262" s="393"/>
      <c r="AJ262" s="393"/>
      <c r="AK262" s="393"/>
      <c r="AL262" s="398"/>
      <c r="AN262" s="396"/>
      <c r="AQ262" s="395"/>
      <c r="AR262" s="395"/>
    </row>
    <row r="263" spans="1:44" x14ac:dyDescent="0.2">
      <c r="A263" s="398"/>
      <c r="J263" s="318"/>
      <c r="K263" s="312"/>
      <c r="M263" s="315"/>
      <c r="P263" s="398"/>
      <c r="Q263" s="401"/>
      <c r="R263" s="399"/>
      <c r="S263"/>
      <c r="V263" s="399"/>
      <c r="W263" s="400"/>
      <c r="X263" s="393"/>
      <c r="Y263" s="393"/>
      <c r="Z263" s="393"/>
      <c r="AA263" s="393"/>
      <c r="AB263" s="393"/>
      <c r="AC263" s="393"/>
      <c r="AD263" s="398"/>
      <c r="AF263" s="396"/>
      <c r="AH263" s="393"/>
      <c r="AI263" s="393"/>
      <c r="AJ263" s="393"/>
      <c r="AK263" s="393"/>
      <c r="AL263" s="398"/>
      <c r="AN263" s="396"/>
      <c r="AQ263" s="395"/>
      <c r="AR263" s="395"/>
    </row>
    <row r="264" spans="1:44" x14ac:dyDescent="0.2">
      <c r="A264" s="398"/>
      <c r="J264" s="318"/>
      <c r="K264" s="312"/>
      <c r="M264" s="315"/>
      <c r="P264" s="398"/>
      <c r="Q264" s="401"/>
      <c r="R264" s="399"/>
      <c r="S264"/>
      <c r="V264" s="399"/>
      <c r="W264" s="400"/>
      <c r="X264" s="393"/>
      <c r="Y264" s="393"/>
      <c r="Z264" s="393"/>
      <c r="AA264" s="393"/>
      <c r="AB264" s="393"/>
      <c r="AC264" s="393"/>
      <c r="AD264" s="398"/>
      <c r="AF264" s="396"/>
      <c r="AH264" s="393"/>
      <c r="AI264" s="393"/>
      <c r="AJ264" s="393"/>
      <c r="AK264" s="393"/>
      <c r="AL264" s="398"/>
      <c r="AN264" s="396"/>
      <c r="AQ264" s="395"/>
      <c r="AR264" s="395"/>
    </row>
    <row r="265" spans="1:44" x14ac:dyDescent="0.2">
      <c r="A265" s="398"/>
      <c r="J265" s="318"/>
      <c r="K265" s="312"/>
      <c r="M265" s="315"/>
      <c r="P265" s="398"/>
      <c r="Q265" s="401"/>
      <c r="R265" s="399"/>
      <c r="S265"/>
      <c r="V265" s="399"/>
      <c r="W265" s="400"/>
      <c r="X265" s="393"/>
      <c r="Y265" s="393"/>
      <c r="Z265" s="393"/>
      <c r="AA265" s="393"/>
      <c r="AB265" s="393"/>
      <c r="AC265" s="393"/>
      <c r="AD265" s="398"/>
      <c r="AF265" s="396"/>
      <c r="AH265" s="393"/>
      <c r="AI265" s="393"/>
      <c r="AJ265" s="393"/>
      <c r="AK265" s="393"/>
      <c r="AL265" s="398"/>
      <c r="AN265" s="396"/>
      <c r="AQ265" s="395"/>
      <c r="AR265" s="395"/>
    </row>
    <row r="266" spans="1:44" x14ac:dyDescent="0.2">
      <c r="A266" s="398"/>
      <c r="J266" s="318"/>
      <c r="K266" s="312"/>
      <c r="M266" s="315"/>
      <c r="P266" s="398"/>
      <c r="Q266" s="401"/>
      <c r="R266" s="399"/>
      <c r="S266"/>
      <c r="V266" s="399"/>
      <c r="W266" s="400"/>
      <c r="X266" s="393"/>
      <c r="Y266" s="393"/>
      <c r="Z266" s="393"/>
      <c r="AA266" s="393"/>
      <c r="AB266" s="393"/>
      <c r="AC266" s="393"/>
      <c r="AD266" s="398"/>
      <c r="AF266" s="396"/>
      <c r="AH266" s="393"/>
      <c r="AI266" s="393"/>
      <c r="AJ266" s="393"/>
      <c r="AK266" s="393"/>
      <c r="AL266" s="398"/>
      <c r="AN266" s="396"/>
      <c r="AQ266" s="395"/>
      <c r="AR266" s="395"/>
    </row>
    <row r="267" spans="1:44" x14ac:dyDescent="0.2">
      <c r="A267" s="398"/>
      <c r="J267" s="318"/>
      <c r="K267" s="312"/>
      <c r="M267" s="315"/>
      <c r="P267" s="398"/>
      <c r="Q267" s="401"/>
      <c r="R267" s="399"/>
      <c r="S267"/>
      <c r="V267" s="399"/>
      <c r="W267" s="400"/>
      <c r="X267" s="393"/>
      <c r="Y267" s="393"/>
      <c r="Z267" s="393"/>
      <c r="AA267" s="393"/>
      <c r="AB267" s="393"/>
      <c r="AC267" s="393"/>
      <c r="AD267" s="398"/>
      <c r="AF267" s="396"/>
      <c r="AH267" s="393"/>
      <c r="AI267" s="393"/>
      <c r="AJ267" s="393"/>
      <c r="AK267" s="393"/>
      <c r="AL267" s="398"/>
      <c r="AN267" s="396"/>
      <c r="AQ267" s="395"/>
      <c r="AR267" s="395"/>
    </row>
    <row r="268" spans="1:44" x14ac:dyDescent="0.2">
      <c r="A268" s="398"/>
      <c r="J268" s="318"/>
      <c r="K268" s="312"/>
      <c r="M268" s="315"/>
      <c r="P268" s="398"/>
      <c r="Q268" s="401"/>
      <c r="R268" s="399"/>
      <c r="S268"/>
      <c r="V268" s="399"/>
      <c r="W268" s="400"/>
      <c r="X268" s="393"/>
      <c r="Y268" s="393"/>
      <c r="Z268" s="393"/>
      <c r="AA268" s="393"/>
      <c r="AB268" s="393"/>
      <c r="AC268" s="393"/>
      <c r="AD268" s="398"/>
      <c r="AF268" s="396"/>
      <c r="AH268" s="393"/>
      <c r="AI268" s="393"/>
      <c r="AJ268" s="393"/>
      <c r="AK268" s="393"/>
      <c r="AL268" s="398"/>
      <c r="AN268" s="396"/>
      <c r="AQ268" s="395"/>
      <c r="AR268" s="395"/>
    </row>
    <row r="269" spans="1:44" x14ac:dyDescent="0.2">
      <c r="A269" s="398"/>
      <c r="J269" s="318"/>
      <c r="K269" s="312"/>
      <c r="M269" s="315"/>
      <c r="P269" s="398"/>
      <c r="Q269" s="401"/>
      <c r="R269" s="399"/>
      <c r="S269"/>
      <c r="V269" s="399"/>
      <c r="W269" s="400"/>
      <c r="X269" s="393"/>
      <c r="Y269" s="393"/>
      <c r="Z269" s="393"/>
      <c r="AA269" s="393"/>
      <c r="AB269" s="393"/>
      <c r="AC269" s="393"/>
      <c r="AD269" s="398"/>
      <c r="AF269" s="396"/>
      <c r="AH269" s="393"/>
      <c r="AI269" s="393"/>
      <c r="AJ269" s="393"/>
      <c r="AK269" s="393"/>
      <c r="AL269" s="398"/>
      <c r="AN269" s="396"/>
      <c r="AQ269" s="395"/>
      <c r="AR269" s="395"/>
    </row>
    <row r="270" spans="1:44" x14ac:dyDescent="0.2">
      <c r="A270" s="398"/>
      <c r="J270" s="318"/>
      <c r="K270" s="312"/>
      <c r="M270" s="315"/>
      <c r="P270" s="398"/>
      <c r="Q270" s="401"/>
      <c r="R270" s="399"/>
      <c r="S270"/>
      <c r="V270" s="399"/>
      <c r="W270" s="400"/>
      <c r="X270" s="393"/>
      <c r="Y270" s="393"/>
      <c r="Z270" s="393"/>
      <c r="AA270" s="393"/>
      <c r="AB270" s="393"/>
      <c r="AC270" s="393"/>
      <c r="AD270" s="398"/>
      <c r="AF270" s="396"/>
      <c r="AH270" s="393"/>
      <c r="AI270" s="393"/>
      <c r="AJ270" s="393"/>
      <c r="AK270" s="393"/>
      <c r="AL270" s="398"/>
      <c r="AN270" s="396"/>
      <c r="AQ270" s="395"/>
      <c r="AR270" s="395"/>
    </row>
    <row r="271" spans="1:44" x14ac:dyDescent="0.2">
      <c r="A271" s="398"/>
      <c r="J271" s="318"/>
      <c r="K271" s="312"/>
      <c r="M271" s="315"/>
      <c r="P271" s="398"/>
      <c r="Q271" s="401"/>
      <c r="R271" s="399"/>
      <c r="S271"/>
      <c r="V271" s="399"/>
      <c r="W271" s="400"/>
      <c r="X271" s="393"/>
      <c r="Y271" s="393"/>
      <c r="Z271" s="393"/>
      <c r="AA271" s="393"/>
      <c r="AB271" s="393"/>
      <c r="AC271" s="393"/>
      <c r="AD271" s="398"/>
      <c r="AF271" s="396"/>
      <c r="AH271" s="393"/>
      <c r="AI271" s="393"/>
      <c r="AJ271" s="393"/>
      <c r="AK271" s="393"/>
      <c r="AL271" s="398"/>
      <c r="AN271" s="396"/>
      <c r="AQ271" s="395"/>
      <c r="AR271" s="395"/>
    </row>
    <row r="272" spans="1:44" x14ac:dyDescent="0.2">
      <c r="A272" s="398"/>
      <c r="J272" s="318"/>
      <c r="K272" s="312"/>
      <c r="M272" s="315"/>
      <c r="P272" s="398"/>
      <c r="Q272" s="401"/>
      <c r="R272" s="399"/>
      <c r="S272"/>
      <c r="V272" s="399"/>
      <c r="W272" s="400"/>
      <c r="X272" s="393"/>
      <c r="Y272" s="393"/>
      <c r="Z272" s="393"/>
      <c r="AA272" s="393"/>
      <c r="AB272" s="393"/>
      <c r="AC272" s="393"/>
      <c r="AD272" s="398"/>
      <c r="AF272" s="396"/>
      <c r="AH272" s="393"/>
      <c r="AI272" s="393"/>
      <c r="AJ272" s="393"/>
      <c r="AK272" s="393"/>
      <c r="AL272" s="398"/>
      <c r="AN272" s="396"/>
      <c r="AQ272" s="395"/>
      <c r="AR272" s="395"/>
    </row>
    <row r="273" spans="1:44" x14ac:dyDescent="0.2">
      <c r="A273" s="398"/>
      <c r="J273" s="318"/>
      <c r="K273" s="312"/>
      <c r="M273" s="315"/>
      <c r="P273" s="398"/>
      <c r="Q273" s="401"/>
      <c r="R273" s="399"/>
      <c r="S273"/>
      <c r="V273" s="399"/>
      <c r="W273" s="400"/>
      <c r="X273" s="393"/>
      <c r="Y273" s="393"/>
      <c r="Z273" s="393"/>
      <c r="AA273" s="393"/>
      <c r="AB273" s="393"/>
      <c r="AC273" s="393"/>
      <c r="AD273" s="398"/>
      <c r="AF273" s="396"/>
      <c r="AH273" s="393"/>
      <c r="AI273" s="393"/>
      <c r="AJ273" s="393"/>
      <c r="AK273" s="393"/>
      <c r="AL273" s="398"/>
      <c r="AN273" s="396"/>
      <c r="AQ273" s="395"/>
      <c r="AR273" s="39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FC894-6039-0A43-AAE4-31992A7C9434}">
          <x14:formula1>
            <xm:f>Mantenedor!$H$2:$H$5</xm:f>
          </x14:formula1>
          <xm:sqref>U2:U273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E5BE-0C67-A044-B72A-9DAC1F94EC0D}">
  <sheetPr codeName="Hoja3">
    <tabColor theme="9" tint="0.79998168889431442"/>
  </sheetPr>
  <dimension ref="A1:L33"/>
  <sheetViews>
    <sheetView topLeftCell="F1" zoomScale="113" zoomScaleNormal="113" workbookViewId="0">
      <selection activeCell="C8" sqref="C8"/>
    </sheetView>
  </sheetViews>
  <sheetFormatPr baseColWidth="10" defaultRowHeight="15" x14ac:dyDescent="0.2"/>
  <cols>
    <col min="1" max="1" width="4" customWidth="1"/>
    <col min="2" max="2" width="22.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1:12" ht="87" customHeight="1" x14ac:dyDescent="0.2">
      <c r="D1" s="363"/>
      <c r="E1" s="363"/>
      <c r="F1" s="153"/>
      <c r="G1" s="153"/>
      <c r="H1" s="153"/>
      <c r="I1" s="153"/>
      <c r="J1" s="153"/>
      <c r="K1" s="154"/>
      <c r="L1" s="154"/>
    </row>
    <row r="2" spans="1:12" ht="80" customHeight="1" x14ac:dyDescent="0.2"/>
    <row r="3" spans="1:12" ht="44" customHeight="1" x14ac:dyDescent="0.2">
      <c r="B3" s="174" t="s">
        <v>185</v>
      </c>
    </row>
    <row r="4" spans="1:12" ht="30" customHeight="1" thickBot="1" x14ac:dyDescent="0.25"/>
    <row r="5" spans="1:12" ht="23" thickBot="1" x14ac:dyDescent="0.35">
      <c r="B5" s="355" t="s">
        <v>163</v>
      </c>
      <c r="C5" s="356"/>
      <c r="D5" s="356"/>
      <c r="E5" s="356"/>
      <c r="F5" s="356"/>
      <c r="G5" s="356"/>
      <c r="H5" s="356"/>
      <c r="I5" s="356"/>
      <c r="J5" s="356"/>
      <c r="K5" s="357"/>
    </row>
    <row r="6" spans="1:12" ht="22" x14ac:dyDescent="0.3">
      <c r="B6" s="358" t="s">
        <v>184</v>
      </c>
      <c r="C6" s="359"/>
      <c r="D6" s="359"/>
      <c r="E6" s="359"/>
      <c r="F6" s="359"/>
      <c r="G6" s="360" t="s">
        <v>183</v>
      </c>
      <c r="H6" s="361"/>
      <c r="I6" s="361"/>
      <c r="J6" s="361"/>
      <c r="K6" s="362"/>
    </row>
    <row r="7" spans="1:12" ht="17" thickBot="1" x14ac:dyDescent="0.25">
      <c r="B7" s="164" t="s">
        <v>178</v>
      </c>
      <c r="C7" s="165" t="s">
        <v>161</v>
      </c>
      <c r="D7" s="165" t="s">
        <v>162</v>
      </c>
      <c r="E7" s="165" t="s">
        <v>136</v>
      </c>
      <c r="F7" s="165" t="s">
        <v>182</v>
      </c>
      <c r="G7" s="168" t="s">
        <v>138</v>
      </c>
      <c r="H7" s="169" t="s">
        <v>180</v>
      </c>
      <c r="I7" s="169" t="s">
        <v>175</v>
      </c>
      <c r="J7" s="169" t="s">
        <v>181</v>
      </c>
      <c r="K7" s="170" t="s">
        <v>176</v>
      </c>
    </row>
    <row r="8" spans="1:12" x14ac:dyDescent="0.2">
      <c r="B8" s="166" t="s">
        <v>164</v>
      </c>
      <c r="C8" s="167" t="s">
        <v>179</v>
      </c>
      <c r="D8" s="167">
        <v>12312413</v>
      </c>
      <c r="E8" s="167" t="e" cm="1">
        <f t="array" ref="E8">IF(#REF!="","",(_xlfn.IFS(#REF!="No",#REF!="",#REF!="Si",#REF!="")))</f>
        <v>#REF!</v>
      </c>
      <c r="F8" s="167"/>
      <c r="G8" s="171" t="s">
        <v>143</v>
      </c>
      <c r="H8" s="172"/>
      <c r="I8" s="172"/>
      <c r="J8" s="172">
        <f>+H8+I8</f>
        <v>0</v>
      </c>
      <c r="K8" s="173" t="s">
        <v>142</v>
      </c>
    </row>
    <row r="9" spans="1:12" x14ac:dyDescent="0.2">
      <c r="B9" s="156" t="s">
        <v>165</v>
      </c>
      <c r="C9" s="157"/>
      <c r="D9" s="157"/>
      <c r="E9" s="157"/>
      <c r="F9" s="157"/>
      <c r="G9" s="162" t="s">
        <v>143</v>
      </c>
      <c r="H9" s="158"/>
      <c r="I9" s="158"/>
      <c r="J9" s="158">
        <f t="shared" ref="J9:J12" si="0">+H9+I9</f>
        <v>0</v>
      </c>
      <c r="K9" s="159" t="s">
        <v>142</v>
      </c>
    </row>
    <row r="10" spans="1:12" x14ac:dyDescent="0.2">
      <c r="B10" s="156" t="s">
        <v>166</v>
      </c>
      <c r="C10" s="157"/>
      <c r="D10" s="157"/>
      <c r="E10" s="157"/>
      <c r="F10" s="157"/>
      <c r="G10" s="162" t="s">
        <v>144</v>
      </c>
      <c r="H10" s="158"/>
      <c r="I10" s="158"/>
      <c r="J10" s="158">
        <f t="shared" si="0"/>
        <v>0</v>
      </c>
      <c r="K10" s="159" t="s">
        <v>142</v>
      </c>
    </row>
    <row r="11" spans="1:12" x14ac:dyDescent="0.2">
      <c r="A11" t="s">
        <v>140</v>
      </c>
      <c r="B11" s="156" t="s">
        <v>167</v>
      </c>
      <c r="C11" s="157"/>
      <c r="D11" s="157"/>
      <c r="E11" s="157"/>
      <c r="F11" s="157"/>
      <c r="G11" s="162" t="s">
        <v>144</v>
      </c>
      <c r="H11" s="158"/>
      <c r="I11" s="158"/>
      <c r="J11" s="158">
        <f t="shared" si="0"/>
        <v>0</v>
      </c>
      <c r="K11" s="159" t="s">
        <v>142</v>
      </c>
    </row>
    <row r="12" spans="1:12" x14ac:dyDescent="0.2">
      <c r="A12" t="s">
        <v>140</v>
      </c>
      <c r="B12" s="156" t="s">
        <v>168</v>
      </c>
      <c r="C12" s="157"/>
      <c r="D12" s="157"/>
      <c r="E12" s="157"/>
      <c r="F12" s="157"/>
      <c r="G12" s="162" t="s">
        <v>143</v>
      </c>
      <c r="H12" s="158"/>
      <c r="I12" s="158"/>
      <c r="J12" s="158">
        <f t="shared" si="0"/>
        <v>0</v>
      </c>
      <c r="K12" s="159" t="s">
        <v>142</v>
      </c>
    </row>
    <row r="13" spans="1:12" x14ac:dyDescent="0.2">
      <c r="A13" t="s">
        <v>140</v>
      </c>
      <c r="B13" s="156" t="s">
        <v>169</v>
      </c>
      <c r="C13" s="157"/>
      <c r="D13" s="157"/>
      <c r="E13" s="157"/>
      <c r="F13" s="157"/>
      <c r="G13" s="162"/>
      <c r="H13" s="158"/>
      <c r="I13" s="158"/>
      <c r="J13" s="158"/>
      <c r="K13" s="159" t="s">
        <v>142</v>
      </c>
    </row>
    <row r="14" spans="1:12" hidden="1" x14ac:dyDescent="0.2">
      <c r="A14" t="s">
        <v>141</v>
      </c>
      <c r="B14" s="156" t="s">
        <v>170</v>
      </c>
      <c r="C14" s="157"/>
      <c r="D14" s="157"/>
      <c r="E14" s="157"/>
      <c r="F14" s="157"/>
      <c r="G14" s="162"/>
      <c r="H14" s="158"/>
      <c r="I14" s="158"/>
      <c r="J14" s="158"/>
      <c r="K14" s="159" t="s">
        <v>142</v>
      </c>
    </row>
    <row r="15" spans="1:12" hidden="1" x14ac:dyDescent="0.2">
      <c r="A15" t="s">
        <v>141</v>
      </c>
      <c r="B15" s="156" t="s">
        <v>171</v>
      </c>
      <c r="C15" s="157"/>
      <c r="D15" s="157"/>
      <c r="E15" s="157"/>
      <c r="F15" s="157"/>
      <c r="G15" s="162"/>
      <c r="H15" s="158"/>
      <c r="I15" s="158"/>
      <c r="J15" s="158"/>
      <c r="K15" s="159" t="s">
        <v>142</v>
      </c>
    </row>
    <row r="16" spans="1:12" hidden="1" x14ac:dyDescent="0.2">
      <c r="A16" t="s">
        <v>141</v>
      </c>
      <c r="B16" s="156" t="s">
        <v>172</v>
      </c>
      <c r="C16" s="157"/>
      <c r="D16" s="157"/>
      <c r="E16" s="157"/>
      <c r="F16" s="157"/>
      <c r="G16" s="162"/>
      <c r="H16" s="158"/>
      <c r="I16" s="158"/>
      <c r="J16" s="158"/>
      <c r="K16" s="159" t="s">
        <v>142</v>
      </c>
    </row>
    <row r="17" spans="2:12" ht="16" thickBot="1" x14ac:dyDescent="0.25">
      <c r="B17" s="150" t="s">
        <v>173</v>
      </c>
      <c r="C17" s="149"/>
      <c r="D17" s="149"/>
      <c r="E17" s="149"/>
      <c r="F17" s="149"/>
      <c r="G17" s="163"/>
      <c r="H17" s="160"/>
      <c r="I17" s="160"/>
      <c r="J17" s="160"/>
      <c r="K17" s="161" t="s">
        <v>142</v>
      </c>
    </row>
    <row r="23" spans="2:12" ht="16" x14ac:dyDescent="0.2">
      <c r="L23" s="155"/>
    </row>
    <row r="29" spans="2:12" hidden="1" x14ac:dyDescent="0.2"/>
    <row r="30" spans="2:12" hidden="1" x14ac:dyDescent="0.2"/>
    <row r="31" spans="2:12" hidden="1" x14ac:dyDescent="0.2"/>
    <row r="32" spans="2:12" hidden="1" x14ac:dyDescent="0.2"/>
    <row r="33" hidden="1" x14ac:dyDescent="0.2"/>
  </sheetData>
  <mergeCells count="4">
    <mergeCell ref="B5:K5"/>
    <mergeCell ref="B6:F6"/>
    <mergeCell ref="G6:K6"/>
    <mergeCell ref="D1:E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6888E1-2F3A-8D4B-947F-E745CF4E9F71}">
          <x14:formula1>
            <xm:f>Mantenedor!$G$2:$G$3</xm:f>
          </x14:formula1>
          <xm:sqref>F8:F12</xm:sqref>
        </x14:dataValidation>
        <x14:dataValidation type="list" allowBlank="1" showInputMessage="1" showErrorMessage="1" xr:uid="{1EC49A17-30B3-0E45-A849-653DAF12CD79}">
          <x14:formula1>
            <xm:f>Mantenedor!$B$2:$B$11</xm:f>
          </x14:formula1>
          <xm:sqref>I8:I12</xm:sqref>
        </x14:dataValidation>
        <x14:dataValidation type="list" allowBlank="1" showInputMessage="1" showErrorMessage="1" xr:uid="{8604F1EA-3695-FD4C-BAC9-0B4F9CC1F9F6}">
          <x14:formula1>
            <xm:f>Mantenedor!$D$2:$D$4</xm:f>
          </x14:formula1>
          <xm:sqref>G8:H16 I13:J16</xm:sqref>
        </x14:dataValidation>
        <x14:dataValidation type="list" allowBlank="1" showInputMessage="1" showErrorMessage="1" xr:uid="{81F792F5-931B-6040-A282-DB4D34BBECE3}">
          <x14:formula1>
            <xm:f>Mantenedor!$C$2:$C$3</xm:f>
          </x14:formula1>
          <xm:sqref>K8:K17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ED35-24B6-4724-99F4-EBC7C1271275}">
  <sheetPr codeName="Hoja5"/>
  <dimension ref="A1:T55"/>
  <sheetViews>
    <sheetView zoomScale="80" zoomScaleNormal="80" workbookViewId="0">
      <selection activeCell="H59" sqref="H59"/>
    </sheetView>
  </sheetViews>
  <sheetFormatPr baseColWidth="10" defaultRowHeight="15" customHeight="1" x14ac:dyDescent="0.2"/>
  <cols>
    <col min="1" max="1" width="7.1640625" customWidth="1"/>
    <col min="2" max="2" width="28.83203125" customWidth="1"/>
    <col min="3" max="3" width="35.83203125" customWidth="1"/>
    <col min="4" max="4" width="7.5" bestFit="1" customWidth="1"/>
    <col min="5" max="5" width="13.5" customWidth="1"/>
    <col min="6" max="6" width="9.83203125" customWidth="1"/>
    <col min="7" max="7" width="12" customWidth="1"/>
    <col min="8" max="8" width="15.1640625" customWidth="1"/>
    <col min="9" max="9" width="8.83203125" customWidth="1"/>
    <col min="10" max="10" width="12.5" customWidth="1"/>
    <col min="11" max="14" width="12.83203125" customWidth="1"/>
    <col min="20" max="20" width="41.83203125" customWidth="1"/>
  </cols>
  <sheetData>
    <row r="1" spans="1:11" ht="15" customHeight="1" x14ac:dyDescent="0.2">
      <c r="A1" s="27" t="s">
        <v>37</v>
      </c>
      <c r="C1" s="119">
        <v>45929</v>
      </c>
      <c r="F1" s="3" t="s">
        <v>110</v>
      </c>
      <c r="G1" s="3"/>
      <c r="H1" s="121"/>
      <c r="I1" t="s">
        <v>111</v>
      </c>
    </row>
    <row r="2" spans="1:11" ht="15" customHeight="1" x14ac:dyDescent="0.2">
      <c r="A2" s="27" t="s">
        <v>38</v>
      </c>
      <c r="F2" s="3" t="s">
        <v>110</v>
      </c>
      <c r="G2" s="3"/>
      <c r="H2" s="120"/>
      <c r="I2" t="s">
        <v>111</v>
      </c>
    </row>
    <row r="3" spans="1:11" ht="15" customHeight="1" x14ac:dyDescent="0.2">
      <c r="A3" s="27" t="s">
        <v>189</v>
      </c>
      <c r="B3" s="2"/>
      <c r="C3" s="2"/>
      <c r="D3" s="2"/>
      <c r="E3" s="2"/>
      <c r="F3" s="2"/>
      <c r="G3" s="2"/>
      <c r="H3" s="2"/>
      <c r="I3" s="2"/>
    </row>
    <row r="4" spans="1:11" ht="15" customHeight="1" thickBot="1" x14ac:dyDescent="0.25">
      <c r="B4" s="2"/>
      <c r="C4" s="2"/>
      <c r="D4" s="2"/>
      <c r="E4" s="2"/>
      <c r="F4" s="2"/>
      <c r="G4" s="2"/>
      <c r="H4" s="2"/>
      <c r="I4" s="2"/>
    </row>
    <row r="5" spans="1:11" ht="15" customHeight="1" thickBot="1" x14ac:dyDescent="0.25">
      <c r="A5" s="4" t="s">
        <v>10</v>
      </c>
      <c r="B5" s="364" t="s">
        <v>0</v>
      </c>
      <c r="C5" s="365"/>
      <c r="D5" s="365"/>
      <c r="E5" s="365"/>
      <c r="F5" s="365"/>
      <c r="G5" s="365"/>
      <c r="H5" s="365"/>
      <c r="I5" s="366"/>
    </row>
    <row r="6" spans="1:11" ht="15" customHeight="1" x14ac:dyDescent="0.2">
      <c r="A6" s="10"/>
      <c r="B6" s="29" t="s">
        <v>19</v>
      </c>
      <c r="C6" s="52">
        <v>45853</v>
      </c>
      <c r="D6" s="53"/>
      <c r="E6" s="53"/>
      <c r="F6" s="53"/>
      <c r="G6" s="53"/>
      <c r="H6" s="53"/>
      <c r="I6" s="54"/>
    </row>
    <row r="7" spans="1:11" ht="15" customHeight="1" x14ac:dyDescent="0.2">
      <c r="A7" s="15"/>
      <c r="B7" s="14" t="s">
        <v>3</v>
      </c>
      <c r="C7" s="39" t="s">
        <v>40</v>
      </c>
      <c r="D7" s="1"/>
      <c r="E7" s="116" t="s">
        <v>106</v>
      </c>
      <c r="F7" s="117" t="s">
        <v>102</v>
      </c>
      <c r="G7" s="117"/>
      <c r="H7" s="118"/>
      <c r="I7" s="141" t="s">
        <v>108</v>
      </c>
    </row>
    <row r="8" spans="1:11" ht="15" customHeight="1" x14ac:dyDescent="0.2">
      <c r="A8" s="15"/>
      <c r="B8" s="14" t="s">
        <v>1</v>
      </c>
      <c r="C8" s="40" t="s">
        <v>41</v>
      </c>
      <c r="D8" s="1"/>
      <c r="E8" s="116" t="s">
        <v>106</v>
      </c>
      <c r="F8" s="117" t="s">
        <v>107</v>
      </c>
      <c r="G8" s="117"/>
      <c r="H8" s="118"/>
      <c r="I8" s="141"/>
    </row>
    <row r="9" spans="1:11" ht="15" customHeight="1" x14ac:dyDescent="0.2">
      <c r="A9" s="15"/>
      <c r="B9" s="14" t="s">
        <v>2</v>
      </c>
      <c r="C9" s="39" t="s">
        <v>42</v>
      </c>
      <c r="D9" s="1"/>
      <c r="E9" s="116" t="s">
        <v>106</v>
      </c>
      <c r="F9" s="117" t="s">
        <v>107</v>
      </c>
      <c r="G9" s="117"/>
      <c r="H9" s="118"/>
      <c r="I9" s="141"/>
    </row>
    <row r="10" spans="1:11" ht="15" customHeight="1" x14ac:dyDescent="0.2">
      <c r="A10" s="15"/>
      <c r="B10" s="14" t="s">
        <v>9</v>
      </c>
      <c r="C10" s="33">
        <f>+precio!B6</f>
        <v>0</v>
      </c>
      <c r="D10" s="1"/>
      <c r="E10" s="1"/>
      <c r="F10" s="1"/>
      <c r="G10" s="1"/>
      <c r="H10" s="1"/>
      <c r="I10" s="31">
        <f>COUNT(I7:I9)</f>
        <v>0</v>
      </c>
    </row>
    <row r="11" spans="1:11" ht="15" customHeight="1" x14ac:dyDescent="0.2">
      <c r="A11" s="15"/>
      <c r="B11" s="36" t="s">
        <v>4</v>
      </c>
      <c r="C11" s="41">
        <v>46006</v>
      </c>
      <c r="D11" s="1"/>
      <c r="E11" s="1"/>
      <c r="F11" s="1"/>
      <c r="G11" s="1"/>
      <c r="H11" s="1"/>
      <c r="I11" s="31"/>
    </row>
    <row r="12" spans="1:11" ht="15" customHeight="1" x14ac:dyDescent="0.2">
      <c r="A12" s="15"/>
      <c r="B12" s="14" t="s">
        <v>5</v>
      </c>
      <c r="C12" s="38">
        <f>+C11+C13</f>
        <v>46012</v>
      </c>
      <c r="D12" s="1"/>
      <c r="E12" s="1"/>
      <c r="F12" s="1"/>
      <c r="G12" s="1"/>
      <c r="H12" s="1"/>
      <c r="I12" s="31"/>
    </row>
    <row r="13" spans="1:11" ht="15" customHeight="1" x14ac:dyDescent="0.2">
      <c r="A13" s="15"/>
      <c r="B13" s="14" t="s">
        <v>47</v>
      </c>
      <c r="C13" s="43">
        <v>6</v>
      </c>
      <c r="D13" s="1"/>
      <c r="E13" s="1"/>
      <c r="F13" s="1"/>
      <c r="G13" s="1"/>
      <c r="H13" s="1"/>
      <c r="I13" s="31"/>
    </row>
    <row r="14" spans="1:11" ht="15" customHeight="1" x14ac:dyDescent="0.2">
      <c r="A14" s="32"/>
      <c r="B14" s="15"/>
      <c r="D14" s="367" t="s">
        <v>109</v>
      </c>
      <c r="E14" s="367"/>
      <c r="F14" s="367"/>
      <c r="G14" s="367"/>
      <c r="H14" s="367"/>
      <c r="I14" s="368"/>
    </row>
    <row r="15" spans="1:11" ht="15" customHeight="1" x14ac:dyDescent="0.2">
      <c r="A15" s="15"/>
      <c r="B15" s="16" t="s">
        <v>18</v>
      </c>
      <c r="C15" s="12" t="s">
        <v>14</v>
      </c>
      <c r="D15" s="6" t="s">
        <v>15</v>
      </c>
      <c r="E15" s="6" t="s">
        <v>99</v>
      </c>
      <c r="F15" s="6" t="s">
        <v>100</v>
      </c>
      <c r="G15" s="6"/>
      <c r="H15" s="6" t="s">
        <v>101</v>
      </c>
      <c r="I15" s="17" t="s">
        <v>39</v>
      </c>
    </row>
    <row r="16" spans="1:11" ht="15" customHeight="1" x14ac:dyDescent="0.2">
      <c r="A16" s="11">
        <v>0</v>
      </c>
      <c r="B16" s="56" t="s">
        <v>119</v>
      </c>
      <c r="C16" s="39"/>
      <c r="D16" s="34">
        <f>+C13</f>
        <v>6</v>
      </c>
      <c r="E16" s="34">
        <f>+precio!B6</f>
        <v>0</v>
      </c>
      <c r="F16" s="44">
        <v>0.2</v>
      </c>
      <c r="G16" s="44"/>
      <c r="H16" s="34">
        <f>+E16*(1-F16)</f>
        <v>0</v>
      </c>
      <c r="I16" s="45" t="s">
        <v>46</v>
      </c>
      <c r="K16">
        <f>17*200</f>
        <v>3400</v>
      </c>
    </row>
    <row r="17" spans="1:20" ht="15" customHeight="1" x14ac:dyDescent="0.2">
      <c r="A17" s="11">
        <v>0</v>
      </c>
      <c r="B17" s="111" t="s">
        <v>43</v>
      </c>
      <c r="C17" s="112"/>
      <c r="D17" s="113">
        <f>+D16</f>
        <v>6</v>
      </c>
      <c r="E17" s="113">
        <f>+precio!B6</f>
        <v>0</v>
      </c>
      <c r="F17" s="114">
        <v>1</v>
      </c>
      <c r="G17" s="114"/>
      <c r="H17" s="113">
        <v>0</v>
      </c>
      <c r="I17" s="115" t="str">
        <f>+I16</f>
        <v>FSN</v>
      </c>
    </row>
    <row r="18" spans="1:20" ht="15" customHeight="1" x14ac:dyDescent="0.2">
      <c r="A18" s="11"/>
      <c r="B18" s="56" t="s">
        <v>44</v>
      </c>
      <c r="C18" s="39"/>
      <c r="D18" s="34">
        <f>+D17</f>
        <v>6</v>
      </c>
      <c r="E18" s="34">
        <f>+precio!B6</f>
        <v>0</v>
      </c>
      <c r="F18" s="44">
        <v>0.2</v>
      </c>
      <c r="G18" s="44"/>
      <c r="H18" s="34">
        <f>+E18*(1-F18)</f>
        <v>0</v>
      </c>
      <c r="I18" s="45" t="str">
        <f t="shared" ref="I18:I20" si="0">+I17</f>
        <v>FSN</v>
      </c>
    </row>
    <row r="19" spans="1:20" ht="15" customHeight="1" x14ac:dyDescent="0.2">
      <c r="A19" s="11"/>
      <c r="B19" s="105" t="s">
        <v>102</v>
      </c>
      <c r="C19" s="106"/>
      <c r="D19" s="107">
        <f t="shared" ref="D19:D20" si="1">+D18</f>
        <v>6</v>
      </c>
      <c r="E19" s="107">
        <f>+precio!B7</f>
        <v>0</v>
      </c>
      <c r="F19" s="108">
        <v>0.2</v>
      </c>
      <c r="G19" s="108"/>
      <c r="H19" s="107"/>
      <c r="I19" s="109" t="str">
        <f t="shared" si="0"/>
        <v>FSN</v>
      </c>
    </row>
    <row r="20" spans="1:20" ht="15" customHeight="1" x14ac:dyDescent="0.2">
      <c r="A20" s="11"/>
      <c r="B20" s="56" t="s">
        <v>103</v>
      </c>
      <c r="C20" s="39"/>
      <c r="D20" s="34">
        <f t="shared" si="1"/>
        <v>6</v>
      </c>
      <c r="E20" s="34">
        <f>+precio!B8</f>
        <v>0</v>
      </c>
      <c r="F20" s="44">
        <v>0.2</v>
      </c>
      <c r="G20" s="44"/>
      <c r="H20" s="34"/>
      <c r="I20" s="45" t="str">
        <f t="shared" si="0"/>
        <v>FSN</v>
      </c>
    </row>
    <row r="21" spans="1:20" ht="15" customHeight="1" x14ac:dyDescent="0.2">
      <c r="A21" s="11"/>
      <c r="B21" s="56" t="s">
        <v>45</v>
      </c>
      <c r="C21" s="39"/>
      <c r="D21" s="34">
        <f>+D18</f>
        <v>6</v>
      </c>
      <c r="E21" s="34">
        <f>+precio!B6</f>
        <v>0</v>
      </c>
      <c r="F21" s="44">
        <f t="shared" ref="F21" si="2">+F18</f>
        <v>0.2</v>
      </c>
      <c r="G21" s="44"/>
      <c r="H21" s="34">
        <f>+E21*(1-F21)</f>
        <v>0</v>
      </c>
      <c r="I21" s="45" t="str">
        <f>+I18</f>
        <v>FSN</v>
      </c>
    </row>
    <row r="22" spans="1:20" ht="15" customHeight="1" thickBot="1" x14ac:dyDescent="0.25">
      <c r="A22" s="15"/>
      <c r="B22" s="175" t="s">
        <v>105</v>
      </c>
      <c r="C22" s="8"/>
      <c r="D22" s="35">
        <f>SUM(D16:D21)</f>
        <v>36</v>
      </c>
      <c r="E22" s="55">
        <f>+(D22-F22)/D22</f>
        <v>1</v>
      </c>
      <c r="F22" s="35">
        <f>SUM(H16:H21)</f>
        <v>0</v>
      </c>
      <c r="G22" s="137"/>
      <c r="H22" s="9"/>
      <c r="I22" s="9"/>
    </row>
    <row r="24" spans="1:20" ht="15" hidden="1" customHeight="1" thickBot="1" x14ac:dyDescent="0.25">
      <c r="B24" s="2"/>
      <c r="C24" s="2"/>
      <c r="D24" s="2"/>
      <c r="E24" s="2"/>
      <c r="F24" s="2"/>
      <c r="G24" s="2"/>
      <c r="H24" s="2"/>
      <c r="I24" s="2"/>
      <c r="J24" s="13" t="s">
        <v>6</v>
      </c>
      <c r="K24" s="369" t="s">
        <v>34</v>
      </c>
      <c r="L24" s="370"/>
      <c r="M24" s="369" t="s">
        <v>35</v>
      </c>
      <c r="N24" s="371"/>
      <c r="O24" s="83" t="s">
        <v>16</v>
      </c>
      <c r="P24" s="85" t="s">
        <v>7</v>
      </c>
      <c r="Q24" s="85" t="s">
        <v>33</v>
      </c>
      <c r="R24" s="85" t="s">
        <v>8</v>
      </c>
      <c r="S24" s="84" t="s">
        <v>8</v>
      </c>
      <c r="T24" s="131" t="s">
        <v>20</v>
      </c>
    </row>
    <row r="25" spans="1:20" ht="15" hidden="1" customHeight="1" thickBot="1" x14ac:dyDescent="0.25">
      <c r="A25" s="4" t="s">
        <v>10</v>
      </c>
      <c r="B25" s="364" t="s">
        <v>0</v>
      </c>
      <c r="C25" s="365"/>
      <c r="D25" s="365"/>
      <c r="E25" s="365"/>
      <c r="F25" s="365"/>
      <c r="G25" s="365"/>
      <c r="H25" s="365"/>
      <c r="I25" s="366"/>
      <c r="J25" s="75" t="s">
        <v>13</v>
      </c>
      <c r="K25" s="7" t="s">
        <v>28</v>
      </c>
      <c r="L25" s="9" t="s">
        <v>16</v>
      </c>
      <c r="M25" s="7" t="s">
        <v>28</v>
      </c>
      <c r="N25" s="28" t="s">
        <v>16</v>
      </c>
      <c r="O25" s="7" t="s">
        <v>12</v>
      </c>
      <c r="P25" s="8" t="s">
        <v>17</v>
      </c>
      <c r="Q25" s="8" t="s">
        <v>12</v>
      </c>
      <c r="R25" s="8" t="s">
        <v>11</v>
      </c>
      <c r="S25" s="9" t="s">
        <v>49</v>
      </c>
      <c r="T25" s="132"/>
    </row>
    <row r="26" spans="1:20" ht="15" hidden="1" customHeight="1" thickBot="1" x14ac:dyDescent="0.25">
      <c r="A26" s="10"/>
      <c r="B26" s="29" t="s">
        <v>19</v>
      </c>
      <c r="C26" s="52"/>
      <c r="D26" s="53"/>
      <c r="E26" s="53"/>
      <c r="F26" s="126" t="s">
        <v>120</v>
      </c>
      <c r="G26" s="147"/>
      <c r="H26" s="372" t="s">
        <v>133</v>
      </c>
      <c r="I26" s="373"/>
      <c r="J26" s="146"/>
      <c r="K26" s="25" t="s">
        <v>125</v>
      </c>
      <c r="L26" s="130"/>
      <c r="M26" s="25" t="s">
        <v>29</v>
      </c>
      <c r="N26" s="78">
        <f>+C31-45</f>
        <v>45950</v>
      </c>
      <c r="O26" s="57"/>
      <c r="P26" s="59"/>
      <c r="Q26" s="46"/>
      <c r="R26" s="65" t="e">
        <f>+(F41/2)-P26</f>
        <v>#DIV/0!</v>
      </c>
      <c r="S26" s="58" t="e">
        <f>+F41-P26</f>
        <v>#DIV/0!</v>
      </c>
      <c r="T26" s="22"/>
    </row>
    <row r="27" spans="1:20" ht="15" hidden="1" customHeight="1" thickBot="1" x14ac:dyDescent="0.25">
      <c r="A27" s="15"/>
      <c r="B27" s="14" t="s">
        <v>3</v>
      </c>
      <c r="C27" s="122" t="s">
        <v>113</v>
      </c>
      <c r="D27" s="1"/>
      <c r="E27" s="116" t="s">
        <v>106</v>
      </c>
      <c r="F27" s="116"/>
      <c r="G27" s="117"/>
      <c r="H27" s="118"/>
      <c r="I27" s="141"/>
      <c r="K27" s="18" t="s">
        <v>126</v>
      </c>
      <c r="L27" s="77"/>
      <c r="M27" s="18" t="s">
        <v>30</v>
      </c>
      <c r="N27" s="79">
        <f>+C31-30</f>
        <v>45965</v>
      </c>
      <c r="O27" s="47"/>
      <c r="P27" s="60"/>
      <c r="Q27" s="48"/>
      <c r="R27" s="66"/>
      <c r="S27" s="67"/>
      <c r="T27" s="23"/>
    </row>
    <row r="28" spans="1:20" ht="15" hidden="1" customHeight="1" thickBot="1" x14ac:dyDescent="0.25">
      <c r="A28" s="15"/>
      <c r="B28" s="14" t="s">
        <v>1</v>
      </c>
      <c r="C28" s="123" t="s">
        <v>114</v>
      </c>
      <c r="D28" s="1"/>
      <c r="E28" s="116" t="s">
        <v>106</v>
      </c>
      <c r="F28" s="116"/>
      <c r="G28" s="117"/>
      <c r="H28" s="118"/>
      <c r="I28" s="141"/>
      <c r="K28" s="18" t="s">
        <v>127</v>
      </c>
      <c r="L28" s="77"/>
      <c r="M28" s="18" t="s">
        <v>31</v>
      </c>
      <c r="N28" s="79">
        <f>+C31-15</f>
        <v>45980</v>
      </c>
      <c r="O28" s="47"/>
      <c r="P28" s="60"/>
      <c r="Q28" s="48"/>
      <c r="R28" s="66"/>
      <c r="S28" s="67"/>
      <c r="T28" s="23"/>
    </row>
    <row r="29" spans="1:20" ht="15" hidden="1" customHeight="1" x14ac:dyDescent="0.2">
      <c r="A29" s="15"/>
      <c r="B29" s="14" t="s">
        <v>2</v>
      </c>
      <c r="C29" s="39"/>
      <c r="D29" s="1"/>
      <c r="E29" s="116" t="s">
        <v>106</v>
      </c>
      <c r="F29" s="116"/>
      <c r="G29" s="117"/>
      <c r="H29" s="118"/>
      <c r="I29" s="141"/>
      <c r="K29" s="18" t="s">
        <v>128</v>
      </c>
      <c r="L29" s="77"/>
      <c r="M29" s="18" t="s">
        <v>32</v>
      </c>
      <c r="N29" s="79">
        <f>+C31-7</f>
        <v>45988</v>
      </c>
      <c r="O29" s="47"/>
      <c r="P29" s="60"/>
      <c r="Q29" s="48"/>
      <c r="R29" s="66"/>
      <c r="S29" s="67"/>
      <c r="T29" s="23"/>
    </row>
    <row r="30" spans="1:20" ht="15" hidden="1" customHeight="1" thickBot="1" x14ac:dyDescent="0.25">
      <c r="A30" s="15"/>
      <c r="B30" s="14" t="s">
        <v>9</v>
      </c>
      <c r="C30" s="33"/>
      <c r="D30" s="1"/>
      <c r="H30" s="129" t="s">
        <v>122</v>
      </c>
      <c r="I30" s="142"/>
      <c r="K30" s="18" t="s">
        <v>129</v>
      </c>
      <c r="L30" s="77"/>
      <c r="M30" s="7" t="s">
        <v>27</v>
      </c>
      <c r="N30" s="20"/>
      <c r="O30" s="49"/>
      <c r="P30" s="61"/>
      <c r="Q30" s="50"/>
      <c r="R30" s="68"/>
      <c r="S30" s="69"/>
      <c r="T30" s="37"/>
    </row>
    <row r="31" spans="1:20" ht="15" hidden="1" customHeight="1" thickBot="1" x14ac:dyDescent="0.25">
      <c r="A31" s="15"/>
      <c r="B31" s="36" t="s">
        <v>4</v>
      </c>
      <c r="C31" s="125">
        <v>45995</v>
      </c>
      <c r="D31" s="1"/>
      <c r="E31" s="127" t="s">
        <v>121</v>
      </c>
      <c r="F31" s="127"/>
      <c r="G31" s="127"/>
      <c r="H31" s="127"/>
      <c r="I31" s="128"/>
      <c r="K31" s="18" t="s">
        <v>130</v>
      </c>
      <c r="L31" s="77"/>
      <c r="O31" s="51"/>
      <c r="P31" s="62"/>
      <c r="Q31" s="42"/>
      <c r="R31" s="70"/>
      <c r="S31" s="71"/>
      <c r="T31" s="24"/>
    </row>
    <row r="32" spans="1:20" ht="15" hidden="1" customHeight="1" thickBot="1" x14ac:dyDescent="0.25">
      <c r="A32" s="15"/>
      <c r="B32" s="14" t="s">
        <v>5</v>
      </c>
      <c r="C32" s="135">
        <f>+C31+C33</f>
        <v>45999</v>
      </c>
      <c r="D32" s="1"/>
      <c r="E32" s="1"/>
      <c r="F32" s="1"/>
      <c r="G32" s="1"/>
      <c r="H32" s="1"/>
      <c r="I32" s="31"/>
      <c r="K32" s="7" t="s">
        <v>27</v>
      </c>
      <c r="L32" s="19"/>
    </row>
    <row r="33" spans="1:12" ht="15" hidden="1" customHeight="1" thickBot="1" x14ac:dyDescent="0.25">
      <c r="A33" s="15"/>
      <c r="B33" s="14" t="s">
        <v>47</v>
      </c>
      <c r="C33" s="124">
        <v>4</v>
      </c>
      <c r="D33" s="1"/>
      <c r="E33" s="1"/>
      <c r="F33" s="1"/>
      <c r="G33" s="1"/>
      <c r="H33" s="1"/>
      <c r="I33" s="31"/>
    </row>
    <row r="34" spans="1:12" ht="15" hidden="1" customHeight="1" x14ac:dyDescent="0.2">
      <c r="A34" s="32"/>
      <c r="B34" s="15"/>
      <c r="D34" s="367" t="s">
        <v>124</v>
      </c>
      <c r="E34" s="367"/>
      <c r="F34" s="367"/>
      <c r="G34" s="367"/>
      <c r="H34" s="367"/>
      <c r="I34" s="368"/>
    </row>
    <row r="35" spans="1:12" ht="15" hidden="1" customHeight="1" thickBot="1" x14ac:dyDescent="0.25">
      <c r="A35" s="15"/>
      <c r="B35" s="133" t="s">
        <v>18</v>
      </c>
      <c r="C35" s="134" t="s">
        <v>14</v>
      </c>
      <c r="D35" s="6" t="s">
        <v>15</v>
      </c>
      <c r="E35" s="6" t="s">
        <v>132</v>
      </c>
      <c r="F35" s="6" t="s">
        <v>123</v>
      </c>
      <c r="G35" s="6" t="s">
        <v>131</v>
      </c>
      <c r="H35" s="6" t="s">
        <v>101</v>
      </c>
      <c r="I35" s="17" t="s">
        <v>39</v>
      </c>
    </row>
    <row r="36" spans="1:12" ht="15" hidden="1" customHeight="1" thickBot="1" x14ac:dyDescent="0.25">
      <c r="A36" s="139">
        <v>1</v>
      </c>
      <c r="B36" s="143" t="s">
        <v>113</v>
      </c>
      <c r="C36" s="48"/>
      <c r="D36" s="34" t="e">
        <f>+#REF!</f>
        <v>#REF!</v>
      </c>
      <c r="E36" s="34">
        <f>+C30</f>
        <v>0</v>
      </c>
      <c r="F36" s="136">
        <v>0</v>
      </c>
      <c r="G36" s="136">
        <v>0</v>
      </c>
      <c r="H36" s="34"/>
      <c r="I36" s="17"/>
    </row>
    <row r="37" spans="1:12" ht="15" hidden="1" customHeight="1" thickBot="1" x14ac:dyDescent="0.25">
      <c r="A37" s="139">
        <f>+A36+1</f>
        <v>2</v>
      </c>
      <c r="B37" s="143" t="s">
        <v>115</v>
      </c>
      <c r="C37" s="48"/>
      <c r="D37" s="34" t="e">
        <f>+#REF!</f>
        <v>#REF!</v>
      </c>
      <c r="E37" s="34"/>
      <c r="F37" s="136">
        <f>+F36</f>
        <v>0</v>
      </c>
      <c r="G37" s="136"/>
      <c r="H37" s="34"/>
      <c r="I37" s="17"/>
    </row>
    <row r="38" spans="1:12" ht="15" hidden="1" customHeight="1" thickBot="1" x14ac:dyDescent="0.25">
      <c r="A38" s="139">
        <f t="shared" ref="A38:A40" si="3">+A37+1</f>
        <v>3</v>
      </c>
      <c r="B38" s="143" t="s">
        <v>116</v>
      </c>
      <c r="C38" s="48"/>
      <c r="D38" s="34" t="e">
        <f>+#REF!</f>
        <v>#REF!</v>
      </c>
      <c r="E38" s="34"/>
      <c r="F38" s="136">
        <f t="shared" ref="F38:F40" si="4">+F37</f>
        <v>0</v>
      </c>
      <c r="G38" s="136"/>
      <c r="H38" s="34"/>
      <c r="I38" s="17"/>
    </row>
    <row r="39" spans="1:12" ht="15" hidden="1" customHeight="1" thickBot="1" x14ac:dyDescent="0.25">
      <c r="A39" s="139">
        <f t="shared" si="3"/>
        <v>4</v>
      </c>
      <c r="B39" s="143" t="s">
        <v>117</v>
      </c>
      <c r="C39" s="48"/>
      <c r="D39" s="34" t="e">
        <f>+#REF!</f>
        <v>#REF!</v>
      </c>
      <c r="E39" s="34"/>
      <c r="F39" s="136">
        <f t="shared" si="4"/>
        <v>0</v>
      </c>
      <c r="G39" s="136"/>
      <c r="H39" s="34"/>
      <c r="I39" s="17"/>
    </row>
    <row r="40" spans="1:12" ht="15" hidden="1" customHeight="1" thickBot="1" x14ac:dyDescent="0.25">
      <c r="A40" s="140">
        <f t="shared" si="3"/>
        <v>5</v>
      </c>
      <c r="B40" s="144" t="s">
        <v>118</v>
      </c>
      <c r="C40" s="48"/>
      <c r="D40" s="34" t="e">
        <f>+#REF!</f>
        <v>#REF!</v>
      </c>
      <c r="E40" s="34"/>
      <c r="F40" s="136">
        <f t="shared" si="4"/>
        <v>0</v>
      </c>
      <c r="G40" s="148"/>
      <c r="H40" s="138"/>
      <c r="I40" s="21"/>
    </row>
    <row r="41" spans="1:12" ht="15" hidden="1" customHeight="1" thickBot="1" x14ac:dyDescent="0.25">
      <c r="A41" s="15"/>
      <c r="B41" s="145" t="s">
        <v>105</v>
      </c>
      <c r="C41" s="26"/>
      <c r="D41" s="35" t="e">
        <f>SUM(D36:D40)</f>
        <v>#REF!</v>
      </c>
      <c r="E41" s="55"/>
      <c r="F41" s="137" t="e">
        <f>+(E41-H41)/E41</f>
        <v>#DIV/0!</v>
      </c>
      <c r="G41" s="137"/>
      <c r="H41" s="8"/>
      <c r="I41" s="9"/>
    </row>
    <row r="44" spans="1:12" ht="15" customHeight="1" x14ac:dyDescent="0.2">
      <c r="A44" s="27" t="s">
        <v>188</v>
      </c>
    </row>
    <row r="45" spans="1:12" ht="15" customHeight="1" thickBot="1" x14ac:dyDescent="0.25"/>
    <row r="46" spans="1:12" ht="15" customHeight="1" thickBot="1" x14ac:dyDescent="0.25">
      <c r="G46" s="369" t="s">
        <v>36</v>
      </c>
      <c r="H46" s="374"/>
      <c r="I46" s="374"/>
      <c r="J46" s="374"/>
      <c r="K46" s="370"/>
    </row>
    <row r="47" spans="1:12" ht="15" customHeight="1" x14ac:dyDescent="0.2">
      <c r="B47" s="13" t="s">
        <v>6</v>
      </c>
      <c r="C47" s="369" t="s">
        <v>34</v>
      </c>
      <c r="D47" s="370"/>
      <c r="E47" s="369" t="s">
        <v>35</v>
      </c>
      <c r="F47" s="371"/>
      <c r="G47" s="30" t="s">
        <v>16</v>
      </c>
      <c r="H47" s="3" t="s">
        <v>7</v>
      </c>
      <c r="I47" s="3" t="s">
        <v>33</v>
      </c>
      <c r="J47" s="3" t="s">
        <v>8</v>
      </c>
      <c r="K47" s="72" t="s">
        <v>8</v>
      </c>
      <c r="L47" s="63" t="s">
        <v>20</v>
      </c>
    </row>
    <row r="48" spans="1:12" ht="15" customHeight="1" thickBot="1" x14ac:dyDescent="0.25">
      <c r="B48" s="75" t="s">
        <v>13</v>
      </c>
      <c r="C48" s="7" t="s">
        <v>28</v>
      </c>
      <c r="D48" s="9" t="s">
        <v>16</v>
      </c>
      <c r="E48" s="7" t="s">
        <v>28</v>
      </c>
      <c r="F48" s="28" t="s">
        <v>16</v>
      </c>
      <c r="G48" s="73" t="s">
        <v>12</v>
      </c>
      <c r="H48" s="74" t="s">
        <v>17</v>
      </c>
      <c r="I48" s="74" t="s">
        <v>12</v>
      </c>
      <c r="J48" s="74" t="s">
        <v>11</v>
      </c>
      <c r="K48" s="75" t="s">
        <v>49</v>
      </c>
      <c r="L48" s="64"/>
    </row>
    <row r="49" spans="2:12" ht="15" customHeight="1" thickBot="1" x14ac:dyDescent="0.25">
      <c r="B49" s="76">
        <v>45855</v>
      </c>
      <c r="C49" s="25" t="s">
        <v>21</v>
      </c>
      <c r="D49" s="81">
        <f>+C6+30</f>
        <v>45883</v>
      </c>
      <c r="E49" s="25" t="s">
        <v>29</v>
      </c>
      <c r="F49" s="78">
        <f>+C11-45</f>
        <v>45961</v>
      </c>
      <c r="G49" s="57">
        <v>45912</v>
      </c>
      <c r="H49" s="59">
        <v>3500000</v>
      </c>
      <c r="I49" s="46" t="s">
        <v>48</v>
      </c>
      <c r="J49" s="65">
        <f>+(F22/2)-H49</f>
        <v>-3500000</v>
      </c>
      <c r="K49" s="58">
        <f>+F22-H49</f>
        <v>-3500000</v>
      </c>
      <c r="L49" s="22" t="s">
        <v>50</v>
      </c>
    </row>
    <row r="50" spans="2:12" ht="15" customHeight="1" x14ac:dyDescent="0.2">
      <c r="C50" s="18" t="s">
        <v>22</v>
      </c>
      <c r="D50" s="82">
        <f>+C6+45</f>
        <v>45898</v>
      </c>
      <c r="E50" s="18" t="s">
        <v>30</v>
      </c>
      <c r="F50" s="79">
        <f>+C11-30</f>
        <v>45976</v>
      </c>
      <c r="G50" s="47"/>
      <c r="H50" s="60"/>
      <c r="I50" s="48"/>
      <c r="J50" s="66"/>
      <c r="K50" s="67"/>
      <c r="L50" s="110" t="s">
        <v>104</v>
      </c>
    </row>
    <row r="51" spans="2:12" ht="15" customHeight="1" x14ac:dyDescent="0.2">
      <c r="C51" s="18" t="s">
        <v>23</v>
      </c>
      <c r="D51" s="77">
        <f>+C6+60</f>
        <v>45913</v>
      </c>
      <c r="E51" s="18" t="s">
        <v>31</v>
      </c>
      <c r="F51" s="79">
        <f>+C11-15</f>
        <v>45991</v>
      </c>
      <c r="G51" s="47"/>
      <c r="H51" s="60"/>
      <c r="I51" s="48"/>
      <c r="J51" s="66"/>
      <c r="K51" s="67"/>
      <c r="L51" s="23"/>
    </row>
    <row r="52" spans="2:12" ht="15" customHeight="1" x14ac:dyDescent="0.2">
      <c r="C52" s="18" t="s">
        <v>24</v>
      </c>
      <c r="D52" s="77">
        <f>+C6+75</f>
        <v>45928</v>
      </c>
      <c r="E52" s="18" t="s">
        <v>32</v>
      </c>
      <c r="F52" s="79">
        <f>+C11-7</f>
        <v>45999</v>
      </c>
      <c r="G52" s="47"/>
      <c r="H52" s="60"/>
      <c r="I52" s="48"/>
      <c r="J52" s="66"/>
      <c r="K52" s="67"/>
      <c r="L52" s="23"/>
    </row>
    <row r="53" spans="2:12" ht="15" customHeight="1" thickBot="1" x14ac:dyDescent="0.25">
      <c r="C53" s="18" t="s">
        <v>25</v>
      </c>
      <c r="D53" s="77">
        <f>+C6+90</f>
        <v>45943</v>
      </c>
      <c r="E53" s="7" t="s">
        <v>27</v>
      </c>
      <c r="F53" s="20"/>
      <c r="G53" s="49"/>
      <c r="H53" s="61"/>
      <c r="I53" s="50"/>
      <c r="J53" s="68"/>
      <c r="K53" s="69"/>
      <c r="L53" s="37"/>
    </row>
    <row r="54" spans="2:12" ht="15" customHeight="1" thickBot="1" x14ac:dyDescent="0.25">
      <c r="C54" s="18" t="s">
        <v>26</v>
      </c>
      <c r="D54" s="77">
        <f>+C6+105</f>
        <v>45958</v>
      </c>
      <c r="G54" s="51"/>
      <c r="H54" s="62"/>
      <c r="I54" s="42"/>
      <c r="J54" s="70"/>
      <c r="K54" s="71"/>
      <c r="L54" s="24"/>
    </row>
    <row r="55" spans="2:12" ht="15" customHeight="1" thickBot="1" x14ac:dyDescent="0.25">
      <c r="C55" s="7" t="s">
        <v>27</v>
      </c>
      <c r="D55" s="19"/>
    </row>
  </sheetData>
  <mergeCells count="10">
    <mergeCell ref="D34:I34"/>
    <mergeCell ref="H26:I26"/>
    <mergeCell ref="E47:F47"/>
    <mergeCell ref="C47:D47"/>
    <mergeCell ref="G46:K46"/>
    <mergeCell ref="B5:I5"/>
    <mergeCell ref="D14:I14"/>
    <mergeCell ref="K24:L24"/>
    <mergeCell ref="M24:N24"/>
    <mergeCell ref="B25:I25"/>
  </mergeCells>
  <phoneticPr fontId="3" type="noConversion"/>
  <hyperlinks>
    <hyperlink ref="C8" r:id="rId1" xr:uid="{BAD73A44-485D-4653-81D1-5BCD03D25E1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23E4-6C45-491E-A519-E2AD8A0A56EC}">
  <sheetPr codeName="Hoja6"/>
  <dimension ref="A1:K59"/>
  <sheetViews>
    <sheetView topLeftCell="A4" zoomScale="80" zoomScaleNormal="80" workbookViewId="0">
      <selection activeCell="B4" sqref="B4"/>
    </sheetView>
  </sheetViews>
  <sheetFormatPr baseColWidth="10" defaultRowHeight="15" x14ac:dyDescent="0.2"/>
  <cols>
    <col min="1" max="1" width="17" bestFit="1" customWidth="1"/>
    <col min="4" max="4" width="26.5" bestFit="1" customWidth="1"/>
    <col min="5" max="5" width="17.5" bestFit="1" customWidth="1"/>
    <col min="11" max="11" width="17.83203125" bestFit="1" customWidth="1"/>
  </cols>
  <sheetData>
    <row r="1" spans="1:11" ht="16" thickBot="1" x14ac:dyDescent="0.25"/>
    <row r="2" spans="1:11" ht="27" x14ac:dyDescent="0.35">
      <c r="A2" s="375" t="s">
        <v>304</v>
      </c>
      <c r="B2" s="376"/>
      <c r="C2" s="376"/>
      <c r="D2" s="376"/>
      <c r="E2" s="377"/>
      <c r="G2" s="375" t="s">
        <v>305</v>
      </c>
      <c r="H2" s="376"/>
      <c r="I2" s="376"/>
      <c r="J2" s="376"/>
      <c r="K2" s="377"/>
    </row>
    <row r="3" spans="1:11" ht="16" thickBot="1" x14ac:dyDescent="0.25">
      <c r="A3" s="241" t="s">
        <v>231</v>
      </c>
      <c r="B3" s="242" t="s">
        <v>244</v>
      </c>
      <c r="C3" s="242" t="s">
        <v>218</v>
      </c>
      <c r="D3" s="242" t="s">
        <v>245</v>
      </c>
      <c r="E3" s="240" t="s">
        <v>246</v>
      </c>
      <c r="G3" s="233" t="s">
        <v>231</v>
      </c>
      <c r="H3" s="238" t="s">
        <v>244</v>
      </c>
      <c r="I3" s="238" t="s">
        <v>218</v>
      </c>
      <c r="J3" s="238" t="s">
        <v>245</v>
      </c>
      <c r="K3" s="240" t="s">
        <v>247</v>
      </c>
    </row>
    <row r="4" spans="1:11" x14ac:dyDescent="0.2">
      <c r="A4" s="230" t="s">
        <v>83</v>
      </c>
      <c r="B4" s="3">
        <v>1</v>
      </c>
      <c r="C4" s="231" t="s">
        <v>69</v>
      </c>
      <c r="D4" s="231" t="str">
        <f>+CONCATENATE(A4," ",C4)</f>
        <v>Base single 1 noche</v>
      </c>
      <c r="E4" s="232">
        <v>770000</v>
      </c>
      <c r="G4" s="230" t="s">
        <v>83</v>
      </c>
      <c r="H4">
        <v>1</v>
      </c>
      <c r="I4" t="s">
        <v>69</v>
      </c>
      <c r="J4" t="s">
        <v>248</v>
      </c>
      <c r="K4" s="237">
        <v>1889.9999999999998</v>
      </c>
    </row>
    <row r="5" spans="1:11" x14ac:dyDescent="0.2">
      <c r="A5" s="230" t="s">
        <v>84</v>
      </c>
      <c r="B5" s="3">
        <v>1</v>
      </c>
      <c r="C5" s="231" t="s">
        <v>69</v>
      </c>
      <c r="D5" s="231" t="str">
        <f t="shared" ref="D5:D59" si="0">+CONCATENATE(A5," ",C5)</f>
        <v>Base doble 1 noche</v>
      </c>
      <c r="E5" s="232">
        <v>550000</v>
      </c>
      <c r="G5" s="230" t="s">
        <v>84</v>
      </c>
      <c r="H5">
        <v>1</v>
      </c>
      <c r="I5" t="s">
        <v>69</v>
      </c>
      <c r="J5" t="s">
        <v>249</v>
      </c>
      <c r="K5" s="237">
        <v>1350</v>
      </c>
    </row>
    <row r="6" spans="1:11" x14ac:dyDescent="0.2">
      <c r="A6" s="230" t="s">
        <v>85</v>
      </c>
      <c r="B6" s="3">
        <v>1</v>
      </c>
      <c r="C6" s="231" t="s">
        <v>69</v>
      </c>
      <c r="D6" s="231" t="str">
        <f t="shared" si="0"/>
        <v>Non angler nacional 1 noche</v>
      </c>
      <c r="E6" s="232">
        <v>550000</v>
      </c>
      <c r="G6" s="230" t="s">
        <v>85</v>
      </c>
      <c r="H6">
        <v>1</v>
      </c>
      <c r="I6" t="s">
        <v>69</v>
      </c>
      <c r="J6" t="s">
        <v>250</v>
      </c>
      <c r="K6" s="237">
        <v>944.99999999999989</v>
      </c>
    </row>
    <row r="7" spans="1:11" x14ac:dyDescent="0.2">
      <c r="A7" s="230" t="s">
        <v>83</v>
      </c>
      <c r="B7" s="3">
        <f>+B4+1</f>
        <v>2</v>
      </c>
      <c r="C7" s="231" t="s">
        <v>70</v>
      </c>
      <c r="D7" s="231" t="str">
        <f t="shared" si="0"/>
        <v>Base single 2 noches</v>
      </c>
      <c r="E7" s="232">
        <v>1330000</v>
      </c>
      <c r="G7" s="230" t="s">
        <v>83</v>
      </c>
      <c r="H7">
        <v>2</v>
      </c>
      <c r="I7" t="s">
        <v>70</v>
      </c>
      <c r="J7" t="s">
        <v>251</v>
      </c>
      <c r="K7" s="237">
        <v>3150</v>
      </c>
    </row>
    <row r="8" spans="1:11" x14ac:dyDescent="0.2">
      <c r="A8" s="230" t="s">
        <v>84</v>
      </c>
      <c r="B8" s="3">
        <f t="shared" ref="B8:B45" si="1">+B5+1</f>
        <v>2</v>
      </c>
      <c r="C8" s="231" t="s">
        <v>70</v>
      </c>
      <c r="D8" s="231" t="str">
        <f t="shared" si="0"/>
        <v>Base doble 2 noches</v>
      </c>
      <c r="E8" s="232">
        <v>950000</v>
      </c>
      <c r="G8" s="230" t="s">
        <v>84</v>
      </c>
      <c r="H8">
        <v>2</v>
      </c>
      <c r="I8" t="s">
        <v>70</v>
      </c>
      <c r="J8" t="s">
        <v>252</v>
      </c>
      <c r="K8" s="237">
        <v>2250</v>
      </c>
    </row>
    <row r="9" spans="1:11" x14ac:dyDescent="0.2">
      <c r="A9" s="230" t="s">
        <v>85</v>
      </c>
      <c r="B9" s="3">
        <f t="shared" si="1"/>
        <v>2</v>
      </c>
      <c r="C9" s="231" t="s">
        <v>70</v>
      </c>
      <c r="D9" s="231" t="str">
        <f t="shared" si="0"/>
        <v>Non angler nacional 2 noches</v>
      </c>
      <c r="E9" s="232">
        <v>950000</v>
      </c>
      <c r="G9" s="230" t="s">
        <v>85</v>
      </c>
      <c r="H9">
        <v>2</v>
      </c>
      <c r="I9" t="s">
        <v>70</v>
      </c>
      <c r="J9" t="s">
        <v>253</v>
      </c>
      <c r="K9" s="237">
        <v>1575</v>
      </c>
    </row>
    <row r="10" spans="1:11" x14ac:dyDescent="0.2">
      <c r="A10" s="230" t="s">
        <v>83</v>
      </c>
      <c r="B10" s="3">
        <f t="shared" si="1"/>
        <v>3</v>
      </c>
      <c r="C10" s="231" t="s">
        <v>71</v>
      </c>
      <c r="D10" s="231" t="str">
        <f t="shared" si="0"/>
        <v>Base single 3 noches</v>
      </c>
      <c r="E10" s="232">
        <v>1889999.9999999998</v>
      </c>
      <c r="G10" s="230" t="s">
        <v>83</v>
      </c>
      <c r="H10">
        <v>3</v>
      </c>
      <c r="I10" t="s">
        <v>71</v>
      </c>
      <c r="J10" t="s">
        <v>254</v>
      </c>
      <c r="K10" s="237">
        <v>4410</v>
      </c>
    </row>
    <row r="11" spans="1:11" x14ac:dyDescent="0.2">
      <c r="A11" s="230" t="s">
        <v>84</v>
      </c>
      <c r="B11" s="3">
        <f t="shared" si="1"/>
        <v>3</v>
      </c>
      <c r="C11" s="231" t="s">
        <v>71</v>
      </c>
      <c r="D11" s="231" t="str">
        <f t="shared" si="0"/>
        <v>Base doble 3 noches</v>
      </c>
      <c r="E11" s="232">
        <v>1350000</v>
      </c>
      <c r="G11" s="230" t="s">
        <v>84</v>
      </c>
      <c r="H11">
        <v>3</v>
      </c>
      <c r="I11" t="s">
        <v>71</v>
      </c>
      <c r="J11" t="s">
        <v>255</v>
      </c>
      <c r="K11" s="237">
        <v>3150</v>
      </c>
    </row>
    <row r="12" spans="1:11" x14ac:dyDescent="0.2">
      <c r="A12" s="230" t="s">
        <v>85</v>
      </c>
      <c r="B12" s="3">
        <f t="shared" si="1"/>
        <v>3</v>
      </c>
      <c r="C12" s="231" t="s">
        <v>71</v>
      </c>
      <c r="D12" s="231" t="str">
        <f t="shared" si="0"/>
        <v>Non angler nacional 3 noches</v>
      </c>
      <c r="E12" s="232">
        <v>1350000</v>
      </c>
      <c r="G12" s="230" t="s">
        <v>85</v>
      </c>
      <c r="H12">
        <v>3</v>
      </c>
      <c r="I12" t="s">
        <v>71</v>
      </c>
      <c r="J12" t="s">
        <v>256</v>
      </c>
      <c r="K12" s="237">
        <v>2205</v>
      </c>
    </row>
    <row r="13" spans="1:11" x14ac:dyDescent="0.2">
      <c r="A13" s="230" t="s">
        <v>83</v>
      </c>
      <c r="B13" s="3">
        <f t="shared" si="1"/>
        <v>4</v>
      </c>
      <c r="C13" s="231" t="s">
        <v>72</v>
      </c>
      <c r="D13" s="231" t="str">
        <f t="shared" si="0"/>
        <v>Base single 4 noches</v>
      </c>
      <c r="E13" s="232">
        <v>2450000</v>
      </c>
      <c r="G13" s="230" t="s">
        <v>83</v>
      </c>
      <c r="H13">
        <v>4</v>
      </c>
      <c r="I13" t="s">
        <v>72</v>
      </c>
      <c r="J13" t="s">
        <v>257</v>
      </c>
      <c r="K13" s="237">
        <v>5670</v>
      </c>
    </row>
    <row r="14" spans="1:11" x14ac:dyDescent="0.2">
      <c r="A14" s="230" t="s">
        <v>84</v>
      </c>
      <c r="B14" s="3">
        <f t="shared" si="1"/>
        <v>4</v>
      </c>
      <c r="C14" s="231" t="s">
        <v>72</v>
      </c>
      <c r="D14" s="231" t="str">
        <f t="shared" si="0"/>
        <v>Base doble 4 noches</v>
      </c>
      <c r="E14" s="232">
        <v>1750000</v>
      </c>
      <c r="G14" s="230" t="s">
        <v>84</v>
      </c>
      <c r="H14">
        <v>4</v>
      </c>
      <c r="I14" t="s">
        <v>72</v>
      </c>
      <c r="J14" t="s">
        <v>258</v>
      </c>
      <c r="K14" s="237">
        <v>4050</v>
      </c>
    </row>
    <row r="15" spans="1:11" x14ac:dyDescent="0.2">
      <c r="A15" s="230" t="s">
        <v>85</v>
      </c>
      <c r="B15" s="3">
        <f t="shared" si="1"/>
        <v>4</v>
      </c>
      <c r="C15" s="231" t="s">
        <v>72</v>
      </c>
      <c r="D15" s="231" t="str">
        <f t="shared" si="0"/>
        <v>Non angler nacional 4 noches</v>
      </c>
      <c r="E15" s="232">
        <v>1750000</v>
      </c>
      <c r="G15" s="230" t="s">
        <v>85</v>
      </c>
      <c r="H15">
        <v>4</v>
      </c>
      <c r="I15" t="s">
        <v>72</v>
      </c>
      <c r="J15" t="s">
        <v>259</v>
      </c>
      <c r="K15" s="237">
        <v>2835</v>
      </c>
    </row>
    <row r="16" spans="1:11" x14ac:dyDescent="0.2">
      <c r="A16" s="230" t="s">
        <v>83</v>
      </c>
      <c r="B16" s="3">
        <f t="shared" si="1"/>
        <v>5</v>
      </c>
      <c r="C16" s="231" t="s">
        <v>73</v>
      </c>
      <c r="D16" s="231" t="str">
        <f t="shared" si="0"/>
        <v>Base single 5 noches</v>
      </c>
      <c r="E16" s="232">
        <v>3010000</v>
      </c>
      <c r="G16" s="230" t="s">
        <v>83</v>
      </c>
      <c r="H16">
        <v>5</v>
      </c>
      <c r="I16" t="s">
        <v>73</v>
      </c>
      <c r="J16" t="s">
        <v>260</v>
      </c>
      <c r="K16" s="237">
        <v>6930</v>
      </c>
    </row>
    <row r="17" spans="1:11" x14ac:dyDescent="0.2">
      <c r="A17" s="230" t="s">
        <v>84</v>
      </c>
      <c r="B17" s="3">
        <f t="shared" si="1"/>
        <v>5</v>
      </c>
      <c r="C17" s="231" t="s">
        <v>73</v>
      </c>
      <c r="D17" s="231" t="str">
        <f t="shared" si="0"/>
        <v>Base doble 5 noches</v>
      </c>
      <c r="E17" s="232">
        <v>2150000</v>
      </c>
      <c r="G17" s="230" t="s">
        <v>84</v>
      </c>
      <c r="H17">
        <v>5</v>
      </c>
      <c r="I17" t="s">
        <v>73</v>
      </c>
      <c r="J17" t="s">
        <v>261</v>
      </c>
      <c r="K17" s="237">
        <v>4950</v>
      </c>
    </row>
    <row r="18" spans="1:11" x14ac:dyDescent="0.2">
      <c r="A18" s="230" t="s">
        <v>85</v>
      </c>
      <c r="B18" s="3">
        <f t="shared" si="1"/>
        <v>5</v>
      </c>
      <c r="C18" s="231" t="s">
        <v>73</v>
      </c>
      <c r="D18" s="231" t="str">
        <f t="shared" si="0"/>
        <v>Non angler nacional 5 noches</v>
      </c>
      <c r="E18" s="232">
        <v>2150000</v>
      </c>
      <c r="G18" s="230" t="s">
        <v>85</v>
      </c>
      <c r="H18">
        <v>5</v>
      </c>
      <c r="I18" t="s">
        <v>73</v>
      </c>
      <c r="J18" t="s">
        <v>262</v>
      </c>
      <c r="K18" s="237">
        <v>3465</v>
      </c>
    </row>
    <row r="19" spans="1:11" x14ac:dyDescent="0.2">
      <c r="A19" s="230" t="s">
        <v>83</v>
      </c>
      <c r="B19" s="3">
        <f t="shared" si="1"/>
        <v>6</v>
      </c>
      <c r="C19" s="231" t="s">
        <v>74</v>
      </c>
      <c r="D19" s="231" t="str">
        <f t="shared" si="0"/>
        <v>Base single 6 noches</v>
      </c>
      <c r="E19" s="232">
        <v>3570000</v>
      </c>
      <c r="G19" s="230" t="s">
        <v>83</v>
      </c>
      <c r="H19">
        <v>6</v>
      </c>
      <c r="I19" t="s">
        <v>74</v>
      </c>
      <c r="J19" t="s">
        <v>263</v>
      </c>
      <c r="K19" s="237">
        <v>8189.9999999999991</v>
      </c>
    </row>
    <row r="20" spans="1:11" x14ac:dyDescent="0.2">
      <c r="A20" s="230" t="s">
        <v>84</v>
      </c>
      <c r="B20" s="3">
        <f t="shared" si="1"/>
        <v>6</v>
      </c>
      <c r="C20" s="231" t="s">
        <v>74</v>
      </c>
      <c r="D20" s="231" t="str">
        <f t="shared" si="0"/>
        <v>Base doble 6 noches</v>
      </c>
      <c r="E20" s="232">
        <v>2550000</v>
      </c>
      <c r="G20" s="230" t="s">
        <v>84</v>
      </c>
      <c r="H20">
        <v>6</v>
      </c>
      <c r="I20" t="s">
        <v>74</v>
      </c>
      <c r="J20" t="s">
        <v>264</v>
      </c>
      <c r="K20" s="237">
        <v>5850</v>
      </c>
    </row>
    <row r="21" spans="1:11" x14ac:dyDescent="0.2">
      <c r="A21" s="230" t="s">
        <v>85</v>
      </c>
      <c r="B21" s="3">
        <f t="shared" si="1"/>
        <v>6</v>
      </c>
      <c r="C21" s="231" t="s">
        <v>74</v>
      </c>
      <c r="D21" s="231" t="str">
        <f t="shared" si="0"/>
        <v>Non angler nacional 6 noches</v>
      </c>
      <c r="E21" s="232">
        <v>2550000</v>
      </c>
      <c r="G21" s="230" t="s">
        <v>85</v>
      </c>
      <c r="H21">
        <v>6</v>
      </c>
      <c r="I21" t="s">
        <v>74</v>
      </c>
      <c r="J21" t="s">
        <v>265</v>
      </c>
      <c r="K21" s="237">
        <v>4094.9999999999995</v>
      </c>
    </row>
    <row r="22" spans="1:11" x14ac:dyDescent="0.2">
      <c r="A22" s="230" t="s">
        <v>83</v>
      </c>
      <c r="B22" s="3">
        <f t="shared" si="1"/>
        <v>7</v>
      </c>
      <c r="C22" s="231" t="s">
        <v>75</v>
      </c>
      <c r="D22" s="231" t="str">
        <f t="shared" si="0"/>
        <v>Base single 7 noches</v>
      </c>
      <c r="E22" s="232">
        <v>4129999.9999999995</v>
      </c>
      <c r="G22" s="230" t="s">
        <v>83</v>
      </c>
      <c r="H22">
        <v>7</v>
      </c>
      <c r="I22" t="s">
        <v>75</v>
      </c>
      <c r="J22" t="s">
        <v>266</v>
      </c>
      <c r="K22" s="237">
        <v>9450</v>
      </c>
    </row>
    <row r="23" spans="1:11" x14ac:dyDescent="0.2">
      <c r="A23" s="230" t="s">
        <v>84</v>
      </c>
      <c r="B23" s="3">
        <f t="shared" si="1"/>
        <v>7</v>
      </c>
      <c r="C23" s="231" t="s">
        <v>75</v>
      </c>
      <c r="D23" s="231" t="str">
        <f t="shared" si="0"/>
        <v>Base doble 7 noches</v>
      </c>
      <c r="E23" s="232">
        <v>2950000</v>
      </c>
      <c r="G23" s="230" t="s">
        <v>84</v>
      </c>
      <c r="H23">
        <v>7</v>
      </c>
      <c r="I23" t="s">
        <v>75</v>
      </c>
      <c r="J23" t="s">
        <v>267</v>
      </c>
      <c r="K23" s="237">
        <v>6750</v>
      </c>
    </row>
    <row r="24" spans="1:11" x14ac:dyDescent="0.2">
      <c r="A24" s="230" t="s">
        <v>85</v>
      </c>
      <c r="B24" s="3">
        <f t="shared" si="1"/>
        <v>7</v>
      </c>
      <c r="C24" s="231" t="s">
        <v>75</v>
      </c>
      <c r="D24" s="231" t="str">
        <f t="shared" si="0"/>
        <v>Non angler nacional 7 noches</v>
      </c>
      <c r="E24" s="232">
        <v>2950000</v>
      </c>
      <c r="G24" s="230" t="s">
        <v>85</v>
      </c>
      <c r="H24">
        <v>7</v>
      </c>
      <c r="I24" t="s">
        <v>75</v>
      </c>
      <c r="J24" t="s">
        <v>268</v>
      </c>
      <c r="K24" s="237">
        <v>4725</v>
      </c>
    </row>
    <row r="25" spans="1:11" x14ac:dyDescent="0.2">
      <c r="A25" s="230" t="s">
        <v>83</v>
      </c>
      <c r="B25" s="3">
        <f t="shared" si="1"/>
        <v>8</v>
      </c>
      <c r="C25" s="231" t="s">
        <v>76</v>
      </c>
      <c r="D25" s="231" t="str">
        <f t="shared" si="0"/>
        <v>Base single 8 noches</v>
      </c>
      <c r="E25" s="232">
        <v>4690000</v>
      </c>
      <c r="G25" s="230" t="s">
        <v>83</v>
      </c>
      <c r="H25">
        <v>8</v>
      </c>
      <c r="I25" t="s">
        <v>76</v>
      </c>
      <c r="J25" t="s">
        <v>269</v>
      </c>
      <c r="K25" s="237">
        <v>10710</v>
      </c>
    </row>
    <row r="26" spans="1:11" x14ac:dyDescent="0.2">
      <c r="A26" s="230" t="s">
        <v>84</v>
      </c>
      <c r="B26" s="3">
        <f t="shared" si="1"/>
        <v>8</v>
      </c>
      <c r="C26" s="231" t="s">
        <v>76</v>
      </c>
      <c r="D26" s="231" t="str">
        <f t="shared" si="0"/>
        <v>Base doble 8 noches</v>
      </c>
      <c r="E26" s="232">
        <v>3350000</v>
      </c>
      <c r="G26" s="230" t="s">
        <v>84</v>
      </c>
      <c r="H26">
        <v>8</v>
      </c>
      <c r="I26" t="s">
        <v>76</v>
      </c>
      <c r="J26" t="s">
        <v>270</v>
      </c>
      <c r="K26" s="237">
        <v>7650</v>
      </c>
    </row>
    <row r="27" spans="1:11" x14ac:dyDescent="0.2">
      <c r="A27" s="230" t="s">
        <v>85</v>
      </c>
      <c r="B27" s="3">
        <f t="shared" si="1"/>
        <v>8</v>
      </c>
      <c r="C27" s="231" t="s">
        <v>76</v>
      </c>
      <c r="D27" s="231" t="str">
        <f t="shared" si="0"/>
        <v>Non angler nacional 8 noches</v>
      </c>
      <c r="E27" s="232">
        <v>3350000</v>
      </c>
      <c r="G27" s="230" t="s">
        <v>85</v>
      </c>
      <c r="H27">
        <v>8</v>
      </c>
      <c r="I27" t="s">
        <v>76</v>
      </c>
      <c r="J27" t="s">
        <v>271</v>
      </c>
      <c r="K27" s="237">
        <v>5355</v>
      </c>
    </row>
    <row r="28" spans="1:11" x14ac:dyDescent="0.2">
      <c r="A28" s="230" t="s">
        <v>83</v>
      </c>
      <c r="B28" s="3">
        <f t="shared" si="1"/>
        <v>9</v>
      </c>
      <c r="C28" s="231" t="s">
        <v>77</v>
      </c>
      <c r="D28" s="231" t="str">
        <f t="shared" si="0"/>
        <v>Base single 9 noches</v>
      </c>
      <c r="E28" s="232">
        <v>5250000</v>
      </c>
      <c r="G28" s="230" t="s">
        <v>83</v>
      </c>
      <c r="H28">
        <v>9</v>
      </c>
      <c r="I28" t="s">
        <v>77</v>
      </c>
      <c r="J28" t="s">
        <v>272</v>
      </c>
      <c r="K28" s="237">
        <v>11970</v>
      </c>
    </row>
    <row r="29" spans="1:11" x14ac:dyDescent="0.2">
      <c r="A29" s="230" t="s">
        <v>84</v>
      </c>
      <c r="B29" s="3">
        <f t="shared" si="1"/>
        <v>9</v>
      </c>
      <c r="C29" s="231" t="s">
        <v>77</v>
      </c>
      <c r="D29" s="231" t="str">
        <f t="shared" si="0"/>
        <v>Base doble 9 noches</v>
      </c>
      <c r="E29" s="232">
        <v>3750000</v>
      </c>
      <c r="G29" s="230" t="s">
        <v>84</v>
      </c>
      <c r="H29">
        <v>9</v>
      </c>
      <c r="I29" t="s">
        <v>77</v>
      </c>
      <c r="J29" t="s">
        <v>273</v>
      </c>
      <c r="K29" s="237">
        <v>8550</v>
      </c>
    </row>
    <row r="30" spans="1:11" x14ac:dyDescent="0.2">
      <c r="A30" s="230" t="s">
        <v>85</v>
      </c>
      <c r="B30" s="3">
        <f t="shared" si="1"/>
        <v>9</v>
      </c>
      <c r="C30" s="231" t="s">
        <v>77</v>
      </c>
      <c r="D30" s="231" t="str">
        <f t="shared" si="0"/>
        <v>Non angler nacional 9 noches</v>
      </c>
      <c r="E30" s="232">
        <v>3750000</v>
      </c>
      <c r="G30" s="230" t="s">
        <v>85</v>
      </c>
      <c r="H30">
        <v>9</v>
      </c>
      <c r="I30" t="s">
        <v>77</v>
      </c>
      <c r="J30" t="s">
        <v>274</v>
      </c>
      <c r="K30" s="237">
        <v>5985</v>
      </c>
    </row>
    <row r="31" spans="1:11" x14ac:dyDescent="0.2">
      <c r="A31" s="230" t="s">
        <v>83</v>
      </c>
      <c r="B31" s="3">
        <f t="shared" si="1"/>
        <v>10</v>
      </c>
      <c r="C31" s="231" t="s">
        <v>78</v>
      </c>
      <c r="D31" s="231" t="str">
        <f t="shared" si="0"/>
        <v>Base single 10 noches</v>
      </c>
      <c r="E31" s="232">
        <v>5810000</v>
      </c>
      <c r="G31" s="230" t="s">
        <v>83</v>
      </c>
      <c r="H31">
        <v>10</v>
      </c>
      <c r="I31" t="s">
        <v>78</v>
      </c>
      <c r="J31" t="s">
        <v>275</v>
      </c>
      <c r="K31" s="237">
        <v>13230</v>
      </c>
    </row>
    <row r="32" spans="1:11" x14ac:dyDescent="0.2">
      <c r="A32" s="230" t="s">
        <v>84</v>
      </c>
      <c r="B32" s="3">
        <f t="shared" si="1"/>
        <v>10</v>
      </c>
      <c r="C32" s="231" t="s">
        <v>78</v>
      </c>
      <c r="D32" s="231" t="str">
        <f t="shared" si="0"/>
        <v>Base doble 10 noches</v>
      </c>
      <c r="E32" s="232">
        <v>4150000</v>
      </c>
      <c r="G32" s="230" t="s">
        <v>84</v>
      </c>
      <c r="H32">
        <v>10</v>
      </c>
      <c r="I32" t="s">
        <v>78</v>
      </c>
      <c r="J32" t="s">
        <v>276</v>
      </c>
      <c r="K32" s="237">
        <v>9450</v>
      </c>
    </row>
    <row r="33" spans="1:11" x14ac:dyDescent="0.2">
      <c r="A33" s="230" t="s">
        <v>85</v>
      </c>
      <c r="B33" s="3">
        <f t="shared" si="1"/>
        <v>10</v>
      </c>
      <c r="C33" s="231" t="s">
        <v>78</v>
      </c>
      <c r="D33" s="231" t="str">
        <f t="shared" si="0"/>
        <v>Non angler nacional 10 noches</v>
      </c>
      <c r="E33" s="232">
        <v>4150000</v>
      </c>
      <c r="G33" s="230" t="s">
        <v>85</v>
      </c>
      <c r="H33">
        <v>10</v>
      </c>
      <c r="I33" t="s">
        <v>78</v>
      </c>
      <c r="J33" t="s">
        <v>277</v>
      </c>
      <c r="K33" s="237">
        <v>6615</v>
      </c>
    </row>
    <row r="34" spans="1:11" x14ac:dyDescent="0.2">
      <c r="A34" s="230" t="s">
        <v>83</v>
      </c>
      <c r="B34" s="3">
        <f t="shared" si="1"/>
        <v>11</v>
      </c>
      <c r="C34" s="231" t="s">
        <v>79</v>
      </c>
      <c r="D34" s="231" t="str">
        <f t="shared" si="0"/>
        <v>Base single 11 noches</v>
      </c>
      <c r="E34" s="232">
        <v>6370000</v>
      </c>
      <c r="G34" s="230" t="s">
        <v>83</v>
      </c>
      <c r="H34">
        <v>11</v>
      </c>
      <c r="I34" t="s">
        <v>79</v>
      </c>
      <c r="J34" t="s">
        <v>278</v>
      </c>
      <c r="K34" s="237">
        <v>14489.999999999998</v>
      </c>
    </row>
    <row r="35" spans="1:11" x14ac:dyDescent="0.2">
      <c r="A35" s="230" t="s">
        <v>84</v>
      </c>
      <c r="B35" s="3">
        <f t="shared" si="1"/>
        <v>11</v>
      </c>
      <c r="C35" s="231" t="s">
        <v>79</v>
      </c>
      <c r="D35" s="231" t="str">
        <f t="shared" si="0"/>
        <v>Base doble 11 noches</v>
      </c>
      <c r="E35" s="232">
        <v>4550000</v>
      </c>
      <c r="G35" s="230" t="s">
        <v>84</v>
      </c>
      <c r="H35">
        <v>11</v>
      </c>
      <c r="I35" t="s">
        <v>79</v>
      </c>
      <c r="J35" t="s">
        <v>279</v>
      </c>
      <c r="K35" s="237">
        <v>10350</v>
      </c>
    </row>
    <row r="36" spans="1:11" x14ac:dyDescent="0.2">
      <c r="A36" s="230" t="s">
        <v>85</v>
      </c>
      <c r="B36" s="3">
        <f t="shared" si="1"/>
        <v>11</v>
      </c>
      <c r="C36" s="231" t="s">
        <v>79</v>
      </c>
      <c r="D36" s="231" t="str">
        <f t="shared" si="0"/>
        <v>Non angler nacional 11 noches</v>
      </c>
      <c r="E36" s="232">
        <v>4550000</v>
      </c>
      <c r="G36" s="230" t="s">
        <v>85</v>
      </c>
      <c r="H36">
        <v>11</v>
      </c>
      <c r="I36" t="s">
        <v>79</v>
      </c>
      <c r="J36" t="s">
        <v>280</v>
      </c>
      <c r="K36" s="237">
        <v>7244.9999999999991</v>
      </c>
    </row>
    <row r="37" spans="1:11" x14ac:dyDescent="0.2">
      <c r="A37" s="230" t="s">
        <v>83</v>
      </c>
      <c r="B37" s="3">
        <f t="shared" si="1"/>
        <v>12</v>
      </c>
      <c r="C37" s="231" t="s">
        <v>80</v>
      </c>
      <c r="D37" s="231" t="str">
        <f t="shared" si="0"/>
        <v>Base single 12 noches</v>
      </c>
      <c r="E37" s="232">
        <v>6930000</v>
      </c>
      <c r="G37" s="230" t="s">
        <v>83</v>
      </c>
      <c r="H37">
        <v>12</v>
      </c>
      <c r="I37" t="s">
        <v>80</v>
      </c>
      <c r="J37" t="s">
        <v>281</v>
      </c>
      <c r="K37" s="237">
        <v>15749.999999999998</v>
      </c>
    </row>
    <row r="38" spans="1:11" x14ac:dyDescent="0.2">
      <c r="A38" s="230" t="s">
        <v>84</v>
      </c>
      <c r="B38" s="3">
        <f t="shared" si="1"/>
        <v>12</v>
      </c>
      <c r="C38" s="231" t="s">
        <v>80</v>
      </c>
      <c r="D38" s="231" t="str">
        <f t="shared" si="0"/>
        <v>Base doble 12 noches</v>
      </c>
      <c r="E38" s="232">
        <v>4950000</v>
      </c>
      <c r="G38" s="230" t="s">
        <v>84</v>
      </c>
      <c r="H38">
        <v>12</v>
      </c>
      <c r="I38" t="s">
        <v>80</v>
      </c>
      <c r="J38" t="s">
        <v>282</v>
      </c>
      <c r="K38" s="237">
        <v>11250</v>
      </c>
    </row>
    <row r="39" spans="1:11" x14ac:dyDescent="0.2">
      <c r="A39" s="230" t="s">
        <v>85</v>
      </c>
      <c r="B39" s="3">
        <f t="shared" si="1"/>
        <v>12</v>
      </c>
      <c r="C39" s="231" t="s">
        <v>80</v>
      </c>
      <c r="D39" s="231" t="str">
        <f t="shared" si="0"/>
        <v>Non angler nacional 12 noches</v>
      </c>
      <c r="E39" s="232">
        <v>4950000</v>
      </c>
      <c r="G39" s="230" t="s">
        <v>85</v>
      </c>
      <c r="H39">
        <v>12</v>
      </c>
      <c r="I39" t="s">
        <v>80</v>
      </c>
      <c r="J39" t="s">
        <v>283</v>
      </c>
      <c r="K39" s="237">
        <v>7874.9999999999991</v>
      </c>
    </row>
    <row r="40" spans="1:11" x14ac:dyDescent="0.2">
      <c r="A40" s="230" t="s">
        <v>83</v>
      </c>
      <c r="B40" s="3">
        <f t="shared" si="1"/>
        <v>13</v>
      </c>
      <c r="C40" s="231" t="s">
        <v>81</v>
      </c>
      <c r="D40" s="231" t="str">
        <f t="shared" si="0"/>
        <v>Base single 13 noches</v>
      </c>
      <c r="E40" s="232">
        <v>7489999.9999999991</v>
      </c>
      <c r="G40" s="230" t="s">
        <v>83</v>
      </c>
      <c r="H40">
        <v>13</v>
      </c>
      <c r="I40" t="s">
        <v>81</v>
      </c>
      <c r="J40" t="s">
        <v>284</v>
      </c>
      <c r="K40" s="237">
        <v>17010</v>
      </c>
    </row>
    <row r="41" spans="1:11" x14ac:dyDescent="0.2">
      <c r="A41" s="230" t="s">
        <v>84</v>
      </c>
      <c r="B41" s="3">
        <f t="shared" si="1"/>
        <v>13</v>
      </c>
      <c r="C41" s="231" t="s">
        <v>81</v>
      </c>
      <c r="D41" s="231" t="str">
        <f t="shared" si="0"/>
        <v>Base doble 13 noches</v>
      </c>
      <c r="E41" s="232">
        <v>5350000</v>
      </c>
      <c r="G41" s="230" t="s">
        <v>84</v>
      </c>
      <c r="H41">
        <v>13</v>
      </c>
      <c r="I41" t="s">
        <v>81</v>
      </c>
      <c r="J41" t="s">
        <v>285</v>
      </c>
      <c r="K41" s="237">
        <v>12150</v>
      </c>
    </row>
    <row r="42" spans="1:11" x14ac:dyDescent="0.2">
      <c r="A42" s="230" t="s">
        <v>85</v>
      </c>
      <c r="B42" s="3">
        <f t="shared" si="1"/>
        <v>13</v>
      </c>
      <c r="C42" s="231" t="s">
        <v>81</v>
      </c>
      <c r="D42" s="231" t="str">
        <f t="shared" si="0"/>
        <v>Non angler nacional 13 noches</v>
      </c>
      <c r="E42" s="232">
        <v>5350000</v>
      </c>
      <c r="G42" s="230" t="s">
        <v>85</v>
      </c>
      <c r="H42">
        <v>13</v>
      </c>
      <c r="I42" t="s">
        <v>81</v>
      </c>
      <c r="J42" t="s">
        <v>286</v>
      </c>
      <c r="K42" s="237">
        <v>8505</v>
      </c>
    </row>
    <row r="43" spans="1:11" x14ac:dyDescent="0.2">
      <c r="A43" s="230" t="s">
        <v>83</v>
      </c>
      <c r="B43" s="3">
        <f t="shared" si="1"/>
        <v>14</v>
      </c>
      <c r="C43" s="231" t="s">
        <v>82</v>
      </c>
      <c r="D43" s="231" t="str">
        <f t="shared" si="0"/>
        <v>Base single 14 noches</v>
      </c>
      <c r="E43" s="232">
        <v>8049999.9999999991</v>
      </c>
      <c r="G43" s="230" t="s">
        <v>83</v>
      </c>
      <c r="H43">
        <v>14</v>
      </c>
      <c r="I43" t="s">
        <v>82</v>
      </c>
      <c r="J43" t="s">
        <v>287</v>
      </c>
      <c r="K43" s="237">
        <v>18270</v>
      </c>
    </row>
    <row r="44" spans="1:11" x14ac:dyDescent="0.2">
      <c r="A44" s="230" t="s">
        <v>84</v>
      </c>
      <c r="B44" s="3">
        <f t="shared" si="1"/>
        <v>14</v>
      </c>
      <c r="C44" s="231" t="s">
        <v>82</v>
      </c>
      <c r="D44" s="231" t="str">
        <f t="shared" si="0"/>
        <v>Base doble 14 noches</v>
      </c>
      <c r="E44" s="232">
        <v>5750000</v>
      </c>
      <c r="G44" s="230" t="s">
        <v>84</v>
      </c>
      <c r="H44">
        <v>14</v>
      </c>
      <c r="I44" t="s">
        <v>82</v>
      </c>
      <c r="J44" t="s">
        <v>288</v>
      </c>
      <c r="K44" s="237">
        <v>13050</v>
      </c>
    </row>
    <row r="45" spans="1:11" x14ac:dyDescent="0.2">
      <c r="A45" s="230" t="s">
        <v>85</v>
      </c>
      <c r="B45" s="3">
        <f t="shared" si="1"/>
        <v>14</v>
      </c>
      <c r="C45" s="231" t="s">
        <v>82</v>
      </c>
      <c r="D45" s="231" t="str">
        <f t="shared" si="0"/>
        <v>Non angler nacional 14 noches</v>
      </c>
      <c r="E45" s="232">
        <v>5750000</v>
      </c>
      <c r="G45" s="230" t="s">
        <v>85</v>
      </c>
      <c r="H45">
        <v>14</v>
      </c>
      <c r="I45" t="s">
        <v>82</v>
      </c>
      <c r="J45" t="s">
        <v>289</v>
      </c>
      <c r="K45" s="237">
        <v>9135</v>
      </c>
    </row>
    <row r="46" spans="1:11" x14ac:dyDescent="0.2">
      <c r="A46" s="230" t="s">
        <v>147</v>
      </c>
      <c r="B46" s="3">
        <v>1</v>
      </c>
      <c r="C46" s="231" t="s">
        <v>69</v>
      </c>
      <c r="D46" s="231" t="str">
        <f t="shared" si="0"/>
        <v>Host 1 noche</v>
      </c>
      <c r="E46" s="232">
        <v>0</v>
      </c>
      <c r="G46" s="230" t="s">
        <v>147</v>
      </c>
      <c r="H46">
        <v>1</v>
      </c>
      <c r="I46" t="s">
        <v>69</v>
      </c>
      <c r="J46" t="s">
        <v>290</v>
      </c>
      <c r="K46" s="237">
        <v>0</v>
      </c>
    </row>
    <row r="47" spans="1:11" x14ac:dyDescent="0.2">
      <c r="A47" s="230" t="s">
        <v>147</v>
      </c>
      <c r="B47" s="3">
        <v>2</v>
      </c>
      <c r="C47" s="231" t="s">
        <v>148</v>
      </c>
      <c r="D47" s="231" t="str">
        <f t="shared" si="0"/>
        <v>Host 2 Noches</v>
      </c>
      <c r="E47" s="232">
        <v>0</v>
      </c>
      <c r="G47" s="230" t="s">
        <v>147</v>
      </c>
      <c r="H47">
        <v>2</v>
      </c>
      <c r="I47" t="s">
        <v>148</v>
      </c>
      <c r="J47" t="s">
        <v>291</v>
      </c>
      <c r="K47" s="237">
        <v>0</v>
      </c>
    </row>
    <row r="48" spans="1:11" x14ac:dyDescent="0.2">
      <c r="A48" s="230" t="s">
        <v>147</v>
      </c>
      <c r="B48" s="3">
        <v>3</v>
      </c>
      <c r="C48" s="231" t="s">
        <v>149</v>
      </c>
      <c r="D48" s="231" t="str">
        <f t="shared" si="0"/>
        <v>Host 3 Noches</v>
      </c>
      <c r="E48" s="232">
        <v>0</v>
      </c>
      <c r="G48" s="230" t="s">
        <v>147</v>
      </c>
      <c r="H48">
        <v>3</v>
      </c>
      <c r="I48" t="s">
        <v>149</v>
      </c>
      <c r="J48" t="s">
        <v>292</v>
      </c>
      <c r="K48" s="237">
        <v>0</v>
      </c>
    </row>
    <row r="49" spans="1:11" x14ac:dyDescent="0.2">
      <c r="A49" s="230" t="s">
        <v>147</v>
      </c>
      <c r="B49" s="3">
        <v>4</v>
      </c>
      <c r="C49" s="231" t="s">
        <v>150</v>
      </c>
      <c r="D49" s="231" t="str">
        <f t="shared" si="0"/>
        <v>Host 4 Noches</v>
      </c>
      <c r="E49" s="232">
        <v>0</v>
      </c>
      <c r="G49" s="230" t="s">
        <v>147</v>
      </c>
      <c r="H49">
        <v>4</v>
      </c>
      <c r="I49" t="s">
        <v>150</v>
      </c>
      <c r="J49" t="s">
        <v>293</v>
      </c>
      <c r="K49" s="237">
        <v>0</v>
      </c>
    </row>
    <row r="50" spans="1:11" x14ac:dyDescent="0.2">
      <c r="A50" s="230" t="s">
        <v>147</v>
      </c>
      <c r="B50" s="3">
        <v>5</v>
      </c>
      <c r="C50" s="231" t="s">
        <v>151</v>
      </c>
      <c r="D50" s="231" t="str">
        <f t="shared" si="0"/>
        <v>Host 5 Noches</v>
      </c>
      <c r="E50" s="232">
        <v>0</v>
      </c>
      <c r="G50" s="230" t="s">
        <v>147</v>
      </c>
      <c r="H50">
        <v>5</v>
      </c>
      <c r="I50" t="s">
        <v>151</v>
      </c>
      <c r="J50" t="s">
        <v>294</v>
      </c>
      <c r="K50" s="237">
        <v>0</v>
      </c>
    </row>
    <row r="51" spans="1:11" x14ac:dyDescent="0.2">
      <c r="A51" s="230" t="s">
        <v>147</v>
      </c>
      <c r="B51" s="3">
        <v>6</v>
      </c>
      <c r="C51" s="231" t="s">
        <v>152</v>
      </c>
      <c r="D51" s="231" t="str">
        <f t="shared" si="0"/>
        <v>Host 6 Noches</v>
      </c>
      <c r="E51" s="232">
        <v>0</v>
      </c>
      <c r="G51" s="230" t="s">
        <v>147</v>
      </c>
      <c r="H51">
        <v>6</v>
      </c>
      <c r="I51" t="s">
        <v>152</v>
      </c>
      <c r="J51" t="s">
        <v>295</v>
      </c>
      <c r="K51" s="237">
        <v>0</v>
      </c>
    </row>
    <row r="52" spans="1:11" x14ac:dyDescent="0.2">
      <c r="A52" s="230" t="s">
        <v>147</v>
      </c>
      <c r="B52" s="3">
        <v>7</v>
      </c>
      <c r="C52" s="231" t="s">
        <v>153</v>
      </c>
      <c r="D52" s="231" t="str">
        <f t="shared" si="0"/>
        <v>Host 7 Noches</v>
      </c>
      <c r="E52" s="232">
        <v>0</v>
      </c>
      <c r="G52" s="230" t="s">
        <v>147</v>
      </c>
      <c r="H52">
        <v>7</v>
      </c>
      <c r="I52" t="s">
        <v>153</v>
      </c>
      <c r="J52" t="s">
        <v>296</v>
      </c>
      <c r="K52" s="237">
        <v>0</v>
      </c>
    </row>
    <row r="53" spans="1:11" x14ac:dyDescent="0.2">
      <c r="A53" s="230" t="s">
        <v>147</v>
      </c>
      <c r="B53" s="3">
        <v>8</v>
      </c>
      <c r="C53" s="231" t="s">
        <v>154</v>
      </c>
      <c r="D53" s="231" t="str">
        <f t="shared" si="0"/>
        <v>Host 8 Noches</v>
      </c>
      <c r="E53" s="232">
        <v>0</v>
      </c>
      <c r="G53" s="230" t="s">
        <v>147</v>
      </c>
      <c r="H53">
        <v>8</v>
      </c>
      <c r="I53" t="s">
        <v>154</v>
      </c>
      <c r="J53" t="s">
        <v>297</v>
      </c>
      <c r="K53" s="237">
        <v>0</v>
      </c>
    </row>
    <row r="54" spans="1:11" x14ac:dyDescent="0.2">
      <c r="A54" s="230" t="s">
        <v>147</v>
      </c>
      <c r="B54" s="3">
        <v>9</v>
      </c>
      <c r="C54" s="231" t="s">
        <v>155</v>
      </c>
      <c r="D54" s="231" t="str">
        <f t="shared" si="0"/>
        <v>Host 9 Noches</v>
      </c>
      <c r="E54" s="232">
        <v>0</v>
      </c>
      <c r="G54" s="230" t="s">
        <v>147</v>
      </c>
      <c r="H54">
        <v>9</v>
      </c>
      <c r="I54" t="s">
        <v>155</v>
      </c>
      <c r="J54" t="s">
        <v>298</v>
      </c>
      <c r="K54" s="237">
        <v>0</v>
      </c>
    </row>
    <row r="55" spans="1:11" x14ac:dyDescent="0.2">
      <c r="A55" s="230" t="s">
        <v>147</v>
      </c>
      <c r="B55" s="3">
        <v>10</v>
      </c>
      <c r="C55" s="231" t="s">
        <v>156</v>
      </c>
      <c r="D55" s="231" t="str">
        <f t="shared" si="0"/>
        <v>Host 10 Noches</v>
      </c>
      <c r="E55" s="232">
        <v>0</v>
      </c>
      <c r="G55" s="230" t="s">
        <v>147</v>
      </c>
      <c r="H55">
        <v>10</v>
      </c>
      <c r="I55" t="s">
        <v>156</v>
      </c>
      <c r="J55" t="s">
        <v>299</v>
      </c>
      <c r="K55" s="237">
        <v>0</v>
      </c>
    </row>
    <row r="56" spans="1:11" x14ac:dyDescent="0.2">
      <c r="A56" s="230" t="s">
        <v>147</v>
      </c>
      <c r="B56" s="3">
        <v>11</v>
      </c>
      <c r="C56" s="231" t="s">
        <v>157</v>
      </c>
      <c r="D56" s="231" t="str">
        <f t="shared" si="0"/>
        <v>Host 11 Noches</v>
      </c>
      <c r="E56" s="232">
        <v>0</v>
      </c>
      <c r="G56" s="230" t="s">
        <v>147</v>
      </c>
      <c r="H56">
        <v>11</v>
      </c>
      <c r="I56" t="s">
        <v>157</v>
      </c>
      <c r="J56" t="s">
        <v>300</v>
      </c>
      <c r="K56" s="237">
        <v>0</v>
      </c>
    </row>
    <row r="57" spans="1:11" x14ac:dyDescent="0.2">
      <c r="A57" s="230" t="s">
        <v>147</v>
      </c>
      <c r="B57" s="3">
        <v>12</v>
      </c>
      <c r="C57" s="231" t="s">
        <v>158</v>
      </c>
      <c r="D57" s="231" t="str">
        <f t="shared" si="0"/>
        <v>Host 12 Noches</v>
      </c>
      <c r="E57" s="232">
        <v>0</v>
      </c>
      <c r="G57" s="230" t="s">
        <v>147</v>
      </c>
      <c r="H57">
        <v>12</v>
      </c>
      <c r="I57" t="s">
        <v>158</v>
      </c>
      <c r="J57" t="s">
        <v>301</v>
      </c>
      <c r="K57" s="237">
        <v>0</v>
      </c>
    </row>
    <row r="58" spans="1:11" x14ac:dyDescent="0.2">
      <c r="A58" s="230" t="s">
        <v>147</v>
      </c>
      <c r="B58" s="3">
        <v>13</v>
      </c>
      <c r="C58" s="231" t="s">
        <v>159</v>
      </c>
      <c r="D58" s="231" t="str">
        <f t="shared" si="0"/>
        <v>Host 13 Noches</v>
      </c>
      <c r="E58" s="232">
        <v>0</v>
      </c>
      <c r="G58" s="230" t="s">
        <v>147</v>
      </c>
      <c r="H58">
        <v>13</v>
      </c>
      <c r="I58" t="s">
        <v>159</v>
      </c>
      <c r="J58" t="s">
        <v>302</v>
      </c>
      <c r="K58" s="237">
        <v>0</v>
      </c>
    </row>
    <row r="59" spans="1:11" ht="16" thickBot="1" x14ac:dyDescent="0.25">
      <c r="A59" s="233" t="s">
        <v>147</v>
      </c>
      <c r="B59" s="234">
        <v>14</v>
      </c>
      <c r="C59" s="235" t="s">
        <v>160</v>
      </c>
      <c r="D59" s="235" t="str">
        <f t="shared" si="0"/>
        <v>Host 14 Noches</v>
      </c>
      <c r="E59" s="236">
        <v>0</v>
      </c>
      <c r="G59" s="233" t="s">
        <v>147</v>
      </c>
      <c r="H59" s="238">
        <v>14</v>
      </c>
      <c r="I59" s="238" t="s">
        <v>160</v>
      </c>
      <c r="J59" s="238" t="s">
        <v>303</v>
      </c>
      <c r="K59" s="239">
        <v>0</v>
      </c>
    </row>
  </sheetData>
  <mergeCells count="2">
    <mergeCell ref="A2:E2"/>
    <mergeCell ref="G2:K2"/>
  </mergeCells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51E4-F1BF-4703-91E7-76D10F11D1AC}">
  <sheetPr codeName="Hoja7"/>
  <dimension ref="A1:P41"/>
  <sheetViews>
    <sheetView workbookViewId="0">
      <selection activeCell="A3" sqref="A3:P27"/>
    </sheetView>
  </sheetViews>
  <sheetFormatPr baseColWidth="10" defaultRowHeight="15" x14ac:dyDescent="0.2"/>
  <cols>
    <col min="1" max="1" width="19.6640625" customWidth="1"/>
    <col min="2" max="2" width="13.33203125" customWidth="1"/>
    <col min="3" max="5" width="12.5" bestFit="1" customWidth="1"/>
    <col min="6" max="6" width="12.5" style="27" bestFit="1" customWidth="1"/>
    <col min="7" max="8" width="12.5" bestFit="1" customWidth="1"/>
    <col min="9" max="9" width="12.5" style="27" bestFit="1" customWidth="1"/>
    <col min="10" max="16" width="12.83203125" customWidth="1"/>
  </cols>
  <sheetData>
    <row r="1" spans="1:16" x14ac:dyDescent="0.2">
      <c r="A1" s="27" t="s">
        <v>51</v>
      </c>
      <c r="B1" s="27" t="s">
        <v>52</v>
      </c>
    </row>
    <row r="2" spans="1:16" x14ac:dyDescent="0.2">
      <c r="A2" s="3"/>
      <c r="B2" s="3"/>
    </row>
    <row r="3" spans="1:16" x14ac:dyDescent="0.2">
      <c r="A3" s="6" t="s">
        <v>53</v>
      </c>
      <c r="B3" s="86" t="s">
        <v>54</v>
      </c>
      <c r="C3" s="6" t="s">
        <v>55</v>
      </c>
      <c r="D3" s="6" t="s">
        <v>56</v>
      </c>
      <c r="E3" s="6" t="s">
        <v>57</v>
      </c>
      <c r="F3" s="6" t="s">
        <v>58</v>
      </c>
      <c r="G3" s="6" t="s">
        <v>59</v>
      </c>
      <c r="H3" s="6" t="s">
        <v>60</v>
      </c>
      <c r="I3" s="6" t="s">
        <v>61</v>
      </c>
      <c r="J3" s="6" t="s">
        <v>62</v>
      </c>
      <c r="K3" s="6" t="s">
        <v>63</v>
      </c>
      <c r="L3" s="6" t="s">
        <v>64</v>
      </c>
      <c r="M3" s="6" t="s">
        <v>65</v>
      </c>
      <c r="N3" s="6" t="s">
        <v>66</v>
      </c>
      <c r="O3" s="6" t="s">
        <v>67</v>
      </c>
      <c r="P3" s="6" t="s">
        <v>68</v>
      </c>
    </row>
    <row r="4" spans="1:16" x14ac:dyDescent="0.2">
      <c r="A4" s="87">
        <v>200000</v>
      </c>
      <c r="B4" s="87">
        <v>350000</v>
      </c>
      <c r="C4" s="87">
        <v>400000</v>
      </c>
      <c r="D4" s="87">
        <f>+C4</f>
        <v>400000</v>
      </c>
      <c r="E4" s="88">
        <f t="shared" ref="E4:O4" si="0">+D4</f>
        <v>400000</v>
      </c>
      <c r="F4" s="88">
        <f t="shared" si="0"/>
        <v>400000</v>
      </c>
      <c r="G4" s="88">
        <f t="shared" si="0"/>
        <v>400000</v>
      </c>
      <c r="H4" s="88">
        <f t="shared" si="0"/>
        <v>400000</v>
      </c>
      <c r="I4" s="88">
        <f t="shared" si="0"/>
        <v>400000</v>
      </c>
      <c r="J4" s="88">
        <f t="shared" si="0"/>
        <v>400000</v>
      </c>
      <c r="K4" s="88">
        <f t="shared" si="0"/>
        <v>400000</v>
      </c>
      <c r="L4" s="88">
        <f t="shared" si="0"/>
        <v>400000</v>
      </c>
      <c r="M4" s="88">
        <f t="shared" si="0"/>
        <v>400000</v>
      </c>
      <c r="N4" s="88">
        <f t="shared" si="0"/>
        <v>400000</v>
      </c>
      <c r="O4" s="88">
        <f t="shared" si="0"/>
        <v>400000</v>
      </c>
      <c r="P4" s="88">
        <v>200000</v>
      </c>
    </row>
    <row r="5" spans="1:16" x14ac:dyDescent="0.2">
      <c r="A5" s="87"/>
      <c r="B5" s="87"/>
      <c r="C5" s="6" t="s">
        <v>69</v>
      </c>
      <c r="D5" s="6" t="s">
        <v>70</v>
      </c>
      <c r="E5" s="6" t="s">
        <v>71</v>
      </c>
      <c r="F5" s="80" t="s">
        <v>72</v>
      </c>
      <c r="G5" s="6" t="s">
        <v>73</v>
      </c>
      <c r="H5" s="6" t="s">
        <v>74</v>
      </c>
      <c r="I5" s="80" t="s">
        <v>75</v>
      </c>
      <c r="J5" s="6" t="s">
        <v>76</v>
      </c>
      <c r="K5" s="6" t="s">
        <v>77</v>
      </c>
      <c r="L5" s="80" t="s">
        <v>78</v>
      </c>
      <c r="M5" s="80" t="s">
        <v>79</v>
      </c>
      <c r="N5" s="6" t="s">
        <v>80</v>
      </c>
      <c r="O5" s="6" t="s">
        <v>81</v>
      </c>
      <c r="P5" s="80" t="s">
        <v>82</v>
      </c>
    </row>
    <row r="6" spans="1:16" x14ac:dyDescent="0.2">
      <c r="A6" s="5" t="s">
        <v>83</v>
      </c>
      <c r="B6" s="89"/>
      <c r="C6" s="89">
        <f>+C7*1.4</f>
        <v>770000</v>
      </c>
      <c r="D6" s="89">
        <f t="shared" ref="D6:P6" si="1">+D7*1.4</f>
        <v>1330000</v>
      </c>
      <c r="E6" s="89">
        <f t="shared" si="1"/>
        <v>1889999.9999999998</v>
      </c>
      <c r="F6" s="90">
        <f t="shared" si="1"/>
        <v>2450000</v>
      </c>
      <c r="G6" s="89">
        <f t="shared" si="1"/>
        <v>3010000</v>
      </c>
      <c r="H6" s="89">
        <f t="shared" si="1"/>
        <v>3570000</v>
      </c>
      <c r="I6" s="90">
        <f t="shared" si="1"/>
        <v>4129999.9999999995</v>
      </c>
      <c r="J6" s="91">
        <f t="shared" si="1"/>
        <v>4690000</v>
      </c>
      <c r="K6" s="91">
        <f t="shared" si="1"/>
        <v>5250000</v>
      </c>
      <c r="L6" s="90">
        <f t="shared" si="1"/>
        <v>5810000</v>
      </c>
      <c r="M6" s="90">
        <f t="shared" si="1"/>
        <v>6370000</v>
      </c>
      <c r="N6" s="91">
        <f t="shared" si="1"/>
        <v>6930000</v>
      </c>
      <c r="O6" s="91">
        <f t="shared" si="1"/>
        <v>7489999.9999999991</v>
      </c>
      <c r="P6" s="90">
        <f t="shared" si="1"/>
        <v>8049999.9999999991</v>
      </c>
    </row>
    <row r="7" spans="1:16" x14ac:dyDescent="0.2">
      <c r="A7" s="5" t="s">
        <v>84</v>
      </c>
      <c r="B7" s="89"/>
      <c r="C7" s="89">
        <f>($A4/2)+B4+($P4/2)</f>
        <v>550000</v>
      </c>
      <c r="D7" s="89">
        <f>($A4/2)+C4+B4+($P4/2)</f>
        <v>950000</v>
      </c>
      <c r="E7" s="89">
        <f>($A4/2)+B4+D4+C4+($P4/2)</f>
        <v>1350000</v>
      </c>
      <c r="F7" s="90">
        <f>($A4/2)+B4+C4+E4+D4+($P4/2)</f>
        <v>1750000</v>
      </c>
      <c r="G7" s="89">
        <f>($A4/2)+B4+C4+D4+F4+E4+($P4/2)</f>
        <v>2150000</v>
      </c>
      <c r="H7" s="89">
        <f>($A4/2)+B4+C4+D4+E4+G4+F4+($P4/2)</f>
        <v>2550000</v>
      </c>
      <c r="I7" s="90">
        <f>($A4/2)+B4+C4+D4+E4+F4+H4+G4+($P4/2)</f>
        <v>2950000</v>
      </c>
      <c r="J7" s="89">
        <f>($A4/2)+B4+C4+D4+E4+F4+G4+I4+H4+($P4/2)</f>
        <v>3350000</v>
      </c>
      <c r="K7" s="89">
        <f>($A4/2)+B4+C4+D4+E4+F4+G4+H4+J4+I4+($P4/2)</f>
        <v>3750000</v>
      </c>
      <c r="L7" s="90">
        <f>($A4/2)+B4+C4+D4+E4+F4+G4+H4+I4+K4+J4+($P4/2)</f>
        <v>4150000</v>
      </c>
      <c r="M7" s="90">
        <f>($A4/2)+B4+C4+D4+E4+F4+G4+H4+I4+J4+L4+K4+($P4/2)</f>
        <v>4550000</v>
      </c>
      <c r="N7" s="89">
        <f>($A4/2)+B4+C4+D4+E4+F4+G4+H4+I4+J4+K4+M4+L4+($P4/2)</f>
        <v>4950000</v>
      </c>
      <c r="O7" s="89">
        <f>($A4/2)+B4+C4+D4+E4+F4+G4+H4+I4+J4+K4+L4+N4+M4+($P4/2)</f>
        <v>5350000</v>
      </c>
      <c r="P7" s="90">
        <f>($A4/2)+B4+C4+D4+E4+F4+G4+H4+I4+J4+K4+L4+M4+O4+N4+($P4/2)</f>
        <v>5750000</v>
      </c>
    </row>
    <row r="8" spans="1:16" x14ac:dyDescent="0.2">
      <c r="A8" s="5" t="s">
        <v>85</v>
      </c>
      <c r="B8" s="89"/>
      <c r="C8" s="89">
        <f>+C7</f>
        <v>550000</v>
      </c>
      <c r="D8" s="89">
        <f t="shared" ref="D8:P8" si="2">+D7</f>
        <v>950000</v>
      </c>
      <c r="E8" s="89">
        <f t="shared" si="2"/>
        <v>1350000</v>
      </c>
      <c r="F8" s="90">
        <f t="shared" si="2"/>
        <v>1750000</v>
      </c>
      <c r="G8" s="89">
        <f t="shared" si="2"/>
        <v>2150000</v>
      </c>
      <c r="H8" s="89">
        <f t="shared" si="2"/>
        <v>2550000</v>
      </c>
      <c r="I8" s="90">
        <f t="shared" si="2"/>
        <v>2950000</v>
      </c>
      <c r="J8" s="89">
        <f t="shared" si="2"/>
        <v>3350000</v>
      </c>
      <c r="K8" s="89">
        <f t="shared" si="2"/>
        <v>3750000</v>
      </c>
      <c r="L8" s="90">
        <f t="shared" si="2"/>
        <v>4150000</v>
      </c>
      <c r="M8" s="90">
        <f t="shared" si="2"/>
        <v>4550000</v>
      </c>
      <c r="N8" s="89">
        <f t="shared" si="2"/>
        <v>4950000</v>
      </c>
      <c r="O8" s="89">
        <f t="shared" si="2"/>
        <v>5350000</v>
      </c>
      <c r="P8" s="90">
        <f t="shared" si="2"/>
        <v>5750000</v>
      </c>
    </row>
    <row r="9" spans="1:16" x14ac:dyDescent="0.2">
      <c r="A9" s="92"/>
      <c r="B9" s="92"/>
      <c r="C9" s="92"/>
      <c r="D9" s="92"/>
      <c r="E9" s="92"/>
      <c r="F9" s="93">
        <v>9.375E-2</v>
      </c>
      <c r="G9" s="92"/>
      <c r="H9" s="92"/>
      <c r="I9" s="94"/>
    </row>
    <row r="10" spans="1:16" x14ac:dyDescent="0.2">
      <c r="A10" s="27" t="s">
        <v>51</v>
      </c>
      <c r="B10" s="27" t="s">
        <v>86</v>
      </c>
    </row>
    <row r="11" spans="1:16" x14ac:dyDescent="0.2">
      <c r="A11" s="6"/>
      <c r="B11" s="6"/>
      <c r="C11" s="6" t="s">
        <v>69</v>
      </c>
      <c r="D11" s="6" t="s">
        <v>70</v>
      </c>
      <c r="E11" s="6" t="s">
        <v>71</v>
      </c>
      <c r="F11" s="6" t="s">
        <v>72</v>
      </c>
      <c r="G11" s="6" t="s">
        <v>73</v>
      </c>
      <c r="H11" s="6" t="s">
        <v>74</v>
      </c>
      <c r="I11" s="6" t="s">
        <v>75</v>
      </c>
      <c r="J11" s="6" t="s">
        <v>76</v>
      </c>
      <c r="K11" s="6" t="s">
        <v>77</v>
      </c>
      <c r="L11" s="6" t="s">
        <v>78</v>
      </c>
      <c r="M11" s="6" t="s">
        <v>79</v>
      </c>
      <c r="N11" s="6" t="s">
        <v>80</v>
      </c>
      <c r="O11" s="6" t="s">
        <v>81</v>
      </c>
      <c r="P11" s="6" t="s">
        <v>82</v>
      </c>
    </row>
    <row r="12" spans="1:16" x14ac:dyDescent="0.2">
      <c r="A12" s="6" t="s">
        <v>87</v>
      </c>
      <c r="B12" s="95" t="s">
        <v>88</v>
      </c>
      <c r="C12" s="6" t="s">
        <v>55</v>
      </c>
      <c r="D12" s="6" t="s">
        <v>56</v>
      </c>
      <c r="E12" s="6" t="s">
        <v>57</v>
      </c>
      <c r="F12" s="6" t="s">
        <v>58</v>
      </c>
      <c r="G12" s="6" t="s">
        <v>59</v>
      </c>
      <c r="H12" s="6" t="s">
        <v>60</v>
      </c>
      <c r="I12" s="6" t="s">
        <v>61</v>
      </c>
      <c r="J12" s="6" t="s">
        <v>62</v>
      </c>
      <c r="K12" s="6" t="s">
        <v>63</v>
      </c>
      <c r="L12" s="6" t="s">
        <v>64</v>
      </c>
      <c r="M12" s="6" t="s">
        <v>65</v>
      </c>
      <c r="N12" s="6" t="s">
        <v>66</v>
      </c>
      <c r="O12" s="6" t="s">
        <v>67</v>
      </c>
      <c r="P12" s="6" t="s">
        <v>68</v>
      </c>
    </row>
    <row r="13" spans="1:16" x14ac:dyDescent="0.2">
      <c r="A13" s="96">
        <v>350</v>
      </c>
      <c r="B13" s="96">
        <v>1000</v>
      </c>
      <c r="C13" s="97">
        <v>900</v>
      </c>
      <c r="D13" s="97">
        <f>+C13</f>
        <v>900</v>
      </c>
      <c r="E13" s="97">
        <f t="shared" ref="E13:H13" si="3">+D13</f>
        <v>900</v>
      </c>
      <c r="F13" s="97">
        <f t="shared" si="3"/>
        <v>900</v>
      </c>
      <c r="G13" s="97">
        <f t="shared" si="3"/>
        <v>900</v>
      </c>
      <c r="H13" s="97">
        <f t="shared" si="3"/>
        <v>900</v>
      </c>
      <c r="I13" s="97">
        <f>+H13</f>
        <v>900</v>
      </c>
      <c r="J13" s="97">
        <f t="shared" ref="J13:O13" si="4">+I13</f>
        <v>900</v>
      </c>
      <c r="K13" s="97">
        <f t="shared" si="4"/>
        <v>900</v>
      </c>
      <c r="L13" s="97">
        <f t="shared" si="4"/>
        <v>900</v>
      </c>
      <c r="M13" s="97">
        <f t="shared" si="4"/>
        <v>900</v>
      </c>
      <c r="N13" s="97">
        <f t="shared" si="4"/>
        <v>900</v>
      </c>
      <c r="O13" s="97">
        <f t="shared" si="4"/>
        <v>900</v>
      </c>
      <c r="P13" s="97">
        <f>+A13</f>
        <v>350</v>
      </c>
    </row>
    <row r="14" spans="1:16" x14ac:dyDescent="0.2">
      <c r="A14" s="96"/>
      <c r="B14" s="96"/>
      <c r="C14" s="6" t="s">
        <v>69</v>
      </c>
      <c r="D14" s="6" t="s">
        <v>70</v>
      </c>
      <c r="E14" s="6" t="s">
        <v>71</v>
      </c>
      <c r="F14" s="80" t="s">
        <v>72</v>
      </c>
      <c r="G14" s="6" t="s">
        <v>73</v>
      </c>
      <c r="H14" s="6" t="s">
        <v>74</v>
      </c>
      <c r="I14" s="80" t="s">
        <v>75</v>
      </c>
      <c r="J14" s="6" t="s">
        <v>76</v>
      </c>
      <c r="K14" s="6" t="s">
        <v>77</v>
      </c>
      <c r="L14" s="80" t="s">
        <v>78</v>
      </c>
      <c r="M14" s="80" t="s">
        <v>79</v>
      </c>
      <c r="N14" s="6" t="s">
        <v>80</v>
      </c>
      <c r="O14" s="6" t="s">
        <v>81</v>
      </c>
      <c r="P14" s="80" t="s">
        <v>82</v>
      </c>
    </row>
    <row r="15" spans="1:16" x14ac:dyDescent="0.2">
      <c r="A15" s="5" t="s">
        <v>83</v>
      </c>
      <c r="B15" s="96"/>
      <c r="C15" s="96">
        <f>+C16*1.4</f>
        <v>1889.9999999999998</v>
      </c>
      <c r="D15" s="96">
        <f t="shared" ref="D15:P15" si="5">+D16*1.4</f>
        <v>3150</v>
      </c>
      <c r="E15" s="96">
        <f t="shared" si="5"/>
        <v>4410</v>
      </c>
      <c r="F15" s="98">
        <f t="shared" si="5"/>
        <v>5670</v>
      </c>
      <c r="G15" s="96">
        <f t="shared" si="5"/>
        <v>6930</v>
      </c>
      <c r="H15" s="96">
        <f t="shared" si="5"/>
        <v>8189.9999999999991</v>
      </c>
      <c r="I15" s="98">
        <f t="shared" si="5"/>
        <v>9450</v>
      </c>
      <c r="J15" s="97">
        <f t="shared" si="5"/>
        <v>10710</v>
      </c>
      <c r="K15" s="97">
        <f t="shared" si="5"/>
        <v>11970</v>
      </c>
      <c r="L15" s="98">
        <f t="shared" si="5"/>
        <v>13230</v>
      </c>
      <c r="M15" s="98">
        <f t="shared" si="5"/>
        <v>14489.999999999998</v>
      </c>
      <c r="N15" s="97">
        <f t="shared" si="5"/>
        <v>15749.999999999998</v>
      </c>
      <c r="O15" s="97">
        <f t="shared" si="5"/>
        <v>17010</v>
      </c>
      <c r="P15" s="98">
        <f t="shared" si="5"/>
        <v>18270</v>
      </c>
    </row>
    <row r="16" spans="1:16" x14ac:dyDescent="0.2">
      <c r="A16" s="5" t="s">
        <v>84</v>
      </c>
      <c r="B16" s="89"/>
      <c r="C16" s="96">
        <f>($A13/2)+B13+($P13/2)</f>
        <v>1350</v>
      </c>
      <c r="D16" s="96">
        <f>($A13/2)+C13+B13+($P13/2)</f>
        <v>2250</v>
      </c>
      <c r="E16" s="96">
        <f>($A13/2)+B13+D13+C13+($P13/2)</f>
        <v>3150</v>
      </c>
      <c r="F16" s="98">
        <f>($A13/2)+B13+C13+E13+D13+($P13/2)</f>
        <v>4050</v>
      </c>
      <c r="G16" s="96">
        <f>($A13/2)+B13+C13+D13+F13+E13+($P13/2)</f>
        <v>4950</v>
      </c>
      <c r="H16" s="96">
        <f>($A13/2)+B13+C13+D13+E13+G13+F13+($P13/2)</f>
        <v>5850</v>
      </c>
      <c r="I16" s="98">
        <f>($A13/2)+B13+C13+D13+E13+F13+H13+G13+($P13/2)</f>
        <v>6750</v>
      </c>
      <c r="J16" s="97">
        <f>($A13/2)+B13+C13+D13+E13+F13+G13+I13+H13+($P13/2)</f>
        <v>7650</v>
      </c>
      <c r="K16" s="97">
        <f>($A13/2)+B13+C13+D13+E13+F13+G13+H13+J13+I13+($P13/2)</f>
        <v>8550</v>
      </c>
      <c r="L16" s="98">
        <f>($A13/2)+B13+C13+D13+E13+F13+G13+H13+I13+K13+J13+($P13/2)</f>
        <v>9450</v>
      </c>
      <c r="M16" s="98">
        <f>($A13/2)+B13+C13+D13+E13+F13+G13+H13+I13+J13+L13+K13+($P13/2)</f>
        <v>10350</v>
      </c>
      <c r="N16" s="97">
        <f>($A13/2)+B13+C13+D13+E13+F13+G13+H13+I13+J13+K13+M13+L13+($P13/2)</f>
        <v>11250</v>
      </c>
      <c r="O16" s="97">
        <f>($A13/2)+B13+C13+D13+E13+F13+G13+H13+I13+J13+K13+L13+N13+M13+($P13/2)</f>
        <v>12150</v>
      </c>
      <c r="P16" s="98">
        <f>($A13/2)+B13+C13+D13+E13+F13+G13+H13+I13+J13+K13+L13+M13+O13+N13+($P13/2)</f>
        <v>13050</v>
      </c>
    </row>
    <row r="17" spans="1:16" x14ac:dyDescent="0.2">
      <c r="A17" s="5" t="s">
        <v>89</v>
      </c>
      <c r="B17" s="89"/>
      <c r="C17" s="96">
        <f>+C16*0.7</f>
        <v>944.99999999999989</v>
      </c>
      <c r="D17" s="96">
        <f t="shared" ref="D17:P17" si="6">+D16*0.7</f>
        <v>1575</v>
      </c>
      <c r="E17" s="96">
        <f t="shared" si="6"/>
        <v>2205</v>
      </c>
      <c r="F17" s="98">
        <f t="shared" si="6"/>
        <v>2835</v>
      </c>
      <c r="G17" s="96">
        <f t="shared" si="6"/>
        <v>3465</v>
      </c>
      <c r="H17" s="96">
        <f t="shared" si="6"/>
        <v>4094.9999999999995</v>
      </c>
      <c r="I17" s="98">
        <f t="shared" si="6"/>
        <v>4725</v>
      </c>
      <c r="J17" s="97">
        <f t="shared" si="6"/>
        <v>5355</v>
      </c>
      <c r="K17" s="97">
        <f t="shared" si="6"/>
        <v>5985</v>
      </c>
      <c r="L17" s="98">
        <f t="shared" si="6"/>
        <v>6615</v>
      </c>
      <c r="M17" s="98">
        <f t="shared" si="6"/>
        <v>7244.9999999999991</v>
      </c>
      <c r="N17" s="97">
        <f t="shared" si="6"/>
        <v>7874.9999999999991</v>
      </c>
      <c r="O17" s="97">
        <f t="shared" si="6"/>
        <v>8505</v>
      </c>
      <c r="P17" s="98">
        <f t="shared" si="6"/>
        <v>9135</v>
      </c>
    </row>
    <row r="18" spans="1:16" x14ac:dyDescent="0.2">
      <c r="A18" s="92"/>
      <c r="B18" s="92"/>
      <c r="C18" s="92"/>
      <c r="D18" s="92"/>
      <c r="E18" s="92"/>
      <c r="F18" s="94"/>
      <c r="G18" s="92"/>
      <c r="H18" s="92"/>
      <c r="I18" s="93">
        <v>0.10655737704918034</v>
      </c>
    </row>
    <row r="19" spans="1:16" x14ac:dyDescent="0.2">
      <c r="A19" s="27" t="s">
        <v>90</v>
      </c>
      <c r="C19" s="92"/>
      <c r="D19" s="92"/>
      <c r="E19" s="92"/>
      <c r="F19" s="94"/>
      <c r="G19" s="92"/>
      <c r="H19" s="92"/>
    </row>
    <row r="20" spans="1:16" x14ac:dyDescent="0.2">
      <c r="C20" s="99" t="s">
        <v>52</v>
      </c>
      <c r="D20" s="99" t="s">
        <v>86</v>
      </c>
      <c r="E20" s="92"/>
      <c r="F20" s="94"/>
      <c r="G20" s="92"/>
      <c r="H20" s="92"/>
    </row>
    <row r="21" spans="1:16" x14ac:dyDescent="0.2">
      <c r="A21" t="s">
        <v>91</v>
      </c>
      <c r="B21" s="100"/>
      <c r="C21" s="101">
        <v>350000</v>
      </c>
      <c r="D21" s="102">
        <v>390</v>
      </c>
      <c r="E21" s="93">
        <v>0.16666666666666674</v>
      </c>
      <c r="F21" s="102" t="s">
        <v>92</v>
      </c>
      <c r="G21" s="100"/>
      <c r="H21" s="100"/>
      <c r="I21" s="102"/>
    </row>
    <row r="22" spans="1:16" x14ac:dyDescent="0.2">
      <c r="A22" t="s">
        <v>93</v>
      </c>
      <c r="B22" s="100"/>
      <c r="C22" s="101">
        <v>500000</v>
      </c>
      <c r="D22" s="102">
        <v>550</v>
      </c>
      <c r="E22" s="93">
        <v>0.11111111111111116</v>
      </c>
      <c r="F22" s="102" t="s">
        <v>94</v>
      </c>
      <c r="G22" s="100"/>
      <c r="H22" s="100"/>
      <c r="I22" s="102"/>
    </row>
    <row r="23" spans="1:16" x14ac:dyDescent="0.2">
      <c r="A23" s="103"/>
      <c r="B23" s="103"/>
      <c r="C23" s="103"/>
      <c r="D23" s="103"/>
      <c r="E23" s="103"/>
      <c r="F23" s="104"/>
      <c r="G23" s="103"/>
      <c r="H23" s="103"/>
      <c r="I23" s="104"/>
    </row>
    <row r="24" spans="1:16" x14ac:dyDescent="0.2">
      <c r="A24" s="102" t="s">
        <v>95</v>
      </c>
      <c r="B24" s="100"/>
      <c r="C24" s="103"/>
      <c r="D24" s="103"/>
      <c r="E24" s="103"/>
      <c r="F24" s="104"/>
      <c r="G24" s="103"/>
      <c r="H24" s="103"/>
      <c r="I24" s="104"/>
    </row>
    <row r="25" spans="1:16" x14ac:dyDescent="0.2">
      <c r="A25" s="102" t="s">
        <v>96</v>
      </c>
      <c r="B25" s="100"/>
      <c r="C25" s="103"/>
      <c r="D25" s="103"/>
      <c r="E25" s="103"/>
      <c r="F25" s="104"/>
      <c r="G25" s="103"/>
      <c r="H25" s="103"/>
      <c r="I25" s="104"/>
    </row>
    <row r="26" spans="1:16" x14ac:dyDescent="0.2">
      <c r="A26" s="103"/>
      <c r="B26" s="103"/>
      <c r="C26" s="103"/>
      <c r="D26" s="103"/>
      <c r="E26" s="103"/>
      <c r="F26" s="104"/>
      <c r="G26" s="103"/>
      <c r="H26" s="103"/>
      <c r="I26" s="104"/>
    </row>
    <row r="27" spans="1:16" x14ac:dyDescent="0.2">
      <c r="A27" s="102" t="s">
        <v>97</v>
      </c>
      <c r="B27" s="102" t="s">
        <v>98</v>
      </c>
      <c r="C27" s="103"/>
      <c r="D27" s="103"/>
      <c r="E27" s="103"/>
      <c r="F27" s="104"/>
      <c r="G27" s="103"/>
      <c r="H27" s="103"/>
      <c r="I27" s="104"/>
    </row>
    <row r="28" spans="1:16" x14ac:dyDescent="0.2">
      <c r="A28" s="103"/>
      <c r="B28" s="103"/>
      <c r="C28" s="103"/>
      <c r="D28" s="103"/>
      <c r="E28" s="103"/>
      <c r="F28" s="104"/>
      <c r="G28" s="103"/>
      <c r="H28" s="103"/>
      <c r="I28" s="104"/>
    </row>
    <row r="29" spans="1:16" x14ac:dyDescent="0.2">
      <c r="C29" s="103"/>
      <c r="D29" s="103"/>
      <c r="E29" s="103"/>
      <c r="F29" s="104"/>
      <c r="G29" s="103"/>
      <c r="H29" s="103"/>
      <c r="I29" s="104"/>
    </row>
    <row r="30" spans="1:16" x14ac:dyDescent="0.2">
      <c r="C30" s="103"/>
      <c r="D30" s="103"/>
      <c r="E30" s="103"/>
      <c r="F30" s="104"/>
      <c r="G30" s="103"/>
      <c r="H30" s="103"/>
      <c r="I30" s="104"/>
    </row>
    <row r="40" customFormat="1" x14ac:dyDescent="0.2"/>
    <row r="41" customFormat="1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B527-E72B-4C6C-934F-66A65A6A46D2}">
  <sheetPr codeName="Hoja8">
    <tabColor theme="1"/>
  </sheetPr>
  <dimension ref="A1:M501"/>
  <sheetViews>
    <sheetView workbookViewId="0">
      <selection activeCell="E2" sqref="E2"/>
    </sheetView>
  </sheetViews>
  <sheetFormatPr baseColWidth="10" defaultRowHeight="15" x14ac:dyDescent="0.2"/>
  <cols>
    <col min="2" max="2" width="10.83203125" style="3"/>
    <col min="5" max="5" width="10.83203125" style="3"/>
    <col min="8" max="8" width="14.5" bestFit="1" customWidth="1"/>
    <col min="10" max="10" width="12.83203125" bestFit="1" customWidth="1"/>
  </cols>
  <sheetData>
    <row r="1" spans="1:13" s="151" customFormat="1" ht="32" x14ac:dyDescent="0.2">
      <c r="A1" s="151" t="s">
        <v>135</v>
      </c>
      <c r="B1" s="152" t="s">
        <v>174</v>
      </c>
      <c r="C1" s="151" t="s">
        <v>137</v>
      </c>
      <c r="D1" s="151" t="s">
        <v>138</v>
      </c>
      <c r="E1" s="151" t="s">
        <v>145</v>
      </c>
      <c r="F1" s="151" t="s">
        <v>177</v>
      </c>
      <c r="G1" s="151" t="s">
        <v>182</v>
      </c>
      <c r="H1" s="151" t="s">
        <v>312</v>
      </c>
      <c r="I1" s="151" t="s">
        <v>190</v>
      </c>
      <c r="J1" s="151" t="s">
        <v>313</v>
      </c>
      <c r="K1" s="151" t="s">
        <v>317</v>
      </c>
    </row>
    <row r="2" spans="1:13" x14ac:dyDescent="0.2">
      <c r="A2" t="s">
        <v>233</v>
      </c>
      <c r="B2" s="3">
        <v>1</v>
      </c>
      <c r="C2" t="s">
        <v>235</v>
      </c>
      <c r="D2" t="s">
        <v>237</v>
      </c>
      <c r="E2" s="3">
        <v>1</v>
      </c>
      <c r="F2" t="s">
        <v>240</v>
      </c>
      <c r="G2" t="s">
        <v>242</v>
      </c>
      <c r="H2" t="s">
        <v>337</v>
      </c>
      <c r="I2" s="243">
        <v>0.01</v>
      </c>
      <c r="J2" t="s">
        <v>314</v>
      </c>
      <c r="K2" s="244" t="str" cm="1">
        <f t="array" ref="K2:K4">_xlfn.LET(_xlpm.l, _xlfn.UNIQUE(_xlfn._xlws.FILTER(BBDD!$B$1:$B$241, BBDD!$B$1:$B$241&lt;&gt;"")),_xlfn.SORTBY(_xlpm.l, VALUE(SUBSTITUTE(_xlpm.l, "Grupo ", "")), 1))</f>
        <v>Grupo 1</v>
      </c>
      <c r="M2" t="str" cm="1">
        <f t="array" ref="M2:M4">_xlfn._xlws.SORT(_xlfn.UNIQUE(_xlfn._xlws.FILTER(BBDD!$B$1:$B$241,BBDD!$B$1:$B$241&lt;&gt;"")))</f>
        <v>Grupo</v>
      </c>
    </row>
    <row r="3" spans="1:13" x14ac:dyDescent="0.2">
      <c r="A3" t="s">
        <v>234</v>
      </c>
      <c r="B3" s="3">
        <v>2</v>
      </c>
      <c r="C3" t="s">
        <v>236</v>
      </c>
      <c r="D3" t="s">
        <v>238</v>
      </c>
      <c r="E3" s="3">
        <v>2</v>
      </c>
      <c r="F3" t="s">
        <v>241</v>
      </c>
      <c r="G3" t="s">
        <v>243</v>
      </c>
      <c r="H3" t="s">
        <v>336</v>
      </c>
      <c r="I3" s="243">
        <f>+I2+1%</f>
        <v>0.02</v>
      </c>
      <c r="J3" t="s">
        <v>315</v>
      </c>
      <c r="K3" s="245" t="str">
        <v>Grupo 2</v>
      </c>
      <c r="M3" t="str">
        <v>Grupo 1</v>
      </c>
    </row>
    <row r="4" spans="1:13" x14ac:dyDescent="0.2">
      <c r="B4" s="3">
        <v>3</v>
      </c>
      <c r="D4" t="s">
        <v>239</v>
      </c>
      <c r="E4" s="3">
        <v>3</v>
      </c>
      <c r="H4" t="s">
        <v>331</v>
      </c>
      <c r="I4" s="243">
        <f t="shared" ref="I4:I67" si="0">+I3+1%</f>
        <v>0.03</v>
      </c>
      <c r="J4" t="s">
        <v>316</v>
      </c>
      <c r="K4" t="str">
        <v>Grupo</v>
      </c>
      <c r="M4" t="str">
        <v>Grupo 2</v>
      </c>
    </row>
    <row r="5" spans="1:13" x14ac:dyDescent="0.2">
      <c r="B5" s="3">
        <v>4</v>
      </c>
      <c r="E5" s="3">
        <v>4</v>
      </c>
      <c r="H5" t="s">
        <v>332</v>
      </c>
      <c r="I5" s="243">
        <f t="shared" si="0"/>
        <v>0.04</v>
      </c>
    </row>
    <row r="6" spans="1:13" x14ac:dyDescent="0.2">
      <c r="B6" s="3">
        <v>5</v>
      </c>
      <c r="E6" s="3">
        <v>5</v>
      </c>
      <c r="I6" s="243">
        <f t="shared" si="0"/>
        <v>0.05</v>
      </c>
    </row>
    <row r="7" spans="1:13" x14ac:dyDescent="0.2">
      <c r="B7" s="3">
        <v>6</v>
      </c>
      <c r="E7" s="3">
        <v>6</v>
      </c>
      <c r="I7" s="243">
        <f t="shared" si="0"/>
        <v>6.0000000000000005E-2</v>
      </c>
    </row>
    <row r="8" spans="1:13" x14ac:dyDescent="0.2">
      <c r="B8" s="3">
        <v>7</v>
      </c>
      <c r="E8" s="3">
        <v>7</v>
      </c>
      <c r="I8" s="243">
        <f t="shared" si="0"/>
        <v>7.0000000000000007E-2</v>
      </c>
    </row>
    <row r="9" spans="1:13" x14ac:dyDescent="0.2">
      <c r="B9" s="3">
        <v>8</v>
      </c>
      <c r="E9" s="3">
        <v>8</v>
      </c>
      <c r="I9" s="243">
        <f t="shared" si="0"/>
        <v>0.08</v>
      </c>
    </row>
    <row r="10" spans="1:13" x14ac:dyDescent="0.2">
      <c r="B10" s="3">
        <v>9</v>
      </c>
      <c r="E10" s="3">
        <v>9</v>
      </c>
      <c r="I10" s="243">
        <f t="shared" si="0"/>
        <v>0.09</v>
      </c>
    </row>
    <row r="11" spans="1:13" x14ac:dyDescent="0.2">
      <c r="B11" s="3">
        <v>10</v>
      </c>
      <c r="E11" s="3">
        <v>10</v>
      </c>
      <c r="I11" s="243">
        <f t="shared" si="0"/>
        <v>9.9999999999999992E-2</v>
      </c>
    </row>
    <row r="12" spans="1:13" x14ac:dyDescent="0.2">
      <c r="B12" s="3">
        <v>11</v>
      </c>
      <c r="E12" s="3">
        <v>11</v>
      </c>
      <c r="I12" s="243">
        <f t="shared" si="0"/>
        <v>0.10999999999999999</v>
      </c>
    </row>
    <row r="13" spans="1:13" x14ac:dyDescent="0.2">
      <c r="B13" s="3">
        <v>12</v>
      </c>
      <c r="E13" s="3">
        <v>12</v>
      </c>
      <c r="I13" s="243">
        <f t="shared" si="0"/>
        <v>0.11999999999999998</v>
      </c>
    </row>
    <row r="14" spans="1:13" x14ac:dyDescent="0.2">
      <c r="B14" s="3">
        <v>13</v>
      </c>
      <c r="E14" s="3">
        <v>13</v>
      </c>
      <c r="I14" s="243">
        <f t="shared" si="0"/>
        <v>0.12999999999999998</v>
      </c>
    </row>
    <row r="15" spans="1:13" x14ac:dyDescent="0.2">
      <c r="B15" s="3">
        <v>14</v>
      </c>
      <c r="E15" s="3">
        <v>14</v>
      </c>
      <c r="I15" s="243">
        <f t="shared" si="0"/>
        <v>0.13999999999999999</v>
      </c>
    </row>
    <row r="16" spans="1:13" x14ac:dyDescent="0.2">
      <c r="B16" s="3">
        <v>15</v>
      </c>
      <c r="E16" s="3">
        <v>15</v>
      </c>
      <c r="I16" s="243">
        <f t="shared" si="0"/>
        <v>0.15</v>
      </c>
    </row>
    <row r="17" spans="2:9" x14ac:dyDescent="0.2">
      <c r="B17" s="3">
        <v>16</v>
      </c>
      <c r="E17" s="3">
        <v>16</v>
      </c>
      <c r="I17" s="243">
        <f t="shared" si="0"/>
        <v>0.16</v>
      </c>
    </row>
    <row r="18" spans="2:9" x14ac:dyDescent="0.2">
      <c r="B18" s="3">
        <v>17</v>
      </c>
      <c r="E18" s="3">
        <v>17</v>
      </c>
      <c r="I18" s="243">
        <f t="shared" si="0"/>
        <v>0.17</v>
      </c>
    </row>
    <row r="19" spans="2:9" x14ac:dyDescent="0.2">
      <c r="B19" s="3">
        <v>18</v>
      </c>
      <c r="E19" s="3">
        <v>18</v>
      </c>
      <c r="I19" s="243">
        <f t="shared" si="0"/>
        <v>0.18000000000000002</v>
      </c>
    </row>
    <row r="20" spans="2:9" x14ac:dyDescent="0.2">
      <c r="B20" s="3">
        <v>19</v>
      </c>
      <c r="E20" s="3">
        <v>19</v>
      </c>
      <c r="I20" s="243">
        <f t="shared" si="0"/>
        <v>0.19000000000000003</v>
      </c>
    </row>
    <row r="21" spans="2:9" x14ac:dyDescent="0.2">
      <c r="B21" s="3">
        <v>20</v>
      </c>
      <c r="E21" s="3">
        <v>20</v>
      </c>
      <c r="I21" s="243">
        <f t="shared" si="0"/>
        <v>0.20000000000000004</v>
      </c>
    </row>
    <row r="22" spans="2:9" x14ac:dyDescent="0.2">
      <c r="E22" s="3">
        <v>21</v>
      </c>
      <c r="I22" s="243">
        <f t="shared" si="0"/>
        <v>0.21000000000000005</v>
      </c>
    </row>
    <row r="23" spans="2:9" x14ac:dyDescent="0.2">
      <c r="E23" s="3">
        <v>22</v>
      </c>
      <c r="I23" s="243">
        <f t="shared" si="0"/>
        <v>0.22000000000000006</v>
      </c>
    </row>
    <row r="24" spans="2:9" x14ac:dyDescent="0.2">
      <c r="E24" s="3">
        <v>23</v>
      </c>
      <c r="I24" s="243">
        <f t="shared" si="0"/>
        <v>0.23000000000000007</v>
      </c>
    </row>
    <row r="25" spans="2:9" x14ac:dyDescent="0.2">
      <c r="E25" s="3">
        <v>24</v>
      </c>
      <c r="I25" s="243">
        <f t="shared" si="0"/>
        <v>0.24000000000000007</v>
      </c>
    </row>
    <row r="26" spans="2:9" x14ac:dyDescent="0.2">
      <c r="E26" s="3">
        <v>25</v>
      </c>
      <c r="I26" s="243">
        <f t="shared" si="0"/>
        <v>0.25000000000000006</v>
      </c>
    </row>
    <row r="27" spans="2:9" x14ac:dyDescent="0.2">
      <c r="E27" s="3">
        <v>26</v>
      </c>
      <c r="I27" s="243">
        <f t="shared" si="0"/>
        <v>0.26000000000000006</v>
      </c>
    </row>
    <row r="28" spans="2:9" x14ac:dyDescent="0.2">
      <c r="E28" s="3">
        <v>27</v>
      </c>
      <c r="I28" s="243">
        <f t="shared" si="0"/>
        <v>0.27000000000000007</v>
      </c>
    </row>
    <row r="29" spans="2:9" x14ac:dyDescent="0.2">
      <c r="E29" s="3">
        <v>28</v>
      </c>
      <c r="I29" s="243">
        <f t="shared" si="0"/>
        <v>0.28000000000000008</v>
      </c>
    </row>
    <row r="30" spans="2:9" x14ac:dyDescent="0.2">
      <c r="E30" s="3">
        <v>29</v>
      </c>
      <c r="I30" s="243">
        <f t="shared" si="0"/>
        <v>0.29000000000000009</v>
      </c>
    </row>
    <row r="31" spans="2:9" x14ac:dyDescent="0.2">
      <c r="E31" s="3">
        <v>30</v>
      </c>
      <c r="I31" s="243">
        <f t="shared" si="0"/>
        <v>0.3000000000000001</v>
      </c>
    </row>
    <row r="32" spans="2:9" x14ac:dyDescent="0.2">
      <c r="E32" s="3">
        <v>31</v>
      </c>
      <c r="I32" s="243">
        <f t="shared" si="0"/>
        <v>0.31000000000000011</v>
      </c>
    </row>
    <row r="33" spans="5:9" x14ac:dyDescent="0.2">
      <c r="E33" s="3">
        <v>32</v>
      </c>
      <c r="I33" s="243">
        <f t="shared" si="0"/>
        <v>0.32000000000000012</v>
      </c>
    </row>
    <row r="34" spans="5:9" x14ac:dyDescent="0.2">
      <c r="E34" s="3">
        <v>33</v>
      </c>
      <c r="I34" s="243">
        <f t="shared" si="0"/>
        <v>0.33000000000000013</v>
      </c>
    </row>
    <row r="35" spans="5:9" x14ac:dyDescent="0.2">
      <c r="E35" s="3">
        <v>34</v>
      </c>
      <c r="I35" s="243">
        <f t="shared" si="0"/>
        <v>0.34000000000000014</v>
      </c>
    </row>
    <row r="36" spans="5:9" x14ac:dyDescent="0.2">
      <c r="E36" s="3">
        <v>35</v>
      </c>
      <c r="I36" s="243">
        <f t="shared" si="0"/>
        <v>0.35000000000000014</v>
      </c>
    </row>
    <row r="37" spans="5:9" x14ac:dyDescent="0.2">
      <c r="E37" s="3">
        <v>36</v>
      </c>
      <c r="I37" s="243">
        <f t="shared" si="0"/>
        <v>0.36000000000000015</v>
      </c>
    </row>
    <row r="38" spans="5:9" x14ac:dyDescent="0.2">
      <c r="E38" s="3">
        <v>37</v>
      </c>
      <c r="I38" s="243">
        <f t="shared" si="0"/>
        <v>0.37000000000000016</v>
      </c>
    </row>
    <row r="39" spans="5:9" x14ac:dyDescent="0.2">
      <c r="E39" s="3">
        <v>38</v>
      </c>
      <c r="I39" s="243">
        <f t="shared" si="0"/>
        <v>0.38000000000000017</v>
      </c>
    </row>
    <row r="40" spans="5:9" x14ac:dyDescent="0.2">
      <c r="E40" s="3">
        <v>39</v>
      </c>
      <c r="I40" s="243">
        <f t="shared" si="0"/>
        <v>0.39000000000000018</v>
      </c>
    </row>
    <row r="41" spans="5:9" x14ac:dyDescent="0.2">
      <c r="E41" s="3">
        <v>40</v>
      </c>
      <c r="I41" s="243">
        <f t="shared" si="0"/>
        <v>0.40000000000000019</v>
      </c>
    </row>
    <row r="42" spans="5:9" x14ac:dyDescent="0.2">
      <c r="E42" s="3">
        <v>41</v>
      </c>
      <c r="I42" s="243">
        <f t="shared" si="0"/>
        <v>0.4100000000000002</v>
      </c>
    </row>
    <row r="43" spans="5:9" x14ac:dyDescent="0.2">
      <c r="E43" s="3">
        <v>42</v>
      </c>
      <c r="I43" s="243">
        <f t="shared" si="0"/>
        <v>0.42000000000000021</v>
      </c>
    </row>
    <row r="44" spans="5:9" x14ac:dyDescent="0.2">
      <c r="E44" s="3">
        <v>43</v>
      </c>
      <c r="I44" s="243">
        <f t="shared" si="0"/>
        <v>0.43000000000000022</v>
      </c>
    </row>
    <row r="45" spans="5:9" x14ac:dyDescent="0.2">
      <c r="E45" s="3">
        <v>44</v>
      </c>
      <c r="I45" s="243">
        <f t="shared" si="0"/>
        <v>0.44000000000000022</v>
      </c>
    </row>
    <row r="46" spans="5:9" x14ac:dyDescent="0.2">
      <c r="E46" s="3">
        <v>45</v>
      </c>
      <c r="I46" s="243">
        <f t="shared" si="0"/>
        <v>0.45000000000000023</v>
      </c>
    </row>
    <row r="47" spans="5:9" x14ac:dyDescent="0.2">
      <c r="E47" s="3">
        <v>46</v>
      </c>
      <c r="I47" s="243">
        <f t="shared" si="0"/>
        <v>0.46000000000000024</v>
      </c>
    </row>
    <row r="48" spans="5:9" x14ac:dyDescent="0.2">
      <c r="E48" s="3">
        <v>47</v>
      </c>
      <c r="I48" s="243">
        <f t="shared" si="0"/>
        <v>0.47000000000000025</v>
      </c>
    </row>
    <row r="49" spans="5:9" x14ac:dyDescent="0.2">
      <c r="E49" s="3">
        <v>48</v>
      </c>
      <c r="I49" s="243">
        <f t="shared" si="0"/>
        <v>0.48000000000000026</v>
      </c>
    </row>
    <row r="50" spans="5:9" x14ac:dyDescent="0.2">
      <c r="E50" s="3">
        <v>49</v>
      </c>
      <c r="I50" s="243">
        <f t="shared" si="0"/>
        <v>0.49000000000000027</v>
      </c>
    </row>
    <row r="51" spans="5:9" x14ac:dyDescent="0.2">
      <c r="E51" s="3">
        <v>50</v>
      </c>
      <c r="I51" s="243">
        <f t="shared" si="0"/>
        <v>0.50000000000000022</v>
      </c>
    </row>
    <row r="52" spans="5:9" x14ac:dyDescent="0.2">
      <c r="E52" s="3">
        <v>51</v>
      </c>
      <c r="I52" s="243">
        <f t="shared" si="0"/>
        <v>0.51000000000000023</v>
      </c>
    </row>
    <row r="53" spans="5:9" x14ac:dyDescent="0.2">
      <c r="E53" s="3">
        <v>52</v>
      </c>
      <c r="I53" s="243">
        <f t="shared" si="0"/>
        <v>0.52000000000000024</v>
      </c>
    </row>
    <row r="54" spans="5:9" x14ac:dyDescent="0.2">
      <c r="E54" s="3">
        <v>53</v>
      </c>
      <c r="I54" s="243">
        <f t="shared" si="0"/>
        <v>0.53000000000000025</v>
      </c>
    </row>
    <row r="55" spans="5:9" x14ac:dyDescent="0.2">
      <c r="E55" s="3">
        <v>54</v>
      </c>
      <c r="I55" s="243">
        <f t="shared" si="0"/>
        <v>0.54000000000000026</v>
      </c>
    </row>
    <row r="56" spans="5:9" x14ac:dyDescent="0.2">
      <c r="E56" s="3">
        <v>55</v>
      </c>
      <c r="I56" s="243">
        <f t="shared" si="0"/>
        <v>0.55000000000000027</v>
      </c>
    </row>
    <row r="57" spans="5:9" x14ac:dyDescent="0.2">
      <c r="E57" s="3">
        <v>56</v>
      </c>
      <c r="I57" s="243">
        <f t="shared" si="0"/>
        <v>0.56000000000000028</v>
      </c>
    </row>
    <row r="58" spans="5:9" x14ac:dyDescent="0.2">
      <c r="E58" s="3">
        <v>57</v>
      </c>
      <c r="I58" s="243">
        <f t="shared" si="0"/>
        <v>0.57000000000000028</v>
      </c>
    </row>
    <row r="59" spans="5:9" x14ac:dyDescent="0.2">
      <c r="E59" s="3">
        <v>58</v>
      </c>
      <c r="I59" s="243">
        <f t="shared" si="0"/>
        <v>0.58000000000000029</v>
      </c>
    </row>
    <row r="60" spans="5:9" x14ac:dyDescent="0.2">
      <c r="E60" s="3">
        <v>59</v>
      </c>
      <c r="I60" s="243">
        <f t="shared" si="0"/>
        <v>0.5900000000000003</v>
      </c>
    </row>
    <row r="61" spans="5:9" x14ac:dyDescent="0.2">
      <c r="E61" s="3">
        <v>60</v>
      </c>
      <c r="I61" s="243">
        <f t="shared" si="0"/>
        <v>0.60000000000000031</v>
      </c>
    </row>
    <row r="62" spans="5:9" x14ac:dyDescent="0.2">
      <c r="E62" s="3">
        <v>61</v>
      </c>
      <c r="I62" s="243">
        <f t="shared" si="0"/>
        <v>0.61000000000000032</v>
      </c>
    </row>
    <row r="63" spans="5:9" x14ac:dyDescent="0.2">
      <c r="E63" s="3">
        <v>62</v>
      </c>
      <c r="I63" s="243">
        <f t="shared" si="0"/>
        <v>0.62000000000000033</v>
      </c>
    </row>
    <row r="64" spans="5:9" x14ac:dyDescent="0.2">
      <c r="E64" s="3">
        <v>63</v>
      </c>
      <c r="I64" s="243">
        <f t="shared" si="0"/>
        <v>0.63000000000000034</v>
      </c>
    </row>
    <row r="65" spans="5:9" x14ac:dyDescent="0.2">
      <c r="E65" s="3">
        <v>64</v>
      </c>
      <c r="I65" s="243">
        <f t="shared" si="0"/>
        <v>0.64000000000000035</v>
      </c>
    </row>
    <row r="66" spans="5:9" x14ac:dyDescent="0.2">
      <c r="E66" s="3">
        <v>65</v>
      </c>
      <c r="I66" s="243">
        <f t="shared" si="0"/>
        <v>0.65000000000000036</v>
      </c>
    </row>
    <row r="67" spans="5:9" x14ac:dyDescent="0.2">
      <c r="E67" s="3">
        <v>66</v>
      </c>
      <c r="I67" s="243">
        <f t="shared" si="0"/>
        <v>0.66000000000000036</v>
      </c>
    </row>
    <row r="68" spans="5:9" x14ac:dyDescent="0.2">
      <c r="E68" s="3">
        <v>67</v>
      </c>
      <c r="I68" s="243">
        <f t="shared" ref="I68:I101" si="1">+I67+1%</f>
        <v>0.67000000000000037</v>
      </c>
    </row>
    <row r="69" spans="5:9" x14ac:dyDescent="0.2">
      <c r="E69" s="3">
        <v>68</v>
      </c>
      <c r="I69" s="243">
        <f t="shared" si="1"/>
        <v>0.68000000000000038</v>
      </c>
    </row>
    <row r="70" spans="5:9" x14ac:dyDescent="0.2">
      <c r="E70" s="3">
        <v>69</v>
      </c>
      <c r="I70" s="243">
        <f t="shared" si="1"/>
        <v>0.69000000000000039</v>
      </c>
    </row>
    <row r="71" spans="5:9" x14ac:dyDescent="0.2">
      <c r="E71" s="3">
        <v>70</v>
      </c>
      <c r="I71" s="243">
        <f t="shared" si="1"/>
        <v>0.7000000000000004</v>
      </c>
    </row>
    <row r="72" spans="5:9" x14ac:dyDescent="0.2">
      <c r="E72" s="3">
        <v>71</v>
      </c>
      <c r="I72" s="243">
        <f t="shared" si="1"/>
        <v>0.71000000000000041</v>
      </c>
    </row>
    <row r="73" spans="5:9" x14ac:dyDescent="0.2">
      <c r="E73" s="3">
        <v>72</v>
      </c>
      <c r="I73" s="243">
        <f t="shared" si="1"/>
        <v>0.72000000000000042</v>
      </c>
    </row>
    <row r="74" spans="5:9" x14ac:dyDescent="0.2">
      <c r="E74" s="3">
        <v>73</v>
      </c>
      <c r="I74" s="243">
        <f t="shared" si="1"/>
        <v>0.73000000000000043</v>
      </c>
    </row>
    <row r="75" spans="5:9" x14ac:dyDescent="0.2">
      <c r="E75" s="3">
        <v>74</v>
      </c>
      <c r="I75" s="243">
        <f t="shared" si="1"/>
        <v>0.74000000000000044</v>
      </c>
    </row>
    <row r="76" spans="5:9" x14ac:dyDescent="0.2">
      <c r="E76" s="3">
        <v>75</v>
      </c>
      <c r="I76" s="243">
        <f t="shared" si="1"/>
        <v>0.75000000000000044</v>
      </c>
    </row>
    <row r="77" spans="5:9" x14ac:dyDescent="0.2">
      <c r="E77" s="3">
        <v>76</v>
      </c>
      <c r="I77" s="243">
        <f t="shared" si="1"/>
        <v>0.76000000000000045</v>
      </c>
    </row>
    <row r="78" spans="5:9" x14ac:dyDescent="0.2">
      <c r="E78" s="3">
        <v>77</v>
      </c>
      <c r="I78" s="243">
        <f t="shared" si="1"/>
        <v>0.77000000000000046</v>
      </c>
    </row>
    <row r="79" spans="5:9" x14ac:dyDescent="0.2">
      <c r="E79" s="3">
        <v>78</v>
      </c>
      <c r="I79" s="243">
        <f t="shared" si="1"/>
        <v>0.78000000000000047</v>
      </c>
    </row>
    <row r="80" spans="5:9" x14ac:dyDescent="0.2">
      <c r="E80" s="3">
        <v>79</v>
      </c>
      <c r="I80" s="243">
        <f t="shared" si="1"/>
        <v>0.79000000000000048</v>
      </c>
    </row>
    <row r="81" spans="5:9" x14ac:dyDescent="0.2">
      <c r="E81" s="3">
        <v>80</v>
      </c>
      <c r="I81" s="243">
        <f t="shared" si="1"/>
        <v>0.80000000000000049</v>
      </c>
    </row>
    <row r="82" spans="5:9" x14ac:dyDescent="0.2">
      <c r="E82" s="3">
        <v>81</v>
      </c>
      <c r="I82" s="243">
        <f t="shared" si="1"/>
        <v>0.8100000000000005</v>
      </c>
    </row>
    <row r="83" spans="5:9" x14ac:dyDescent="0.2">
      <c r="E83" s="3">
        <v>82</v>
      </c>
      <c r="I83" s="243">
        <f t="shared" si="1"/>
        <v>0.82000000000000051</v>
      </c>
    </row>
    <row r="84" spans="5:9" x14ac:dyDescent="0.2">
      <c r="E84" s="3">
        <v>83</v>
      </c>
      <c r="I84" s="243">
        <f t="shared" si="1"/>
        <v>0.83000000000000052</v>
      </c>
    </row>
    <row r="85" spans="5:9" x14ac:dyDescent="0.2">
      <c r="E85" s="3">
        <v>84</v>
      </c>
      <c r="I85" s="243">
        <f t="shared" si="1"/>
        <v>0.84000000000000052</v>
      </c>
    </row>
    <row r="86" spans="5:9" x14ac:dyDescent="0.2">
      <c r="E86" s="3">
        <v>85</v>
      </c>
      <c r="I86" s="243">
        <f t="shared" si="1"/>
        <v>0.85000000000000053</v>
      </c>
    </row>
    <row r="87" spans="5:9" x14ac:dyDescent="0.2">
      <c r="E87" s="3">
        <v>86</v>
      </c>
      <c r="I87" s="243">
        <f t="shared" si="1"/>
        <v>0.86000000000000054</v>
      </c>
    </row>
    <row r="88" spans="5:9" x14ac:dyDescent="0.2">
      <c r="E88" s="3">
        <v>87</v>
      </c>
      <c r="I88" s="243">
        <f t="shared" si="1"/>
        <v>0.87000000000000055</v>
      </c>
    </row>
    <row r="89" spans="5:9" x14ac:dyDescent="0.2">
      <c r="E89" s="3">
        <v>88</v>
      </c>
      <c r="I89" s="243">
        <f t="shared" si="1"/>
        <v>0.88000000000000056</v>
      </c>
    </row>
    <row r="90" spans="5:9" x14ac:dyDescent="0.2">
      <c r="E90" s="3">
        <v>89</v>
      </c>
      <c r="I90" s="243">
        <f t="shared" si="1"/>
        <v>0.89000000000000057</v>
      </c>
    </row>
    <row r="91" spans="5:9" x14ac:dyDescent="0.2">
      <c r="E91" s="3">
        <v>90</v>
      </c>
      <c r="I91" s="243">
        <f t="shared" si="1"/>
        <v>0.90000000000000058</v>
      </c>
    </row>
    <row r="92" spans="5:9" x14ac:dyDescent="0.2">
      <c r="E92" s="3">
        <v>91</v>
      </c>
      <c r="I92" s="243">
        <f t="shared" si="1"/>
        <v>0.91000000000000059</v>
      </c>
    </row>
    <row r="93" spans="5:9" x14ac:dyDescent="0.2">
      <c r="E93" s="3">
        <v>92</v>
      </c>
      <c r="I93" s="243">
        <f t="shared" si="1"/>
        <v>0.9200000000000006</v>
      </c>
    </row>
    <row r="94" spans="5:9" x14ac:dyDescent="0.2">
      <c r="E94" s="3">
        <v>93</v>
      </c>
      <c r="I94" s="243">
        <f t="shared" si="1"/>
        <v>0.9300000000000006</v>
      </c>
    </row>
    <row r="95" spans="5:9" x14ac:dyDescent="0.2">
      <c r="E95" s="3">
        <v>94</v>
      </c>
      <c r="I95" s="243">
        <f t="shared" si="1"/>
        <v>0.94000000000000061</v>
      </c>
    </row>
    <row r="96" spans="5:9" x14ac:dyDescent="0.2">
      <c r="E96" s="3">
        <v>95</v>
      </c>
      <c r="I96" s="243">
        <f t="shared" si="1"/>
        <v>0.95000000000000062</v>
      </c>
    </row>
    <row r="97" spans="5:9" x14ac:dyDescent="0.2">
      <c r="E97" s="3">
        <v>96</v>
      </c>
      <c r="I97" s="243">
        <f t="shared" si="1"/>
        <v>0.96000000000000063</v>
      </c>
    </row>
    <row r="98" spans="5:9" x14ac:dyDescent="0.2">
      <c r="E98" s="3">
        <v>97</v>
      </c>
      <c r="I98" s="243">
        <f t="shared" si="1"/>
        <v>0.97000000000000064</v>
      </c>
    </row>
    <row r="99" spans="5:9" x14ac:dyDescent="0.2">
      <c r="E99" s="3">
        <v>98</v>
      </c>
      <c r="I99" s="243">
        <f t="shared" si="1"/>
        <v>0.98000000000000065</v>
      </c>
    </row>
    <row r="100" spans="5:9" x14ac:dyDescent="0.2">
      <c r="E100" s="3">
        <v>99</v>
      </c>
      <c r="I100" s="243">
        <f t="shared" si="1"/>
        <v>0.99000000000000066</v>
      </c>
    </row>
    <row r="101" spans="5:9" x14ac:dyDescent="0.2">
      <c r="E101" s="3">
        <v>100</v>
      </c>
      <c r="I101" s="243">
        <f t="shared" si="1"/>
        <v>1.0000000000000007</v>
      </c>
    </row>
    <row r="102" spans="5:9" x14ac:dyDescent="0.2">
      <c r="E102" s="3">
        <v>101</v>
      </c>
      <c r="I102" s="243"/>
    </row>
    <row r="103" spans="5:9" x14ac:dyDescent="0.2">
      <c r="E103" s="3">
        <v>102</v>
      </c>
    </row>
    <row r="104" spans="5:9" x14ac:dyDescent="0.2">
      <c r="E104" s="3">
        <v>103</v>
      </c>
    </row>
    <row r="105" spans="5:9" x14ac:dyDescent="0.2">
      <c r="E105" s="3">
        <v>104</v>
      </c>
    </row>
    <row r="106" spans="5:9" x14ac:dyDescent="0.2">
      <c r="E106" s="3">
        <v>105</v>
      </c>
    </row>
    <row r="107" spans="5:9" x14ac:dyDescent="0.2">
      <c r="E107" s="3">
        <v>106</v>
      </c>
    </row>
    <row r="108" spans="5:9" x14ac:dyDescent="0.2">
      <c r="E108" s="3">
        <v>107</v>
      </c>
    </row>
    <row r="109" spans="5:9" x14ac:dyDescent="0.2">
      <c r="E109" s="3">
        <v>108</v>
      </c>
    </row>
    <row r="110" spans="5:9" x14ac:dyDescent="0.2">
      <c r="E110" s="3">
        <v>109</v>
      </c>
    </row>
    <row r="111" spans="5:9" x14ac:dyDescent="0.2">
      <c r="E111" s="3">
        <v>110</v>
      </c>
    </row>
    <row r="112" spans="5:9" x14ac:dyDescent="0.2">
      <c r="E112" s="3">
        <v>111</v>
      </c>
    </row>
    <row r="113" spans="5:5" x14ac:dyDescent="0.2">
      <c r="E113" s="3">
        <v>112</v>
      </c>
    </row>
    <row r="114" spans="5:5" x14ac:dyDescent="0.2">
      <c r="E114" s="3">
        <v>113</v>
      </c>
    </row>
    <row r="115" spans="5:5" x14ac:dyDescent="0.2">
      <c r="E115" s="3">
        <v>114</v>
      </c>
    </row>
    <row r="116" spans="5:5" x14ac:dyDescent="0.2">
      <c r="E116" s="3">
        <v>115</v>
      </c>
    </row>
    <row r="117" spans="5:5" x14ac:dyDescent="0.2">
      <c r="E117" s="3">
        <v>116</v>
      </c>
    </row>
    <row r="118" spans="5:5" x14ac:dyDescent="0.2">
      <c r="E118" s="3">
        <v>117</v>
      </c>
    </row>
    <row r="119" spans="5:5" x14ac:dyDescent="0.2">
      <c r="E119" s="3">
        <v>118</v>
      </c>
    </row>
    <row r="120" spans="5:5" x14ac:dyDescent="0.2">
      <c r="E120" s="3">
        <v>119</v>
      </c>
    </row>
    <row r="121" spans="5:5" x14ac:dyDescent="0.2">
      <c r="E121" s="3">
        <v>120</v>
      </c>
    </row>
    <row r="122" spans="5:5" x14ac:dyDescent="0.2">
      <c r="E122" s="3">
        <v>121</v>
      </c>
    </row>
    <row r="123" spans="5:5" x14ac:dyDescent="0.2">
      <c r="E123" s="3">
        <v>122</v>
      </c>
    </row>
    <row r="124" spans="5:5" x14ac:dyDescent="0.2">
      <c r="E124" s="3">
        <v>123</v>
      </c>
    </row>
    <row r="125" spans="5:5" x14ac:dyDescent="0.2">
      <c r="E125" s="3">
        <v>124</v>
      </c>
    </row>
    <row r="126" spans="5:5" x14ac:dyDescent="0.2">
      <c r="E126" s="3">
        <v>125</v>
      </c>
    </row>
    <row r="127" spans="5:5" x14ac:dyDescent="0.2">
      <c r="E127" s="3">
        <v>126</v>
      </c>
    </row>
    <row r="128" spans="5:5" x14ac:dyDescent="0.2">
      <c r="E128" s="3">
        <v>127</v>
      </c>
    </row>
    <row r="129" spans="5:5" x14ac:dyDescent="0.2">
      <c r="E129" s="3">
        <v>128</v>
      </c>
    </row>
    <row r="130" spans="5:5" x14ac:dyDescent="0.2">
      <c r="E130" s="3">
        <v>129</v>
      </c>
    </row>
    <row r="131" spans="5:5" x14ac:dyDescent="0.2">
      <c r="E131" s="3">
        <v>130</v>
      </c>
    </row>
    <row r="132" spans="5:5" x14ac:dyDescent="0.2">
      <c r="E132" s="3">
        <v>131</v>
      </c>
    </row>
    <row r="133" spans="5:5" x14ac:dyDescent="0.2">
      <c r="E133" s="3">
        <v>132</v>
      </c>
    </row>
    <row r="134" spans="5:5" x14ac:dyDescent="0.2">
      <c r="E134" s="3">
        <v>133</v>
      </c>
    </row>
    <row r="135" spans="5:5" x14ac:dyDescent="0.2">
      <c r="E135" s="3">
        <v>134</v>
      </c>
    </row>
    <row r="136" spans="5:5" x14ac:dyDescent="0.2">
      <c r="E136" s="3">
        <v>135</v>
      </c>
    </row>
    <row r="137" spans="5:5" x14ac:dyDescent="0.2">
      <c r="E137" s="3">
        <v>136</v>
      </c>
    </row>
    <row r="138" spans="5:5" x14ac:dyDescent="0.2">
      <c r="E138" s="3">
        <v>137</v>
      </c>
    </row>
    <row r="139" spans="5:5" x14ac:dyDescent="0.2">
      <c r="E139" s="3">
        <v>138</v>
      </c>
    </row>
    <row r="140" spans="5:5" x14ac:dyDescent="0.2">
      <c r="E140" s="3">
        <v>139</v>
      </c>
    </row>
    <row r="141" spans="5:5" x14ac:dyDescent="0.2">
      <c r="E141" s="3">
        <v>140</v>
      </c>
    </row>
    <row r="142" spans="5:5" x14ac:dyDescent="0.2">
      <c r="E142" s="3">
        <v>141</v>
      </c>
    </row>
    <row r="143" spans="5:5" x14ac:dyDescent="0.2">
      <c r="E143" s="3">
        <v>142</v>
      </c>
    </row>
    <row r="144" spans="5:5" x14ac:dyDescent="0.2">
      <c r="E144" s="3">
        <v>143</v>
      </c>
    </row>
    <row r="145" spans="5:5" x14ac:dyDescent="0.2">
      <c r="E145" s="3">
        <v>144</v>
      </c>
    </row>
    <row r="146" spans="5:5" x14ac:dyDescent="0.2">
      <c r="E146" s="3">
        <v>145</v>
      </c>
    </row>
    <row r="147" spans="5:5" x14ac:dyDescent="0.2">
      <c r="E147" s="3">
        <v>146</v>
      </c>
    </row>
    <row r="148" spans="5:5" x14ac:dyDescent="0.2">
      <c r="E148" s="3">
        <v>147</v>
      </c>
    </row>
    <row r="149" spans="5:5" x14ac:dyDescent="0.2">
      <c r="E149" s="3">
        <v>148</v>
      </c>
    </row>
    <row r="150" spans="5:5" x14ac:dyDescent="0.2">
      <c r="E150" s="3">
        <v>149</v>
      </c>
    </row>
    <row r="151" spans="5:5" x14ac:dyDescent="0.2">
      <c r="E151" s="3">
        <v>150</v>
      </c>
    </row>
    <row r="152" spans="5:5" x14ac:dyDescent="0.2">
      <c r="E152" s="3">
        <v>151</v>
      </c>
    </row>
    <row r="153" spans="5:5" x14ac:dyDescent="0.2">
      <c r="E153" s="3">
        <v>152</v>
      </c>
    </row>
    <row r="154" spans="5:5" x14ac:dyDescent="0.2">
      <c r="E154" s="3">
        <v>153</v>
      </c>
    </row>
    <row r="155" spans="5:5" x14ac:dyDescent="0.2">
      <c r="E155" s="3">
        <v>154</v>
      </c>
    </row>
    <row r="156" spans="5:5" x14ac:dyDescent="0.2">
      <c r="E156" s="3">
        <v>155</v>
      </c>
    </row>
    <row r="157" spans="5:5" x14ac:dyDescent="0.2">
      <c r="E157" s="3">
        <v>156</v>
      </c>
    </row>
    <row r="158" spans="5:5" x14ac:dyDescent="0.2">
      <c r="E158" s="3">
        <v>157</v>
      </c>
    </row>
    <row r="159" spans="5:5" x14ac:dyDescent="0.2">
      <c r="E159" s="3">
        <v>158</v>
      </c>
    </row>
    <row r="160" spans="5:5" x14ac:dyDescent="0.2">
      <c r="E160" s="3">
        <v>159</v>
      </c>
    </row>
    <row r="161" spans="5:5" x14ac:dyDescent="0.2">
      <c r="E161" s="3">
        <v>160</v>
      </c>
    </row>
    <row r="162" spans="5:5" x14ac:dyDescent="0.2">
      <c r="E162" s="3">
        <v>161</v>
      </c>
    </row>
    <row r="163" spans="5:5" x14ac:dyDescent="0.2">
      <c r="E163" s="3">
        <v>162</v>
      </c>
    </row>
    <row r="164" spans="5:5" x14ac:dyDescent="0.2">
      <c r="E164" s="3">
        <v>163</v>
      </c>
    </row>
    <row r="165" spans="5:5" x14ac:dyDescent="0.2">
      <c r="E165" s="3">
        <v>164</v>
      </c>
    </row>
    <row r="166" spans="5:5" x14ac:dyDescent="0.2">
      <c r="E166" s="3">
        <v>165</v>
      </c>
    </row>
    <row r="167" spans="5:5" x14ac:dyDescent="0.2">
      <c r="E167" s="3">
        <v>166</v>
      </c>
    </row>
    <row r="168" spans="5:5" x14ac:dyDescent="0.2">
      <c r="E168" s="3">
        <v>167</v>
      </c>
    </row>
    <row r="169" spans="5:5" x14ac:dyDescent="0.2">
      <c r="E169" s="3">
        <v>168</v>
      </c>
    </row>
    <row r="170" spans="5:5" x14ac:dyDescent="0.2">
      <c r="E170" s="3">
        <v>169</v>
      </c>
    </row>
    <row r="171" spans="5:5" x14ac:dyDescent="0.2">
      <c r="E171" s="3">
        <v>170</v>
      </c>
    </row>
    <row r="172" spans="5:5" x14ac:dyDescent="0.2">
      <c r="E172" s="3">
        <v>171</v>
      </c>
    </row>
    <row r="173" spans="5:5" x14ac:dyDescent="0.2">
      <c r="E173" s="3">
        <v>172</v>
      </c>
    </row>
    <row r="174" spans="5:5" x14ac:dyDescent="0.2">
      <c r="E174" s="3">
        <v>173</v>
      </c>
    </row>
    <row r="175" spans="5:5" x14ac:dyDescent="0.2">
      <c r="E175" s="3">
        <v>174</v>
      </c>
    </row>
    <row r="176" spans="5:5" x14ac:dyDescent="0.2">
      <c r="E176" s="3">
        <v>175</v>
      </c>
    </row>
    <row r="177" spans="5:5" x14ac:dyDescent="0.2">
      <c r="E177" s="3">
        <v>176</v>
      </c>
    </row>
    <row r="178" spans="5:5" x14ac:dyDescent="0.2">
      <c r="E178" s="3">
        <v>177</v>
      </c>
    </row>
    <row r="179" spans="5:5" x14ac:dyDescent="0.2">
      <c r="E179" s="3">
        <v>178</v>
      </c>
    </row>
    <row r="180" spans="5:5" x14ac:dyDescent="0.2">
      <c r="E180" s="3">
        <v>179</v>
      </c>
    </row>
    <row r="181" spans="5:5" x14ac:dyDescent="0.2">
      <c r="E181" s="3">
        <v>180</v>
      </c>
    </row>
    <row r="182" spans="5:5" x14ac:dyDescent="0.2">
      <c r="E182" s="3">
        <v>181</v>
      </c>
    </row>
    <row r="183" spans="5:5" x14ac:dyDescent="0.2">
      <c r="E183" s="3">
        <v>182</v>
      </c>
    </row>
    <row r="184" spans="5:5" x14ac:dyDescent="0.2">
      <c r="E184" s="3">
        <v>183</v>
      </c>
    </row>
    <row r="185" spans="5:5" x14ac:dyDescent="0.2">
      <c r="E185" s="3">
        <v>184</v>
      </c>
    </row>
    <row r="186" spans="5:5" x14ac:dyDescent="0.2">
      <c r="E186" s="3">
        <v>185</v>
      </c>
    </row>
    <row r="187" spans="5:5" x14ac:dyDescent="0.2">
      <c r="E187" s="3">
        <v>186</v>
      </c>
    </row>
    <row r="188" spans="5:5" x14ac:dyDescent="0.2">
      <c r="E188" s="3">
        <v>187</v>
      </c>
    </row>
    <row r="189" spans="5:5" x14ac:dyDescent="0.2">
      <c r="E189" s="3">
        <v>188</v>
      </c>
    </row>
    <row r="190" spans="5:5" x14ac:dyDescent="0.2">
      <c r="E190" s="3">
        <v>189</v>
      </c>
    </row>
    <row r="191" spans="5:5" x14ac:dyDescent="0.2">
      <c r="E191" s="3">
        <v>190</v>
      </c>
    </row>
    <row r="192" spans="5:5" x14ac:dyDescent="0.2">
      <c r="E192" s="3">
        <v>191</v>
      </c>
    </row>
    <row r="193" spans="5:5" x14ac:dyDescent="0.2">
      <c r="E193" s="3">
        <v>192</v>
      </c>
    </row>
    <row r="194" spans="5:5" x14ac:dyDescent="0.2">
      <c r="E194" s="3">
        <v>193</v>
      </c>
    </row>
    <row r="195" spans="5:5" x14ac:dyDescent="0.2">
      <c r="E195" s="3">
        <v>194</v>
      </c>
    </row>
    <row r="196" spans="5:5" x14ac:dyDescent="0.2">
      <c r="E196" s="3">
        <v>195</v>
      </c>
    </row>
    <row r="197" spans="5:5" x14ac:dyDescent="0.2">
      <c r="E197" s="3">
        <v>196</v>
      </c>
    </row>
    <row r="198" spans="5:5" x14ac:dyDescent="0.2">
      <c r="E198" s="3">
        <v>197</v>
      </c>
    </row>
    <row r="199" spans="5:5" x14ac:dyDescent="0.2">
      <c r="E199" s="3">
        <v>198</v>
      </c>
    </row>
    <row r="200" spans="5:5" x14ac:dyDescent="0.2">
      <c r="E200" s="3">
        <v>199</v>
      </c>
    </row>
    <row r="201" spans="5:5" x14ac:dyDescent="0.2">
      <c r="E201" s="3">
        <v>200</v>
      </c>
    </row>
    <row r="202" spans="5:5" x14ac:dyDescent="0.2">
      <c r="E202" s="3">
        <v>201</v>
      </c>
    </row>
    <row r="203" spans="5:5" x14ac:dyDescent="0.2">
      <c r="E203" s="3">
        <v>202</v>
      </c>
    </row>
    <row r="204" spans="5:5" x14ac:dyDescent="0.2">
      <c r="E204" s="3">
        <v>203</v>
      </c>
    </row>
    <row r="205" spans="5:5" x14ac:dyDescent="0.2">
      <c r="E205" s="3">
        <v>204</v>
      </c>
    </row>
    <row r="206" spans="5:5" x14ac:dyDescent="0.2">
      <c r="E206" s="3">
        <v>205</v>
      </c>
    </row>
    <row r="207" spans="5:5" x14ac:dyDescent="0.2">
      <c r="E207" s="3">
        <v>206</v>
      </c>
    </row>
    <row r="208" spans="5:5" x14ac:dyDescent="0.2">
      <c r="E208" s="3">
        <v>207</v>
      </c>
    </row>
    <row r="209" spans="5:5" x14ac:dyDescent="0.2">
      <c r="E209" s="3">
        <v>208</v>
      </c>
    </row>
    <row r="210" spans="5:5" x14ac:dyDescent="0.2">
      <c r="E210" s="3">
        <v>209</v>
      </c>
    </row>
    <row r="211" spans="5:5" x14ac:dyDescent="0.2">
      <c r="E211" s="3">
        <v>210</v>
      </c>
    </row>
    <row r="212" spans="5:5" x14ac:dyDescent="0.2">
      <c r="E212" s="3">
        <v>211</v>
      </c>
    </row>
    <row r="213" spans="5:5" x14ac:dyDescent="0.2">
      <c r="E213" s="3">
        <v>212</v>
      </c>
    </row>
    <row r="214" spans="5:5" x14ac:dyDescent="0.2">
      <c r="E214" s="3">
        <v>213</v>
      </c>
    </row>
    <row r="215" spans="5:5" x14ac:dyDescent="0.2">
      <c r="E215" s="3">
        <v>214</v>
      </c>
    </row>
    <row r="216" spans="5:5" x14ac:dyDescent="0.2">
      <c r="E216" s="3">
        <v>215</v>
      </c>
    </row>
    <row r="217" spans="5:5" x14ac:dyDescent="0.2">
      <c r="E217" s="3">
        <v>216</v>
      </c>
    </row>
    <row r="218" spans="5:5" x14ac:dyDescent="0.2">
      <c r="E218" s="3">
        <v>217</v>
      </c>
    </row>
    <row r="219" spans="5:5" x14ac:dyDescent="0.2">
      <c r="E219" s="3">
        <v>218</v>
      </c>
    </row>
    <row r="220" spans="5:5" x14ac:dyDescent="0.2">
      <c r="E220" s="3">
        <v>219</v>
      </c>
    </row>
    <row r="221" spans="5:5" x14ac:dyDescent="0.2">
      <c r="E221" s="3">
        <v>220</v>
      </c>
    </row>
    <row r="222" spans="5:5" x14ac:dyDescent="0.2">
      <c r="E222" s="3">
        <v>221</v>
      </c>
    </row>
    <row r="223" spans="5:5" x14ac:dyDescent="0.2">
      <c r="E223" s="3">
        <v>222</v>
      </c>
    </row>
    <row r="224" spans="5:5" x14ac:dyDescent="0.2">
      <c r="E224" s="3">
        <v>223</v>
      </c>
    </row>
    <row r="225" spans="5:5" x14ac:dyDescent="0.2">
      <c r="E225" s="3">
        <v>224</v>
      </c>
    </row>
    <row r="226" spans="5:5" x14ac:dyDescent="0.2">
      <c r="E226" s="3">
        <v>225</v>
      </c>
    </row>
    <row r="227" spans="5:5" x14ac:dyDescent="0.2">
      <c r="E227" s="3">
        <v>226</v>
      </c>
    </row>
    <row r="228" spans="5:5" x14ac:dyDescent="0.2">
      <c r="E228" s="3">
        <v>227</v>
      </c>
    </row>
    <row r="229" spans="5:5" x14ac:dyDescent="0.2">
      <c r="E229" s="3">
        <v>228</v>
      </c>
    </row>
    <row r="230" spans="5:5" x14ac:dyDescent="0.2">
      <c r="E230" s="3">
        <v>229</v>
      </c>
    </row>
    <row r="231" spans="5:5" x14ac:dyDescent="0.2">
      <c r="E231" s="3">
        <v>230</v>
      </c>
    </row>
    <row r="232" spans="5:5" x14ac:dyDescent="0.2">
      <c r="E232" s="3">
        <v>231</v>
      </c>
    </row>
    <row r="233" spans="5:5" x14ac:dyDescent="0.2">
      <c r="E233" s="3">
        <v>232</v>
      </c>
    </row>
    <row r="234" spans="5:5" x14ac:dyDescent="0.2">
      <c r="E234" s="3">
        <v>233</v>
      </c>
    </row>
    <row r="235" spans="5:5" x14ac:dyDescent="0.2">
      <c r="E235" s="3">
        <v>234</v>
      </c>
    </row>
    <row r="236" spans="5:5" x14ac:dyDescent="0.2">
      <c r="E236" s="3">
        <v>235</v>
      </c>
    </row>
    <row r="237" spans="5:5" x14ac:dyDescent="0.2">
      <c r="E237" s="3">
        <v>236</v>
      </c>
    </row>
    <row r="238" spans="5:5" x14ac:dyDescent="0.2">
      <c r="E238" s="3">
        <v>237</v>
      </c>
    </row>
    <row r="239" spans="5:5" x14ac:dyDescent="0.2">
      <c r="E239" s="3">
        <v>238</v>
      </c>
    </row>
    <row r="240" spans="5:5" x14ac:dyDescent="0.2">
      <c r="E240" s="3">
        <v>239</v>
      </c>
    </row>
    <row r="241" spans="5:5" x14ac:dyDescent="0.2">
      <c r="E241" s="3">
        <v>240</v>
      </c>
    </row>
    <row r="242" spans="5:5" x14ac:dyDescent="0.2">
      <c r="E242" s="3">
        <v>241</v>
      </c>
    </row>
    <row r="243" spans="5:5" x14ac:dyDescent="0.2">
      <c r="E243" s="3">
        <v>242</v>
      </c>
    </row>
    <row r="244" spans="5:5" x14ac:dyDescent="0.2">
      <c r="E244" s="3">
        <v>243</v>
      </c>
    </row>
    <row r="245" spans="5:5" x14ac:dyDescent="0.2">
      <c r="E245" s="3">
        <v>244</v>
      </c>
    </row>
    <row r="246" spans="5:5" x14ac:dyDescent="0.2">
      <c r="E246" s="3">
        <v>245</v>
      </c>
    </row>
    <row r="247" spans="5:5" x14ac:dyDescent="0.2">
      <c r="E247" s="3">
        <v>246</v>
      </c>
    </row>
    <row r="248" spans="5:5" x14ac:dyDescent="0.2">
      <c r="E248" s="3">
        <v>247</v>
      </c>
    </row>
    <row r="249" spans="5:5" x14ac:dyDescent="0.2">
      <c r="E249" s="3">
        <v>248</v>
      </c>
    </row>
    <row r="250" spans="5:5" x14ac:dyDescent="0.2">
      <c r="E250" s="3">
        <v>249</v>
      </c>
    </row>
    <row r="251" spans="5:5" x14ac:dyDescent="0.2">
      <c r="E251" s="3">
        <v>250</v>
      </c>
    </row>
    <row r="252" spans="5:5" x14ac:dyDescent="0.2">
      <c r="E252" s="3">
        <v>251</v>
      </c>
    </row>
    <row r="253" spans="5:5" x14ac:dyDescent="0.2">
      <c r="E253" s="3">
        <v>252</v>
      </c>
    </row>
    <row r="254" spans="5:5" x14ac:dyDescent="0.2">
      <c r="E254" s="3">
        <v>253</v>
      </c>
    </row>
    <row r="255" spans="5:5" x14ac:dyDescent="0.2">
      <c r="E255" s="3">
        <v>254</v>
      </c>
    </row>
    <row r="256" spans="5:5" x14ac:dyDescent="0.2">
      <c r="E256" s="3">
        <v>255</v>
      </c>
    </row>
    <row r="257" spans="5:5" x14ac:dyDescent="0.2">
      <c r="E257" s="3">
        <v>256</v>
      </c>
    </row>
    <row r="258" spans="5:5" x14ac:dyDescent="0.2">
      <c r="E258" s="3">
        <v>257</v>
      </c>
    </row>
    <row r="259" spans="5:5" x14ac:dyDescent="0.2">
      <c r="E259" s="3">
        <v>258</v>
      </c>
    </row>
    <row r="260" spans="5:5" x14ac:dyDescent="0.2">
      <c r="E260" s="3">
        <v>259</v>
      </c>
    </row>
    <row r="261" spans="5:5" x14ac:dyDescent="0.2">
      <c r="E261" s="3">
        <v>260</v>
      </c>
    </row>
    <row r="262" spans="5:5" x14ac:dyDescent="0.2">
      <c r="E262" s="3">
        <v>261</v>
      </c>
    </row>
    <row r="263" spans="5:5" x14ac:dyDescent="0.2">
      <c r="E263" s="3">
        <v>262</v>
      </c>
    </row>
    <row r="264" spans="5:5" x14ac:dyDescent="0.2">
      <c r="E264" s="3">
        <v>263</v>
      </c>
    </row>
    <row r="265" spans="5:5" x14ac:dyDescent="0.2">
      <c r="E265" s="3">
        <v>264</v>
      </c>
    </row>
    <row r="266" spans="5:5" x14ac:dyDescent="0.2">
      <c r="E266" s="3">
        <v>265</v>
      </c>
    </row>
    <row r="267" spans="5:5" x14ac:dyDescent="0.2">
      <c r="E267" s="3">
        <v>266</v>
      </c>
    </row>
    <row r="268" spans="5:5" x14ac:dyDescent="0.2">
      <c r="E268" s="3">
        <v>267</v>
      </c>
    </row>
    <row r="269" spans="5:5" x14ac:dyDescent="0.2">
      <c r="E269" s="3">
        <v>268</v>
      </c>
    </row>
    <row r="270" spans="5:5" x14ac:dyDescent="0.2">
      <c r="E270" s="3">
        <v>269</v>
      </c>
    </row>
    <row r="271" spans="5:5" x14ac:dyDescent="0.2">
      <c r="E271" s="3">
        <v>270</v>
      </c>
    </row>
    <row r="272" spans="5:5" x14ac:dyDescent="0.2">
      <c r="E272" s="3">
        <v>271</v>
      </c>
    </row>
    <row r="273" spans="5:5" x14ac:dyDescent="0.2">
      <c r="E273" s="3">
        <v>272</v>
      </c>
    </row>
    <row r="274" spans="5:5" x14ac:dyDescent="0.2">
      <c r="E274" s="3">
        <v>273</v>
      </c>
    </row>
    <row r="275" spans="5:5" x14ac:dyDescent="0.2">
      <c r="E275" s="3">
        <v>274</v>
      </c>
    </row>
    <row r="276" spans="5:5" x14ac:dyDescent="0.2">
      <c r="E276" s="3">
        <v>275</v>
      </c>
    </row>
    <row r="277" spans="5:5" x14ac:dyDescent="0.2">
      <c r="E277" s="3">
        <v>276</v>
      </c>
    </row>
    <row r="278" spans="5:5" x14ac:dyDescent="0.2">
      <c r="E278" s="3">
        <v>277</v>
      </c>
    </row>
    <row r="279" spans="5:5" x14ac:dyDescent="0.2">
      <c r="E279" s="3">
        <v>278</v>
      </c>
    </row>
    <row r="280" spans="5:5" x14ac:dyDescent="0.2">
      <c r="E280" s="3">
        <v>279</v>
      </c>
    </row>
    <row r="281" spans="5:5" x14ac:dyDescent="0.2">
      <c r="E281" s="3">
        <v>280</v>
      </c>
    </row>
    <row r="282" spans="5:5" x14ac:dyDescent="0.2">
      <c r="E282" s="3">
        <v>281</v>
      </c>
    </row>
    <row r="283" spans="5:5" x14ac:dyDescent="0.2">
      <c r="E283" s="3">
        <v>282</v>
      </c>
    </row>
    <row r="284" spans="5:5" x14ac:dyDescent="0.2">
      <c r="E284" s="3">
        <v>283</v>
      </c>
    </row>
    <row r="285" spans="5:5" x14ac:dyDescent="0.2">
      <c r="E285" s="3">
        <v>284</v>
      </c>
    </row>
    <row r="286" spans="5:5" x14ac:dyDescent="0.2">
      <c r="E286" s="3">
        <v>285</v>
      </c>
    </row>
    <row r="287" spans="5:5" x14ac:dyDescent="0.2">
      <c r="E287" s="3">
        <v>286</v>
      </c>
    </row>
    <row r="288" spans="5:5" x14ac:dyDescent="0.2">
      <c r="E288" s="3">
        <v>287</v>
      </c>
    </row>
    <row r="289" spans="5:5" x14ac:dyDescent="0.2">
      <c r="E289" s="3">
        <v>288</v>
      </c>
    </row>
    <row r="290" spans="5:5" x14ac:dyDescent="0.2">
      <c r="E290" s="3">
        <v>289</v>
      </c>
    </row>
    <row r="291" spans="5:5" x14ac:dyDescent="0.2">
      <c r="E291" s="3">
        <v>290</v>
      </c>
    </row>
    <row r="292" spans="5:5" x14ac:dyDescent="0.2">
      <c r="E292" s="3">
        <v>291</v>
      </c>
    </row>
    <row r="293" spans="5:5" x14ac:dyDescent="0.2">
      <c r="E293" s="3">
        <v>292</v>
      </c>
    </row>
    <row r="294" spans="5:5" x14ac:dyDescent="0.2">
      <c r="E294" s="3">
        <v>293</v>
      </c>
    </row>
    <row r="295" spans="5:5" x14ac:dyDescent="0.2">
      <c r="E295" s="3">
        <v>294</v>
      </c>
    </row>
    <row r="296" spans="5:5" x14ac:dyDescent="0.2">
      <c r="E296" s="3">
        <v>295</v>
      </c>
    </row>
    <row r="297" spans="5:5" x14ac:dyDescent="0.2">
      <c r="E297" s="3">
        <v>296</v>
      </c>
    </row>
    <row r="298" spans="5:5" x14ac:dyDescent="0.2">
      <c r="E298" s="3">
        <v>297</v>
      </c>
    </row>
    <row r="299" spans="5:5" x14ac:dyDescent="0.2">
      <c r="E299" s="3">
        <v>298</v>
      </c>
    </row>
    <row r="300" spans="5:5" x14ac:dyDescent="0.2">
      <c r="E300" s="3">
        <v>299</v>
      </c>
    </row>
    <row r="301" spans="5:5" x14ac:dyDescent="0.2">
      <c r="E301" s="3">
        <v>300</v>
      </c>
    </row>
    <row r="302" spans="5:5" x14ac:dyDescent="0.2">
      <c r="E302" s="3">
        <v>301</v>
      </c>
    </row>
    <row r="303" spans="5:5" x14ac:dyDescent="0.2">
      <c r="E303" s="3">
        <v>302</v>
      </c>
    </row>
    <row r="304" spans="5:5" x14ac:dyDescent="0.2">
      <c r="E304" s="3">
        <v>303</v>
      </c>
    </row>
    <row r="305" spans="5:5" x14ac:dyDescent="0.2">
      <c r="E305" s="3">
        <v>304</v>
      </c>
    </row>
    <row r="306" spans="5:5" x14ac:dyDescent="0.2">
      <c r="E306" s="3">
        <v>305</v>
      </c>
    </row>
    <row r="307" spans="5:5" x14ac:dyDescent="0.2">
      <c r="E307" s="3">
        <v>306</v>
      </c>
    </row>
    <row r="308" spans="5:5" x14ac:dyDescent="0.2">
      <c r="E308" s="3">
        <v>307</v>
      </c>
    </row>
    <row r="309" spans="5:5" x14ac:dyDescent="0.2">
      <c r="E309" s="3">
        <v>308</v>
      </c>
    </row>
    <row r="310" spans="5:5" x14ac:dyDescent="0.2">
      <c r="E310" s="3">
        <v>309</v>
      </c>
    </row>
    <row r="311" spans="5:5" x14ac:dyDescent="0.2">
      <c r="E311" s="3">
        <v>310</v>
      </c>
    </row>
    <row r="312" spans="5:5" x14ac:dyDescent="0.2">
      <c r="E312" s="3">
        <v>311</v>
      </c>
    </row>
    <row r="313" spans="5:5" x14ac:dyDescent="0.2">
      <c r="E313" s="3">
        <v>312</v>
      </c>
    </row>
    <row r="314" spans="5:5" x14ac:dyDescent="0.2">
      <c r="E314" s="3">
        <v>313</v>
      </c>
    </row>
    <row r="315" spans="5:5" x14ac:dyDescent="0.2">
      <c r="E315" s="3">
        <v>314</v>
      </c>
    </row>
    <row r="316" spans="5:5" x14ac:dyDescent="0.2">
      <c r="E316" s="3">
        <v>315</v>
      </c>
    </row>
    <row r="317" spans="5:5" x14ac:dyDescent="0.2">
      <c r="E317" s="3">
        <v>316</v>
      </c>
    </row>
    <row r="318" spans="5:5" x14ac:dyDescent="0.2">
      <c r="E318" s="3">
        <v>317</v>
      </c>
    </row>
    <row r="319" spans="5:5" x14ac:dyDescent="0.2">
      <c r="E319" s="3">
        <v>318</v>
      </c>
    </row>
    <row r="320" spans="5:5" x14ac:dyDescent="0.2">
      <c r="E320" s="3">
        <v>319</v>
      </c>
    </row>
    <row r="321" spans="5:5" x14ac:dyDescent="0.2">
      <c r="E321" s="3">
        <v>320</v>
      </c>
    </row>
    <row r="322" spans="5:5" x14ac:dyDescent="0.2">
      <c r="E322" s="3">
        <v>321</v>
      </c>
    </row>
    <row r="323" spans="5:5" x14ac:dyDescent="0.2">
      <c r="E323" s="3">
        <v>322</v>
      </c>
    </row>
    <row r="324" spans="5:5" x14ac:dyDescent="0.2">
      <c r="E324" s="3">
        <v>323</v>
      </c>
    </row>
    <row r="325" spans="5:5" x14ac:dyDescent="0.2">
      <c r="E325" s="3">
        <v>324</v>
      </c>
    </row>
    <row r="326" spans="5:5" x14ac:dyDescent="0.2">
      <c r="E326" s="3">
        <v>325</v>
      </c>
    </row>
    <row r="327" spans="5:5" x14ac:dyDescent="0.2">
      <c r="E327" s="3">
        <v>326</v>
      </c>
    </row>
    <row r="328" spans="5:5" x14ac:dyDescent="0.2">
      <c r="E328" s="3">
        <v>327</v>
      </c>
    </row>
    <row r="329" spans="5:5" x14ac:dyDescent="0.2">
      <c r="E329" s="3">
        <v>328</v>
      </c>
    </row>
    <row r="330" spans="5:5" x14ac:dyDescent="0.2">
      <c r="E330" s="3">
        <v>329</v>
      </c>
    </row>
    <row r="331" spans="5:5" x14ac:dyDescent="0.2">
      <c r="E331" s="3">
        <v>330</v>
      </c>
    </row>
    <row r="332" spans="5:5" x14ac:dyDescent="0.2">
      <c r="E332" s="3">
        <v>331</v>
      </c>
    </row>
    <row r="333" spans="5:5" x14ac:dyDescent="0.2">
      <c r="E333" s="3">
        <v>332</v>
      </c>
    </row>
    <row r="334" spans="5:5" x14ac:dyDescent="0.2">
      <c r="E334" s="3">
        <v>333</v>
      </c>
    </row>
    <row r="335" spans="5:5" x14ac:dyDescent="0.2">
      <c r="E335" s="3">
        <v>334</v>
      </c>
    </row>
    <row r="336" spans="5:5" x14ac:dyDescent="0.2">
      <c r="E336" s="3">
        <v>335</v>
      </c>
    </row>
    <row r="337" spans="5:5" x14ac:dyDescent="0.2">
      <c r="E337" s="3">
        <v>336</v>
      </c>
    </row>
    <row r="338" spans="5:5" x14ac:dyDescent="0.2">
      <c r="E338" s="3">
        <v>337</v>
      </c>
    </row>
    <row r="339" spans="5:5" x14ac:dyDescent="0.2">
      <c r="E339" s="3">
        <v>338</v>
      </c>
    </row>
    <row r="340" spans="5:5" x14ac:dyDescent="0.2">
      <c r="E340" s="3">
        <v>339</v>
      </c>
    </row>
    <row r="341" spans="5:5" x14ac:dyDescent="0.2">
      <c r="E341" s="3">
        <v>340</v>
      </c>
    </row>
    <row r="342" spans="5:5" x14ac:dyDescent="0.2">
      <c r="E342" s="3">
        <v>341</v>
      </c>
    </row>
    <row r="343" spans="5:5" x14ac:dyDescent="0.2">
      <c r="E343" s="3">
        <v>342</v>
      </c>
    </row>
    <row r="344" spans="5:5" x14ac:dyDescent="0.2">
      <c r="E344" s="3">
        <v>343</v>
      </c>
    </row>
    <row r="345" spans="5:5" x14ac:dyDescent="0.2">
      <c r="E345" s="3">
        <v>344</v>
      </c>
    </row>
    <row r="346" spans="5:5" x14ac:dyDescent="0.2">
      <c r="E346" s="3">
        <v>345</v>
      </c>
    </row>
    <row r="347" spans="5:5" x14ac:dyDescent="0.2">
      <c r="E347" s="3">
        <v>346</v>
      </c>
    </row>
    <row r="348" spans="5:5" x14ac:dyDescent="0.2">
      <c r="E348" s="3">
        <v>347</v>
      </c>
    </row>
    <row r="349" spans="5:5" x14ac:dyDescent="0.2">
      <c r="E349" s="3">
        <v>348</v>
      </c>
    </row>
    <row r="350" spans="5:5" x14ac:dyDescent="0.2">
      <c r="E350" s="3">
        <v>349</v>
      </c>
    </row>
    <row r="351" spans="5:5" x14ac:dyDescent="0.2">
      <c r="E351" s="3">
        <v>350</v>
      </c>
    </row>
    <row r="352" spans="5:5" x14ac:dyDescent="0.2">
      <c r="E352" s="3">
        <v>351</v>
      </c>
    </row>
    <row r="353" spans="5:5" x14ac:dyDescent="0.2">
      <c r="E353" s="3">
        <v>352</v>
      </c>
    </row>
    <row r="354" spans="5:5" x14ac:dyDescent="0.2">
      <c r="E354" s="3">
        <v>353</v>
      </c>
    </row>
    <row r="355" spans="5:5" x14ac:dyDescent="0.2">
      <c r="E355" s="3">
        <v>354</v>
      </c>
    </row>
    <row r="356" spans="5:5" x14ac:dyDescent="0.2">
      <c r="E356" s="3">
        <v>355</v>
      </c>
    </row>
    <row r="357" spans="5:5" x14ac:dyDescent="0.2">
      <c r="E357" s="3">
        <v>356</v>
      </c>
    </row>
    <row r="358" spans="5:5" x14ac:dyDescent="0.2">
      <c r="E358" s="3">
        <v>357</v>
      </c>
    </row>
    <row r="359" spans="5:5" x14ac:dyDescent="0.2">
      <c r="E359" s="3">
        <v>358</v>
      </c>
    </row>
    <row r="360" spans="5:5" x14ac:dyDescent="0.2">
      <c r="E360" s="3">
        <v>359</v>
      </c>
    </row>
    <row r="361" spans="5:5" x14ac:dyDescent="0.2">
      <c r="E361" s="3">
        <v>360</v>
      </c>
    </row>
    <row r="362" spans="5:5" x14ac:dyDescent="0.2">
      <c r="E362" s="3">
        <v>361</v>
      </c>
    </row>
    <row r="363" spans="5:5" x14ac:dyDescent="0.2">
      <c r="E363" s="3">
        <v>362</v>
      </c>
    </row>
    <row r="364" spans="5:5" x14ac:dyDescent="0.2">
      <c r="E364" s="3">
        <v>363</v>
      </c>
    </row>
    <row r="365" spans="5:5" x14ac:dyDescent="0.2">
      <c r="E365" s="3">
        <v>364</v>
      </c>
    </row>
    <row r="366" spans="5:5" x14ac:dyDescent="0.2">
      <c r="E366" s="3">
        <v>365</v>
      </c>
    </row>
    <row r="367" spans="5:5" x14ac:dyDescent="0.2">
      <c r="E367" s="3">
        <v>366</v>
      </c>
    </row>
    <row r="368" spans="5:5" x14ac:dyDescent="0.2">
      <c r="E368" s="3">
        <v>367</v>
      </c>
    </row>
    <row r="369" spans="5:5" x14ac:dyDescent="0.2">
      <c r="E369" s="3">
        <v>368</v>
      </c>
    </row>
    <row r="370" spans="5:5" x14ac:dyDescent="0.2">
      <c r="E370" s="3">
        <v>369</v>
      </c>
    </row>
    <row r="371" spans="5:5" x14ac:dyDescent="0.2">
      <c r="E371" s="3">
        <v>370</v>
      </c>
    </row>
    <row r="372" spans="5:5" x14ac:dyDescent="0.2">
      <c r="E372" s="3">
        <v>371</v>
      </c>
    </row>
    <row r="373" spans="5:5" x14ac:dyDescent="0.2">
      <c r="E373" s="3">
        <v>372</v>
      </c>
    </row>
    <row r="374" spans="5:5" x14ac:dyDescent="0.2">
      <c r="E374" s="3">
        <v>373</v>
      </c>
    </row>
    <row r="375" spans="5:5" x14ac:dyDescent="0.2">
      <c r="E375" s="3">
        <v>374</v>
      </c>
    </row>
    <row r="376" spans="5:5" x14ac:dyDescent="0.2">
      <c r="E376" s="3">
        <v>375</v>
      </c>
    </row>
    <row r="377" spans="5:5" x14ac:dyDescent="0.2">
      <c r="E377" s="3">
        <v>376</v>
      </c>
    </row>
    <row r="378" spans="5:5" x14ac:dyDescent="0.2">
      <c r="E378" s="3">
        <v>377</v>
      </c>
    </row>
    <row r="379" spans="5:5" x14ac:dyDescent="0.2">
      <c r="E379" s="3">
        <v>378</v>
      </c>
    </row>
    <row r="380" spans="5:5" x14ac:dyDescent="0.2">
      <c r="E380" s="3">
        <v>379</v>
      </c>
    </row>
    <row r="381" spans="5:5" x14ac:dyDescent="0.2">
      <c r="E381" s="3">
        <v>380</v>
      </c>
    </row>
    <row r="382" spans="5:5" x14ac:dyDescent="0.2">
      <c r="E382" s="3">
        <v>381</v>
      </c>
    </row>
    <row r="383" spans="5:5" x14ac:dyDescent="0.2">
      <c r="E383" s="3">
        <v>382</v>
      </c>
    </row>
    <row r="384" spans="5:5" x14ac:dyDescent="0.2">
      <c r="E384" s="3">
        <v>383</v>
      </c>
    </row>
    <row r="385" spans="5:5" x14ac:dyDescent="0.2">
      <c r="E385" s="3">
        <v>384</v>
      </c>
    </row>
    <row r="386" spans="5:5" x14ac:dyDescent="0.2">
      <c r="E386" s="3">
        <v>385</v>
      </c>
    </row>
    <row r="387" spans="5:5" x14ac:dyDescent="0.2">
      <c r="E387" s="3">
        <v>386</v>
      </c>
    </row>
    <row r="388" spans="5:5" x14ac:dyDescent="0.2">
      <c r="E388" s="3">
        <v>387</v>
      </c>
    </row>
    <row r="389" spans="5:5" x14ac:dyDescent="0.2">
      <c r="E389" s="3">
        <v>388</v>
      </c>
    </row>
    <row r="390" spans="5:5" x14ac:dyDescent="0.2">
      <c r="E390" s="3">
        <v>389</v>
      </c>
    </row>
    <row r="391" spans="5:5" x14ac:dyDescent="0.2">
      <c r="E391" s="3">
        <v>390</v>
      </c>
    </row>
    <row r="392" spans="5:5" x14ac:dyDescent="0.2">
      <c r="E392" s="3">
        <v>391</v>
      </c>
    </row>
    <row r="393" spans="5:5" x14ac:dyDescent="0.2">
      <c r="E393" s="3">
        <v>392</v>
      </c>
    </row>
    <row r="394" spans="5:5" x14ac:dyDescent="0.2">
      <c r="E394" s="3">
        <v>393</v>
      </c>
    </row>
    <row r="395" spans="5:5" x14ac:dyDescent="0.2">
      <c r="E395" s="3">
        <v>394</v>
      </c>
    </row>
    <row r="396" spans="5:5" x14ac:dyDescent="0.2">
      <c r="E396" s="3">
        <v>395</v>
      </c>
    </row>
    <row r="397" spans="5:5" x14ac:dyDescent="0.2">
      <c r="E397" s="3">
        <v>396</v>
      </c>
    </row>
    <row r="398" spans="5:5" x14ac:dyDescent="0.2">
      <c r="E398" s="3">
        <v>397</v>
      </c>
    </row>
    <row r="399" spans="5:5" x14ac:dyDescent="0.2">
      <c r="E399" s="3">
        <v>398</v>
      </c>
    </row>
    <row r="400" spans="5:5" x14ac:dyDescent="0.2">
      <c r="E400" s="3">
        <v>399</v>
      </c>
    </row>
    <row r="401" spans="5:5" x14ac:dyDescent="0.2">
      <c r="E401" s="3">
        <v>400</v>
      </c>
    </row>
    <row r="402" spans="5:5" x14ac:dyDescent="0.2">
      <c r="E402" s="3">
        <v>401</v>
      </c>
    </row>
    <row r="403" spans="5:5" x14ac:dyDescent="0.2">
      <c r="E403" s="3">
        <v>402</v>
      </c>
    </row>
    <row r="404" spans="5:5" x14ac:dyDescent="0.2">
      <c r="E404" s="3">
        <v>403</v>
      </c>
    </row>
    <row r="405" spans="5:5" x14ac:dyDescent="0.2">
      <c r="E405" s="3">
        <v>404</v>
      </c>
    </row>
    <row r="406" spans="5:5" x14ac:dyDescent="0.2">
      <c r="E406" s="3">
        <v>405</v>
      </c>
    </row>
    <row r="407" spans="5:5" x14ac:dyDescent="0.2">
      <c r="E407" s="3">
        <v>406</v>
      </c>
    </row>
    <row r="408" spans="5:5" x14ac:dyDescent="0.2">
      <c r="E408" s="3">
        <v>407</v>
      </c>
    </row>
    <row r="409" spans="5:5" x14ac:dyDescent="0.2">
      <c r="E409" s="3">
        <v>408</v>
      </c>
    </row>
    <row r="410" spans="5:5" x14ac:dyDescent="0.2">
      <c r="E410" s="3">
        <v>409</v>
      </c>
    </row>
    <row r="411" spans="5:5" x14ac:dyDescent="0.2">
      <c r="E411" s="3">
        <v>410</v>
      </c>
    </row>
    <row r="412" spans="5:5" x14ac:dyDescent="0.2">
      <c r="E412" s="3">
        <v>411</v>
      </c>
    </row>
    <row r="413" spans="5:5" x14ac:dyDescent="0.2">
      <c r="E413" s="3">
        <v>412</v>
      </c>
    </row>
    <row r="414" spans="5:5" x14ac:dyDescent="0.2">
      <c r="E414" s="3">
        <v>413</v>
      </c>
    </row>
    <row r="415" spans="5:5" x14ac:dyDescent="0.2">
      <c r="E415" s="3">
        <v>414</v>
      </c>
    </row>
    <row r="416" spans="5:5" x14ac:dyDescent="0.2">
      <c r="E416" s="3">
        <v>415</v>
      </c>
    </row>
    <row r="417" spans="5:5" x14ac:dyDescent="0.2">
      <c r="E417" s="3">
        <v>416</v>
      </c>
    </row>
    <row r="418" spans="5:5" x14ac:dyDescent="0.2">
      <c r="E418" s="3">
        <v>417</v>
      </c>
    </row>
    <row r="419" spans="5:5" x14ac:dyDescent="0.2">
      <c r="E419" s="3">
        <v>418</v>
      </c>
    </row>
    <row r="420" spans="5:5" x14ac:dyDescent="0.2">
      <c r="E420" s="3">
        <v>419</v>
      </c>
    </row>
    <row r="421" spans="5:5" x14ac:dyDescent="0.2">
      <c r="E421" s="3">
        <v>420</v>
      </c>
    </row>
    <row r="422" spans="5:5" x14ac:dyDescent="0.2">
      <c r="E422" s="3">
        <v>421</v>
      </c>
    </row>
    <row r="423" spans="5:5" x14ac:dyDescent="0.2">
      <c r="E423" s="3">
        <v>422</v>
      </c>
    </row>
    <row r="424" spans="5:5" x14ac:dyDescent="0.2">
      <c r="E424" s="3">
        <v>423</v>
      </c>
    </row>
    <row r="425" spans="5:5" x14ac:dyDescent="0.2">
      <c r="E425" s="3">
        <v>424</v>
      </c>
    </row>
    <row r="426" spans="5:5" x14ac:dyDescent="0.2">
      <c r="E426" s="3">
        <v>425</v>
      </c>
    </row>
    <row r="427" spans="5:5" x14ac:dyDescent="0.2">
      <c r="E427" s="3">
        <v>426</v>
      </c>
    </row>
    <row r="428" spans="5:5" x14ac:dyDescent="0.2">
      <c r="E428" s="3">
        <v>427</v>
      </c>
    </row>
    <row r="429" spans="5:5" x14ac:dyDescent="0.2">
      <c r="E429" s="3">
        <v>428</v>
      </c>
    </row>
    <row r="430" spans="5:5" x14ac:dyDescent="0.2">
      <c r="E430" s="3">
        <v>429</v>
      </c>
    </row>
    <row r="431" spans="5:5" x14ac:dyDescent="0.2">
      <c r="E431" s="3">
        <v>430</v>
      </c>
    </row>
    <row r="432" spans="5:5" x14ac:dyDescent="0.2">
      <c r="E432" s="3">
        <v>431</v>
      </c>
    </row>
    <row r="433" spans="5:5" x14ac:dyDescent="0.2">
      <c r="E433" s="3">
        <v>432</v>
      </c>
    </row>
    <row r="434" spans="5:5" x14ac:dyDescent="0.2">
      <c r="E434" s="3">
        <v>433</v>
      </c>
    </row>
    <row r="435" spans="5:5" x14ac:dyDescent="0.2">
      <c r="E435" s="3">
        <v>434</v>
      </c>
    </row>
    <row r="436" spans="5:5" x14ac:dyDescent="0.2">
      <c r="E436" s="3">
        <v>435</v>
      </c>
    </row>
    <row r="437" spans="5:5" x14ac:dyDescent="0.2">
      <c r="E437" s="3">
        <v>436</v>
      </c>
    </row>
    <row r="438" spans="5:5" x14ac:dyDescent="0.2">
      <c r="E438" s="3">
        <v>437</v>
      </c>
    </row>
    <row r="439" spans="5:5" x14ac:dyDescent="0.2">
      <c r="E439" s="3">
        <v>438</v>
      </c>
    </row>
    <row r="440" spans="5:5" x14ac:dyDescent="0.2">
      <c r="E440" s="3">
        <v>439</v>
      </c>
    </row>
    <row r="441" spans="5:5" x14ac:dyDescent="0.2">
      <c r="E441" s="3">
        <v>440</v>
      </c>
    </row>
    <row r="442" spans="5:5" x14ac:dyDescent="0.2">
      <c r="E442" s="3">
        <v>441</v>
      </c>
    </row>
    <row r="443" spans="5:5" x14ac:dyDescent="0.2">
      <c r="E443" s="3">
        <v>442</v>
      </c>
    </row>
    <row r="444" spans="5:5" x14ac:dyDescent="0.2">
      <c r="E444" s="3">
        <v>443</v>
      </c>
    </row>
    <row r="445" spans="5:5" x14ac:dyDescent="0.2">
      <c r="E445" s="3">
        <v>444</v>
      </c>
    </row>
    <row r="446" spans="5:5" x14ac:dyDescent="0.2">
      <c r="E446" s="3">
        <v>445</v>
      </c>
    </row>
    <row r="447" spans="5:5" x14ac:dyDescent="0.2">
      <c r="E447" s="3">
        <v>446</v>
      </c>
    </row>
    <row r="448" spans="5:5" x14ac:dyDescent="0.2">
      <c r="E448" s="3">
        <v>447</v>
      </c>
    </row>
    <row r="449" spans="5:5" x14ac:dyDescent="0.2">
      <c r="E449" s="3">
        <v>448</v>
      </c>
    </row>
    <row r="450" spans="5:5" x14ac:dyDescent="0.2">
      <c r="E450" s="3">
        <v>449</v>
      </c>
    </row>
    <row r="451" spans="5:5" x14ac:dyDescent="0.2">
      <c r="E451" s="3">
        <v>450</v>
      </c>
    </row>
    <row r="452" spans="5:5" x14ac:dyDescent="0.2">
      <c r="E452" s="3">
        <v>451</v>
      </c>
    </row>
    <row r="453" spans="5:5" x14ac:dyDescent="0.2">
      <c r="E453" s="3">
        <v>452</v>
      </c>
    </row>
    <row r="454" spans="5:5" x14ac:dyDescent="0.2">
      <c r="E454" s="3">
        <v>453</v>
      </c>
    </row>
    <row r="455" spans="5:5" x14ac:dyDescent="0.2">
      <c r="E455" s="3">
        <v>454</v>
      </c>
    </row>
    <row r="456" spans="5:5" x14ac:dyDescent="0.2">
      <c r="E456" s="3">
        <v>455</v>
      </c>
    </row>
    <row r="457" spans="5:5" x14ac:dyDescent="0.2">
      <c r="E457" s="3">
        <v>456</v>
      </c>
    </row>
    <row r="458" spans="5:5" x14ac:dyDescent="0.2">
      <c r="E458" s="3">
        <v>457</v>
      </c>
    </row>
    <row r="459" spans="5:5" x14ac:dyDescent="0.2">
      <c r="E459" s="3">
        <v>458</v>
      </c>
    </row>
    <row r="460" spans="5:5" x14ac:dyDescent="0.2">
      <c r="E460" s="3">
        <v>459</v>
      </c>
    </row>
    <row r="461" spans="5:5" x14ac:dyDescent="0.2">
      <c r="E461" s="3">
        <v>460</v>
      </c>
    </row>
    <row r="462" spans="5:5" x14ac:dyDescent="0.2">
      <c r="E462" s="3">
        <v>461</v>
      </c>
    </row>
    <row r="463" spans="5:5" x14ac:dyDescent="0.2">
      <c r="E463" s="3">
        <v>462</v>
      </c>
    </row>
    <row r="464" spans="5:5" x14ac:dyDescent="0.2">
      <c r="E464" s="3">
        <v>463</v>
      </c>
    </row>
    <row r="465" spans="5:5" x14ac:dyDescent="0.2">
      <c r="E465" s="3">
        <v>464</v>
      </c>
    </row>
    <row r="466" spans="5:5" x14ac:dyDescent="0.2">
      <c r="E466" s="3">
        <v>465</v>
      </c>
    </row>
    <row r="467" spans="5:5" x14ac:dyDescent="0.2">
      <c r="E467" s="3">
        <v>466</v>
      </c>
    </row>
    <row r="468" spans="5:5" x14ac:dyDescent="0.2">
      <c r="E468" s="3">
        <v>467</v>
      </c>
    </row>
    <row r="469" spans="5:5" x14ac:dyDescent="0.2">
      <c r="E469" s="3">
        <v>468</v>
      </c>
    </row>
    <row r="470" spans="5:5" x14ac:dyDescent="0.2">
      <c r="E470" s="3">
        <v>469</v>
      </c>
    </row>
    <row r="471" spans="5:5" x14ac:dyDescent="0.2">
      <c r="E471" s="3">
        <v>470</v>
      </c>
    </row>
    <row r="472" spans="5:5" x14ac:dyDescent="0.2">
      <c r="E472" s="3">
        <v>471</v>
      </c>
    </row>
    <row r="473" spans="5:5" x14ac:dyDescent="0.2">
      <c r="E473" s="3">
        <v>472</v>
      </c>
    </row>
    <row r="474" spans="5:5" x14ac:dyDescent="0.2">
      <c r="E474" s="3">
        <v>473</v>
      </c>
    </row>
    <row r="475" spans="5:5" x14ac:dyDescent="0.2">
      <c r="E475" s="3">
        <v>474</v>
      </c>
    </row>
    <row r="476" spans="5:5" x14ac:dyDescent="0.2">
      <c r="E476" s="3">
        <v>475</v>
      </c>
    </row>
    <row r="477" spans="5:5" x14ac:dyDescent="0.2">
      <c r="E477" s="3">
        <v>476</v>
      </c>
    </row>
    <row r="478" spans="5:5" x14ac:dyDescent="0.2">
      <c r="E478" s="3">
        <v>477</v>
      </c>
    </row>
    <row r="479" spans="5:5" x14ac:dyDescent="0.2">
      <c r="E479" s="3">
        <v>478</v>
      </c>
    </row>
    <row r="480" spans="5:5" x14ac:dyDescent="0.2">
      <c r="E480" s="3">
        <v>479</v>
      </c>
    </row>
    <row r="481" spans="5:5" x14ac:dyDescent="0.2">
      <c r="E481" s="3">
        <v>480</v>
      </c>
    </row>
    <row r="482" spans="5:5" x14ac:dyDescent="0.2">
      <c r="E482" s="3">
        <v>481</v>
      </c>
    </row>
    <row r="483" spans="5:5" x14ac:dyDescent="0.2">
      <c r="E483" s="3">
        <v>482</v>
      </c>
    </row>
    <row r="484" spans="5:5" x14ac:dyDescent="0.2">
      <c r="E484" s="3">
        <v>483</v>
      </c>
    </row>
    <row r="485" spans="5:5" x14ac:dyDescent="0.2">
      <c r="E485" s="3">
        <v>484</v>
      </c>
    </row>
    <row r="486" spans="5:5" x14ac:dyDescent="0.2">
      <c r="E486" s="3">
        <v>485</v>
      </c>
    </row>
    <row r="487" spans="5:5" x14ac:dyDescent="0.2">
      <c r="E487" s="3">
        <v>486</v>
      </c>
    </row>
    <row r="488" spans="5:5" x14ac:dyDescent="0.2">
      <c r="E488" s="3">
        <v>487</v>
      </c>
    </row>
    <row r="489" spans="5:5" x14ac:dyDescent="0.2">
      <c r="E489" s="3">
        <v>488</v>
      </c>
    </row>
    <row r="490" spans="5:5" x14ac:dyDescent="0.2">
      <c r="E490" s="3">
        <v>489</v>
      </c>
    </row>
    <row r="491" spans="5:5" x14ac:dyDescent="0.2">
      <c r="E491" s="3">
        <v>490</v>
      </c>
    </row>
    <row r="492" spans="5:5" x14ac:dyDescent="0.2">
      <c r="E492" s="3">
        <v>491</v>
      </c>
    </row>
    <row r="493" spans="5:5" x14ac:dyDescent="0.2">
      <c r="E493" s="3">
        <v>492</v>
      </c>
    </row>
    <row r="494" spans="5:5" x14ac:dyDescent="0.2">
      <c r="E494" s="3">
        <v>493</v>
      </c>
    </row>
    <row r="495" spans="5:5" x14ac:dyDescent="0.2">
      <c r="E495" s="3">
        <v>494</v>
      </c>
    </row>
    <row r="496" spans="5:5" x14ac:dyDescent="0.2">
      <c r="E496" s="3">
        <v>495</v>
      </c>
    </row>
    <row r="497" spans="5:5" x14ac:dyDescent="0.2">
      <c r="E497" s="3">
        <v>496</v>
      </c>
    </row>
    <row r="498" spans="5:5" x14ac:dyDescent="0.2">
      <c r="E498" s="3">
        <v>497</v>
      </c>
    </row>
    <row r="499" spans="5:5" x14ac:dyDescent="0.2">
      <c r="E499" s="3">
        <v>498</v>
      </c>
    </row>
    <row r="500" spans="5:5" x14ac:dyDescent="0.2">
      <c r="E500" s="3">
        <v>499</v>
      </c>
    </row>
    <row r="501" spans="5:5" x14ac:dyDescent="0.2">
      <c r="E501" s="3">
        <v>500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3</vt:i4>
      </vt:variant>
    </vt:vector>
  </HeadingPairs>
  <TitlesOfParts>
    <vt:vector size="15" baseType="lpstr">
      <vt:lpstr>COBRANZA (2)</vt:lpstr>
      <vt:lpstr>DASH</vt:lpstr>
      <vt:lpstr>GRUPOS</vt:lpstr>
      <vt:lpstr>RESERVAS</vt:lpstr>
      <vt:lpstr>COBRANZA</vt:lpstr>
      <vt:lpstr>PAGOS</vt:lpstr>
      <vt:lpstr>BBDD</vt:lpstr>
      <vt:lpstr>CHECK-IN</vt:lpstr>
      <vt:lpstr>EJEMPLO JIP</vt:lpstr>
      <vt:lpstr>PRICING</vt:lpstr>
      <vt:lpstr>precio</vt:lpstr>
      <vt:lpstr>Mantenedor</vt:lpstr>
      <vt:lpstr>AnclaPasajeros</vt:lpstr>
      <vt:lpstr>ListaVacia</vt:lpstr>
      <vt:lpstr>tblBBDD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Icaza</dc:creator>
  <cp:lastModifiedBy>Javier Icaza</cp:lastModifiedBy>
  <dcterms:created xsi:type="dcterms:W3CDTF">2025-09-29T16:19:36Z</dcterms:created>
  <dcterms:modified xsi:type="dcterms:W3CDTF">2025-10-11T12:52:14Z</dcterms:modified>
</cp:coreProperties>
</file>