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bbycosoi/Desktop/Astral/GBL/"/>
    </mc:Choice>
  </mc:AlternateContent>
  <xr:revisionPtr revIDLastSave="0" documentId="13_ncr:1_{833F5E87-8C91-4940-BA54-1EC7D22DC33A}" xr6:coauthVersionLast="47" xr6:coauthVersionMax="47" xr10:uidLastSave="{00000000-0000-0000-0000-000000000000}"/>
  <bookViews>
    <workbookView xWindow="20" yWindow="760" windowWidth="30240" windowHeight="18880" activeTab="5" xr2:uid="{24CAD798-F53C-4268-AD2A-9BCB5D759923}"/>
  </bookViews>
  <sheets>
    <sheet name="DASH" sheetId="23" r:id="rId1"/>
    <sheet name="RESERVAS" sheetId="14" r:id="rId2"/>
    <sheet name="COBRANZA" sheetId="27" r:id="rId3"/>
    <sheet name="PAGOS" sheetId="26" r:id="rId4"/>
    <sheet name="GRUPOS" sheetId="24" state="hidden" r:id="rId5"/>
    <sheet name="BBDD" sheetId="15" r:id="rId6"/>
    <sheet name="CHECK-IN" sheetId="17" state="hidden" r:id="rId7"/>
    <sheet name="EJEMPLO JIP" sheetId="1" state="hidden" r:id="rId8"/>
    <sheet name="PRICING" sheetId="11" state="hidden" r:id="rId9"/>
    <sheet name="precio" sheetId="5" state="hidden" r:id="rId10"/>
    <sheet name="Mantenedor" sheetId="12" state="hidden" r:id="rId11"/>
  </sheets>
  <definedNames>
    <definedName name="_xlnm._FilterDatabase" localSheetId="2" hidden="1">COBRANZA!$B$18:$C$18</definedName>
    <definedName name="_xlnm._FilterDatabase" localSheetId="3" hidden="1">PAGOS!$A$1:$H$1</definedName>
    <definedName name="_xleta.IF" hidden="1" xlm="1">#NAME?</definedName>
    <definedName name="_xleta.OR" hidden="1" xlm="1">#NAME?</definedName>
    <definedName name="_xlpm.base_" hidden="1" xlm="1">#NAME?</definedName>
    <definedName name="_xlpm.baseKey" hidden="1" xlm="1">#NAME?</definedName>
    <definedName name="_xlpm.baseKey2" hidden="1" xlm="1">#NAME?</definedName>
    <definedName name="_xlpm.baseNorm" hidden="1" xlm="1">#NAME?</definedName>
    <definedName name="_xlpm.baseRaw" hidden="1" xlm="1">#NAME?</definedName>
    <definedName name="_xlpm.clave" hidden="1" xlm="1">#NAME?</definedName>
    <definedName name="_xlpm.col" hidden="1" xlm="1">#NAME?</definedName>
    <definedName name="_xlpm.grp" hidden="1" xlm="1">#NAME?</definedName>
    <definedName name="_xlpm.l" hidden="1" xlm="1">#NAME?</definedName>
    <definedName name="_xlpm.mon" hidden="1" xlm="1">#NAME?</definedName>
    <definedName name="_xlpm.noches" hidden="1" xlm="1">#NAME?</definedName>
    <definedName name="_xlpm.pas" hidden="1" xlm="1">#NAME?</definedName>
    <definedName name="_xlpm.pct" hidden="1" xlm="1">#NAME?</definedName>
    <definedName name="_xlpm.tipo" hidden="1" xlm="1">#NAME?</definedName>
    <definedName name="_xlpm.tipoRes" hidden="1" xlm="1">#NAME?</definedName>
    <definedName name="_xlpm.total" hidden="1" xlm="1">#NAME?</definedName>
    <definedName name="_xlpm.v" hidden="1" xlm="1">#NAME?</definedName>
    <definedName name="AnclaPasajeros">RESERVAS!$B$14</definedName>
    <definedName name="GruposSpill">_xlfn._xlws.SORT(_xlfn.UNIQUE(_xlfn._xlws.FILTER(BBDD!$B$1:$B$237,BBDD!$B$1:$B$237&lt;&gt;"")))</definedName>
    <definedName name="ListaCondicional">IF(RESERVAS!$C$14="No",BBDD!#REF!,"")</definedName>
    <definedName name="ListaCondicional2">IF(RESERVAS!$C1="No",ListaReal,ListaVacia)</definedName>
    <definedName name="ListaGrupos">OFFSET(Mantenedor!$K$2,0,0,ROWS(_xlfn.ANCHORARRAY(Mantenedor!$K$2)),1)</definedName>
    <definedName name="ListaReal">BBDD!#REF!</definedName>
    <definedName name="ListaVacia">RESERVAS!$AA$1</definedName>
    <definedName name="tblBBDD">BBDD!$A$1:$X$249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7" l="1"/>
  <c r="B14" i="27"/>
  <c r="B13" i="27"/>
  <c r="B12" i="27"/>
  <c r="B11" i="27"/>
  <c r="X2" i="15"/>
  <c r="X45" i="15"/>
  <c r="W57" i="15"/>
  <c r="X57" i="15" s="1"/>
  <c r="W88" i="15"/>
  <c r="X88" i="15" s="1"/>
  <c r="U26" i="15"/>
  <c r="W26" i="15" s="1"/>
  <c r="X26" i="15" s="1"/>
  <c r="U42" i="15"/>
  <c r="W42" i="15" s="1"/>
  <c r="X42" i="15" s="1"/>
  <c r="U71" i="15"/>
  <c r="W71" i="15" s="1"/>
  <c r="X71" i="15" s="1"/>
  <c r="U72" i="15"/>
  <c r="W72" i="15" s="1"/>
  <c r="X72" i="15" s="1"/>
  <c r="U75" i="15"/>
  <c r="W75" i="15" s="1"/>
  <c r="X75" i="15" s="1"/>
  <c r="U115" i="15"/>
  <c r="W115" i="15" s="1"/>
  <c r="X115" i="15" s="1"/>
  <c r="U141" i="15"/>
  <c r="W141" i="15" s="1"/>
  <c r="X141" i="15" s="1"/>
  <c r="U162" i="15"/>
  <c r="W162" i="15" s="1"/>
  <c r="X162" i="15" s="1"/>
  <c r="U179" i="15"/>
  <c r="W179" i="15" s="1"/>
  <c r="X179" i="15" s="1"/>
  <c r="U225" i="15"/>
  <c r="W225" i="15" s="1"/>
  <c r="X225" i="15" s="1"/>
  <c r="U235" i="15"/>
  <c r="W235" i="15" s="1"/>
  <c r="X235" i="15" s="1"/>
  <c r="U247" i="15"/>
  <c r="W247" i="15" s="1"/>
  <c r="X247" i="15" s="1"/>
  <c r="U257" i="15"/>
  <c r="W257" i="15" s="1"/>
  <c r="X257" i="15" s="1"/>
  <c r="U258" i="15"/>
  <c r="W258" i="15" s="1"/>
  <c r="X258" i="15" s="1"/>
  <c r="U276" i="15"/>
  <c r="W276" i="15" s="1"/>
  <c r="X276" i="15" s="1"/>
  <c r="U281" i="15"/>
  <c r="W281" i="15" s="1"/>
  <c r="X281" i="15" s="1"/>
  <c r="U324" i="15"/>
  <c r="W324" i="15" s="1"/>
  <c r="X324" i="15" s="1"/>
  <c r="U331" i="15"/>
  <c r="W331" i="15" s="1"/>
  <c r="X331" i="15" s="1"/>
  <c r="U357" i="15"/>
  <c r="W357" i="15" s="1"/>
  <c r="X357" i="15" s="1"/>
  <c r="U406" i="15"/>
  <c r="W406" i="15" s="1"/>
  <c r="X406" i="15" s="1"/>
  <c r="U409" i="15"/>
  <c r="W409" i="15" s="1"/>
  <c r="X409" i="15" s="1"/>
  <c r="U442" i="15"/>
  <c r="W442" i="15" s="1"/>
  <c r="X442" i="15" s="1"/>
  <c r="U488" i="15"/>
  <c r="W488" i="15" s="1"/>
  <c r="X488" i="15" s="1"/>
  <c r="U499" i="15"/>
  <c r="W499" i="15" s="1"/>
  <c r="X499" i="15" s="1"/>
  <c r="U523" i="15"/>
  <c r="W523" i="15" s="1"/>
  <c r="X523" i="15" s="1"/>
  <c r="U538" i="15"/>
  <c r="W538" i="15" s="1"/>
  <c r="X538" i="15" s="1"/>
  <c r="U560" i="15"/>
  <c r="W560" i="15" s="1"/>
  <c r="X560" i="15" s="1"/>
  <c r="U563" i="15"/>
  <c r="W563" i="15" s="1"/>
  <c r="X563" i="15" s="1"/>
  <c r="U570" i="15"/>
  <c r="W570" i="15" s="1"/>
  <c r="X570" i="15" s="1"/>
  <c r="U571" i="15"/>
  <c r="W571" i="15" s="1"/>
  <c r="X571" i="15" s="1"/>
  <c r="U608" i="15"/>
  <c r="W608" i="15" s="1"/>
  <c r="X608" i="15" s="1"/>
  <c r="U633" i="15"/>
  <c r="W633" i="15" s="1"/>
  <c r="X633" i="15" s="1"/>
  <c r="U644" i="15"/>
  <c r="W644" i="15" s="1"/>
  <c r="X644" i="15" s="1"/>
  <c r="U659" i="15"/>
  <c r="W659" i="15" s="1"/>
  <c r="X659" i="15" s="1"/>
  <c r="U671" i="15"/>
  <c r="W671" i="15" s="1"/>
  <c r="X671" i="15" s="1"/>
  <c r="U675" i="15"/>
  <c r="W675" i="15" s="1"/>
  <c r="X675" i="15" s="1"/>
  <c r="U680" i="15"/>
  <c r="W680" i="15" s="1"/>
  <c r="X680" i="15" s="1"/>
  <c r="U698" i="15"/>
  <c r="W698" i="15" s="1"/>
  <c r="X698" i="15" s="1"/>
  <c r="U708" i="15"/>
  <c r="W708" i="15" s="1"/>
  <c r="X708" i="15" s="1"/>
  <c r="U731" i="15"/>
  <c r="W731" i="15" s="1"/>
  <c r="X731" i="15" s="1"/>
  <c r="U758" i="15"/>
  <c r="W758" i="15" s="1"/>
  <c r="X758" i="15" s="1"/>
  <c r="U789" i="15"/>
  <c r="W789" i="15" s="1"/>
  <c r="X789" i="15" s="1"/>
  <c r="U790" i="15"/>
  <c r="W790" i="15" s="1"/>
  <c r="X790" i="15" s="1"/>
  <c r="U849" i="15"/>
  <c r="W849" i="15" s="1"/>
  <c r="X849" i="15" s="1"/>
  <c r="U935" i="15"/>
  <c r="W935" i="15" s="1"/>
  <c r="X935" i="15" s="1"/>
  <c r="P2" i="15"/>
  <c r="R2" i="15" s="1"/>
  <c r="U2" i="15" s="1"/>
  <c r="W2" i="15" s="1"/>
  <c r="Q2" i="15" a="1"/>
  <c r="Q2" i="15" s="1"/>
  <c r="P3" i="15"/>
  <c r="Q3" i="15" a="1"/>
  <c r="Q3" i="15" s="1"/>
  <c r="R3" i="15"/>
  <c r="U3" i="15" s="1"/>
  <c r="W3" i="15" s="1"/>
  <c r="X3" i="15" s="1"/>
  <c r="P4" i="15"/>
  <c r="R4" i="15" s="1"/>
  <c r="U4" i="15" s="1"/>
  <c r="W4" i="15" s="1"/>
  <c r="X4" i="15" s="1"/>
  <c r="Q4" i="15" a="1"/>
  <c r="Q4" i="15" s="1"/>
  <c r="P5" i="15"/>
  <c r="R5" i="15" s="1"/>
  <c r="U5" i="15" s="1"/>
  <c r="W5" i="15" s="1"/>
  <c r="X5" i="15" s="1"/>
  <c r="Q5" i="15" a="1"/>
  <c r="Q5" i="15" s="1"/>
  <c r="P6" i="15"/>
  <c r="R6" i="15" s="1"/>
  <c r="U6" i="15" s="1"/>
  <c r="W6" i="15" s="1"/>
  <c r="X6" i="15" s="1"/>
  <c r="Q6" i="15" a="1"/>
  <c r="Q6" i="15" s="1"/>
  <c r="P7" i="15"/>
  <c r="R7" i="15" s="1"/>
  <c r="U7" i="15" s="1"/>
  <c r="W7" i="15" s="1"/>
  <c r="X7" i="15" s="1"/>
  <c r="Q7" i="15" a="1"/>
  <c r="Q7" i="15" s="1"/>
  <c r="P8" i="15"/>
  <c r="Q8" i="15" a="1"/>
  <c r="Q8" i="15"/>
  <c r="R8" i="15"/>
  <c r="U8" i="15" s="1"/>
  <c r="W8" i="15" s="1"/>
  <c r="X8" i="15" s="1"/>
  <c r="P9" i="15"/>
  <c r="R9" i="15" s="1"/>
  <c r="U9" i="15" s="1"/>
  <c r="W9" i="15" s="1"/>
  <c r="X9" i="15" s="1"/>
  <c r="Q9" i="15" a="1"/>
  <c r="Q9" i="15" s="1"/>
  <c r="P10" i="15"/>
  <c r="R10" i="15" s="1"/>
  <c r="U10" i="15" s="1"/>
  <c r="W10" i="15" s="1"/>
  <c r="X10" i="15" s="1"/>
  <c r="Q10" i="15" a="1"/>
  <c r="Q10" i="15" s="1"/>
  <c r="P11" i="15"/>
  <c r="R11" i="15" s="1"/>
  <c r="U11" i="15" s="1"/>
  <c r="W11" i="15" s="1"/>
  <c r="X11" i="15" s="1"/>
  <c r="Q11" i="15" a="1"/>
  <c r="Q11" i="15" s="1"/>
  <c r="P12" i="15"/>
  <c r="R12" i="15" s="1"/>
  <c r="U12" i="15" s="1"/>
  <c r="W12" i="15" s="1"/>
  <c r="X12" i="15" s="1"/>
  <c r="Q12" i="15" a="1"/>
  <c r="Q12" i="15" s="1"/>
  <c r="P13" i="15"/>
  <c r="R13" i="15" s="1"/>
  <c r="U13" i="15" s="1"/>
  <c r="W13" i="15" s="1"/>
  <c r="X13" i="15" s="1"/>
  <c r="Q13" i="15" a="1"/>
  <c r="Q13" i="15" s="1"/>
  <c r="P14" i="15"/>
  <c r="R14" i="15" s="1"/>
  <c r="U14" i="15" s="1"/>
  <c r="W14" i="15" s="1"/>
  <c r="X14" i="15" s="1"/>
  <c r="Q14" i="15" a="1"/>
  <c r="Q14" i="15" s="1"/>
  <c r="P15" i="15"/>
  <c r="R15" i="15" s="1"/>
  <c r="U15" i="15" s="1"/>
  <c r="W15" i="15" s="1"/>
  <c r="X15" i="15" s="1"/>
  <c r="Q15" i="15" a="1"/>
  <c r="Q15" i="15" s="1"/>
  <c r="P16" i="15"/>
  <c r="R16" i="15" s="1"/>
  <c r="U16" i="15" s="1"/>
  <c r="W16" i="15" s="1"/>
  <c r="X16" i="15" s="1"/>
  <c r="Q16" i="15" a="1"/>
  <c r="Q16" i="15" s="1"/>
  <c r="P17" i="15"/>
  <c r="R17" i="15" s="1"/>
  <c r="U17" i="15" s="1"/>
  <c r="W17" i="15" s="1"/>
  <c r="X17" i="15" s="1"/>
  <c r="Q17" i="15" a="1"/>
  <c r="Q17" i="15"/>
  <c r="P18" i="15"/>
  <c r="R18" i="15" s="1"/>
  <c r="U18" i="15" s="1"/>
  <c r="W18" i="15" s="1"/>
  <c r="X18" i="15" s="1"/>
  <c r="Q18" i="15" a="1"/>
  <c r="Q18" i="15" s="1"/>
  <c r="P19" i="15"/>
  <c r="Q19" i="15" a="1"/>
  <c r="Q19" i="15"/>
  <c r="R19" i="15"/>
  <c r="U19" i="15" s="1"/>
  <c r="W19" i="15" s="1"/>
  <c r="X19" i="15" s="1"/>
  <c r="P20" i="15"/>
  <c r="R20" i="15" s="1"/>
  <c r="U20" i="15" s="1"/>
  <c r="W20" i="15" s="1"/>
  <c r="X20" i="15" s="1"/>
  <c r="Q20" i="15" a="1"/>
  <c r="Q20" i="15" s="1"/>
  <c r="P21" i="15"/>
  <c r="R21" i="15" s="1"/>
  <c r="U21" i="15" s="1"/>
  <c r="W21" i="15" s="1"/>
  <c r="X21" i="15" s="1"/>
  <c r="Q21" i="15" a="1"/>
  <c r="Q21" i="15" s="1"/>
  <c r="P22" i="15"/>
  <c r="Q22" i="15" a="1"/>
  <c r="Q22" i="15"/>
  <c r="R22" i="15"/>
  <c r="U22" i="15" s="1"/>
  <c r="W22" i="15" s="1"/>
  <c r="X22" i="15" s="1"/>
  <c r="P23" i="15"/>
  <c r="R23" i="15" s="1"/>
  <c r="U23" i="15" s="1"/>
  <c r="W23" i="15" s="1"/>
  <c r="X23" i="15" s="1"/>
  <c r="Q23" i="15" a="1"/>
  <c r="Q23" i="15"/>
  <c r="P24" i="15"/>
  <c r="R24" i="15" s="1"/>
  <c r="U24" i="15" s="1"/>
  <c r="W24" i="15" s="1"/>
  <c r="X24" i="15" s="1"/>
  <c r="Q24" i="15" a="1"/>
  <c r="Q24" i="15" s="1"/>
  <c r="P25" i="15"/>
  <c r="R25" i="15" s="1"/>
  <c r="U25" i="15" s="1"/>
  <c r="W25" i="15" s="1"/>
  <c r="X25" i="15" s="1"/>
  <c r="Q25" i="15" a="1"/>
  <c r="Q25" i="15" s="1"/>
  <c r="P26" i="15"/>
  <c r="R26" i="15" s="1"/>
  <c r="Q26" i="15" a="1"/>
  <c r="Q26" i="15" s="1"/>
  <c r="P27" i="15"/>
  <c r="R27" i="15" s="1"/>
  <c r="U27" i="15" s="1"/>
  <c r="W27" i="15" s="1"/>
  <c r="X27" i="15" s="1"/>
  <c r="Q27" i="15" a="1"/>
  <c r="Q27" i="15" s="1"/>
  <c r="P28" i="15"/>
  <c r="R28" i="15" s="1"/>
  <c r="U28" i="15" s="1"/>
  <c r="W28" i="15" s="1"/>
  <c r="X28" i="15" s="1"/>
  <c r="Q28" i="15" a="1"/>
  <c r="Q28" i="15" s="1"/>
  <c r="P29" i="15"/>
  <c r="R29" i="15" s="1"/>
  <c r="U29" i="15" s="1"/>
  <c r="W29" i="15" s="1"/>
  <c r="X29" i="15" s="1"/>
  <c r="Q29" i="15" a="1"/>
  <c r="Q29" i="15"/>
  <c r="P30" i="15"/>
  <c r="Q30" i="15" a="1"/>
  <c r="Q30" i="15"/>
  <c r="R30" i="15"/>
  <c r="U30" i="15" s="1"/>
  <c r="W30" i="15" s="1"/>
  <c r="X30" i="15" s="1"/>
  <c r="P31" i="15"/>
  <c r="R31" i="15" s="1"/>
  <c r="U31" i="15" s="1"/>
  <c r="W31" i="15" s="1"/>
  <c r="X31" i="15" s="1"/>
  <c r="Q31" i="15" a="1"/>
  <c r="Q31" i="15" s="1"/>
  <c r="P32" i="15"/>
  <c r="R32" i="15" s="1"/>
  <c r="U32" i="15" s="1"/>
  <c r="W32" i="15" s="1"/>
  <c r="X32" i="15" s="1"/>
  <c r="Q32" i="15" a="1"/>
  <c r="Q32" i="15" s="1"/>
  <c r="P33" i="15"/>
  <c r="Q33" i="15" a="1"/>
  <c r="Q33" i="15" s="1"/>
  <c r="R33" i="15"/>
  <c r="U33" i="15" s="1"/>
  <c r="W33" i="15" s="1"/>
  <c r="X33" i="15" s="1"/>
  <c r="P34" i="15"/>
  <c r="R34" i="15" s="1"/>
  <c r="U34" i="15" s="1"/>
  <c r="W34" i="15" s="1"/>
  <c r="X34" i="15" s="1"/>
  <c r="Q34" i="15" a="1"/>
  <c r="Q34" i="15" s="1"/>
  <c r="P35" i="15"/>
  <c r="R35" i="15" s="1"/>
  <c r="U35" i="15" s="1"/>
  <c r="W35" i="15" s="1"/>
  <c r="X35" i="15" s="1"/>
  <c r="Q35" i="15" a="1"/>
  <c r="Q35" i="15" s="1"/>
  <c r="P36" i="15"/>
  <c r="R36" i="15" s="1"/>
  <c r="U36" i="15" s="1"/>
  <c r="W36" i="15" s="1"/>
  <c r="X36" i="15" s="1"/>
  <c r="Q36" i="15" a="1"/>
  <c r="Q36" i="15" s="1"/>
  <c r="P37" i="15"/>
  <c r="R37" i="15" s="1"/>
  <c r="U37" i="15" s="1"/>
  <c r="W37" i="15" s="1"/>
  <c r="X37" i="15" s="1"/>
  <c r="Q37" i="15" a="1"/>
  <c r="Q37" i="15" s="1"/>
  <c r="P38" i="15"/>
  <c r="R38" i="15" s="1"/>
  <c r="U38" i="15" s="1"/>
  <c r="W38" i="15" s="1"/>
  <c r="X38" i="15" s="1"/>
  <c r="Q38" i="15" a="1"/>
  <c r="Q38" i="15" s="1"/>
  <c r="P39" i="15"/>
  <c r="R39" i="15" s="1"/>
  <c r="U39" i="15" s="1"/>
  <c r="W39" i="15" s="1"/>
  <c r="X39" i="15" s="1"/>
  <c r="Q39" i="15" a="1"/>
  <c r="Q39" i="15"/>
  <c r="P40" i="15"/>
  <c r="R40" i="15" s="1"/>
  <c r="U40" i="15" s="1"/>
  <c r="W40" i="15" s="1"/>
  <c r="X40" i="15" s="1"/>
  <c r="Q40" i="15" a="1"/>
  <c r="Q40" i="15"/>
  <c r="P41" i="15"/>
  <c r="R41" i="15" s="1"/>
  <c r="U41" i="15" s="1"/>
  <c r="W41" i="15" s="1"/>
  <c r="X41" i="15" s="1"/>
  <c r="Q41" i="15" a="1"/>
  <c r="Q41" i="15"/>
  <c r="P42" i="15"/>
  <c r="R42" i="15" s="1"/>
  <c r="Q42" i="15" a="1"/>
  <c r="Q42" i="15"/>
  <c r="P43" i="15"/>
  <c r="Q43" i="15" a="1"/>
  <c r="Q43" i="15" s="1"/>
  <c r="R43" i="15"/>
  <c r="U43" i="15" s="1"/>
  <c r="W43" i="15" s="1"/>
  <c r="X43" i="15" s="1"/>
  <c r="P44" i="15"/>
  <c r="R44" i="15" s="1"/>
  <c r="U44" i="15" s="1"/>
  <c r="W44" i="15" s="1"/>
  <c r="X44" i="15" s="1"/>
  <c r="Q44" i="15" a="1"/>
  <c r="Q44" i="15" s="1"/>
  <c r="P45" i="15"/>
  <c r="R45" i="15" s="1"/>
  <c r="U45" i="15" s="1"/>
  <c r="W45" i="15" s="1"/>
  <c r="Q45" i="15" a="1"/>
  <c r="Q45" i="15"/>
  <c r="P46" i="15"/>
  <c r="R46" i="15" s="1"/>
  <c r="U46" i="15" s="1"/>
  <c r="W46" i="15" s="1"/>
  <c r="X46" i="15" s="1"/>
  <c r="Q46" i="15" a="1"/>
  <c r="Q46" i="15" s="1"/>
  <c r="P47" i="15"/>
  <c r="Q47" i="15" a="1"/>
  <c r="Q47" i="15" s="1"/>
  <c r="R47" i="15"/>
  <c r="U47" i="15" s="1"/>
  <c r="W47" i="15" s="1"/>
  <c r="X47" i="15" s="1"/>
  <c r="P48" i="15"/>
  <c r="R48" i="15" s="1"/>
  <c r="U48" i="15" s="1"/>
  <c r="W48" i="15" s="1"/>
  <c r="X48" i="15" s="1"/>
  <c r="Q48" i="15" a="1"/>
  <c r="Q48" i="15" s="1"/>
  <c r="P49" i="15"/>
  <c r="R49" i="15" s="1"/>
  <c r="U49" i="15" s="1"/>
  <c r="W49" i="15" s="1"/>
  <c r="X49" i="15" s="1"/>
  <c r="Q49" i="15" a="1"/>
  <c r="Q49" i="15" s="1"/>
  <c r="P50" i="15"/>
  <c r="R50" i="15" s="1"/>
  <c r="U50" i="15" s="1"/>
  <c r="W50" i="15" s="1"/>
  <c r="X50" i="15" s="1"/>
  <c r="Q50" i="15" a="1"/>
  <c r="Q50" i="15" s="1"/>
  <c r="P51" i="15"/>
  <c r="R51" i="15" s="1"/>
  <c r="U51" i="15" s="1"/>
  <c r="W51" i="15" s="1"/>
  <c r="X51" i="15" s="1"/>
  <c r="Q51" i="15" a="1"/>
  <c r="Q51" i="15"/>
  <c r="P52" i="15"/>
  <c r="R52" i="15" s="1"/>
  <c r="U52" i="15" s="1"/>
  <c r="W52" i="15" s="1"/>
  <c r="X52" i="15" s="1"/>
  <c r="Q52" i="15" a="1"/>
  <c r="Q52" i="15" s="1"/>
  <c r="P53" i="15"/>
  <c r="R53" i="15" s="1"/>
  <c r="U53" i="15" s="1"/>
  <c r="W53" i="15" s="1"/>
  <c r="X53" i="15" s="1"/>
  <c r="Q53" i="15" a="1"/>
  <c r="Q53" i="15" s="1"/>
  <c r="P54" i="15"/>
  <c r="Q54" i="15" a="1"/>
  <c r="Q54" i="15" s="1"/>
  <c r="R54" i="15"/>
  <c r="U54" i="15" s="1"/>
  <c r="W54" i="15" s="1"/>
  <c r="X54" i="15" s="1"/>
  <c r="P55" i="15"/>
  <c r="R55" i="15" s="1"/>
  <c r="U55" i="15" s="1"/>
  <c r="W55" i="15" s="1"/>
  <c r="X55" i="15" s="1"/>
  <c r="Q55" i="15" a="1"/>
  <c r="Q55" i="15" s="1"/>
  <c r="P56" i="15"/>
  <c r="R56" i="15" s="1"/>
  <c r="U56" i="15" s="1"/>
  <c r="W56" i="15" s="1"/>
  <c r="X56" i="15" s="1"/>
  <c r="Q56" i="15" a="1"/>
  <c r="Q56" i="15" s="1"/>
  <c r="P57" i="15"/>
  <c r="R57" i="15" s="1"/>
  <c r="U57" i="15" s="1"/>
  <c r="Q57" i="15" a="1"/>
  <c r="Q57" i="15" s="1"/>
  <c r="P58" i="15"/>
  <c r="Q58" i="15" a="1"/>
  <c r="Q58" i="15"/>
  <c r="R58" i="15"/>
  <c r="U58" i="15" s="1"/>
  <c r="W58" i="15" s="1"/>
  <c r="X58" i="15" s="1"/>
  <c r="P59" i="15"/>
  <c r="R59" i="15" s="1"/>
  <c r="U59" i="15" s="1"/>
  <c r="W59" i="15" s="1"/>
  <c r="X59" i="15" s="1"/>
  <c r="Q59" i="15" a="1"/>
  <c r="Q59" i="15" s="1"/>
  <c r="P60" i="15"/>
  <c r="R60" i="15" s="1"/>
  <c r="U60" i="15" s="1"/>
  <c r="W60" i="15" s="1"/>
  <c r="X60" i="15" s="1"/>
  <c r="Q60" i="15" a="1"/>
  <c r="Q60" i="15" s="1"/>
  <c r="P61" i="15"/>
  <c r="R61" i="15" s="1"/>
  <c r="U61" i="15" s="1"/>
  <c r="W61" i="15" s="1"/>
  <c r="X61" i="15" s="1"/>
  <c r="Q61" i="15" a="1"/>
  <c r="Q61" i="15" s="1"/>
  <c r="P62" i="15"/>
  <c r="Q62" i="15" a="1"/>
  <c r="Q62" i="15"/>
  <c r="R62" i="15"/>
  <c r="U62" i="15" s="1"/>
  <c r="W62" i="15" s="1"/>
  <c r="X62" i="15" s="1"/>
  <c r="P63" i="15"/>
  <c r="R63" i="15" s="1"/>
  <c r="U63" i="15" s="1"/>
  <c r="W63" i="15" s="1"/>
  <c r="X63" i="15" s="1"/>
  <c r="Q63" i="15" a="1"/>
  <c r="Q63" i="15" s="1"/>
  <c r="P64" i="15"/>
  <c r="R64" i="15" s="1"/>
  <c r="U64" i="15" s="1"/>
  <c r="W64" i="15" s="1"/>
  <c r="X64" i="15" s="1"/>
  <c r="Q64" i="15" a="1"/>
  <c r="Q64" i="15" s="1"/>
  <c r="P65" i="15"/>
  <c r="Q65" i="15" a="1"/>
  <c r="Q65" i="15"/>
  <c r="R65" i="15"/>
  <c r="U65" i="15" s="1"/>
  <c r="W65" i="15" s="1"/>
  <c r="X65" i="15" s="1"/>
  <c r="P66" i="15"/>
  <c r="R66" i="15" s="1"/>
  <c r="U66" i="15" s="1"/>
  <c r="W66" i="15" s="1"/>
  <c r="X66" i="15" s="1"/>
  <c r="Q66" i="15" a="1"/>
  <c r="Q66" i="15"/>
  <c r="P67" i="15"/>
  <c r="R67" i="15" s="1"/>
  <c r="U67" i="15" s="1"/>
  <c r="W67" i="15" s="1"/>
  <c r="X67" i="15" s="1"/>
  <c r="Q67" i="15" a="1"/>
  <c r="Q67" i="15" s="1"/>
  <c r="P68" i="15"/>
  <c r="R68" i="15" s="1"/>
  <c r="U68" i="15" s="1"/>
  <c r="W68" i="15" s="1"/>
  <c r="X68" i="15" s="1"/>
  <c r="Q68" i="15" a="1"/>
  <c r="Q68" i="15" s="1"/>
  <c r="P69" i="15"/>
  <c r="Q69" i="15" a="1"/>
  <c r="Q69" i="15"/>
  <c r="R69" i="15"/>
  <c r="U69" i="15" s="1"/>
  <c r="W69" i="15" s="1"/>
  <c r="X69" i="15" s="1"/>
  <c r="P70" i="15"/>
  <c r="R70" i="15" s="1"/>
  <c r="U70" i="15" s="1"/>
  <c r="W70" i="15" s="1"/>
  <c r="X70" i="15" s="1"/>
  <c r="Q70" i="15" a="1"/>
  <c r="Q70" i="15" s="1"/>
  <c r="P71" i="15"/>
  <c r="R71" i="15" s="1"/>
  <c r="Q71" i="15" a="1"/>
  <c r="Q71" i="15" s="1"/>
  <c r="P72" i="15"/>
  <c r="Q72" i="15" a="1"/>
  <c r="Q72" i="15" s="1"/>
  <c r="R72" i="15"/>
  <c r="P73" i="15"/>
  <c r="Q73" i="15" a="1"/>
  <c r="Q73" i="15"/>
  <c r="R73" i="15"/>
  <c r="U73" i="15" s="1"/>
  <c r="W73" i="15" s="1"/>
  <c r="X73" i="15" s="1"/>
  <c r="P74" i="15"/>
  <c r="R74" i="15" s="1"/>
  <c r="U74" i="15" s="1"/>
  <c r="W74" i="15" s="1"/>
  <c r="X74" i="15" s="1"/>
  <c r="Q74" i="15" a="1"/>
  <c r="Q74" i="15" s="1"/>
  <c r="P75" i="15"/>
  <c r="Q75" i="15" a="1"/>
  <c r="Q75" i="15"/>
  <c r="R75" i="15"/>
  <c r="P76" i="15"/>
  <c r="Q76" i="15" a="1"/>
  <c r="Q76" i="15"/>
  <c r="R76" i="15"/>
  <c r="U76" i="15" s="1"/>
  <c r="W76" i="15" s="1"/>
  <c r="X76" i="15" s="1"/>
  <c r="P77" i="15"/>
  <c r="R77" i="15" s="1"/>
  <c r="U77" i="15" s="1"/>
  <c r="W77" i="15" s="1"/>
  <c r="X77" i="15" s="1"/>
  <c r="Q77" i="15" a="1"/>
  <c r="Q77" i="15"/>
  <c r="P78" i="15"/>
  <c r="R78" i="15" s="1"/>
  <c r="U78" i="15" s="1"/>
  <c r="W78" i="15" s="1"/>
  <c r="X78" i="15" s="1"/>
  <c r="Q78" i="15" a="1"/>
  <c r="Q78" i="15"/>
  <c r="P79" i="15"/>
  <c r="R79" i="15" s="1"/>
  <c r="U79" i="15" s="1"/>
  <c r="W79" i="15" s="1"/>
  <c r="X79" i="15" s="1"/>
  <c r="Q79" i="15" a="1"/>
  <c r="Q79" i="15" s="1"/>
  <c r="P80" i="15"/>
  <c r="R80" i="15" s="1"/>
  <c r="U80" i="15" s="1"/>
  <c r="W80" i="15" s="1"/>
  <c r="X80" i="15" s="1"/>
  <c r="Q80" i="15" a="1"/>
  <c r="Q80" i="15"/>
  <c r="P81" i="15"/>
  <c r="R81" i="15" s="1"/>
  <c r="U81" i="15" s="1"/>
  <c r="W81" i="15" s="1"/>
  <c r="X81" i="15" s="1"/>
  <c r="Q81" i="15" a="1"/>
  <c r="Q81" i="15" s="1"/>
  <c r="P82" i="15"/>
  <c r="R82" i="15" s="1"/>
  <c r="U82" i="15" s="1"/>
  <c r="W82" i="15" s="1"/>
  <c r="X82" i="15" s="1"/>
  <c r="Q82" i="15" a="1"/>
  <c r="Q82" i="15" s="1"/>
  <c r="P83" i="15"/>
  <c r="R83" i="15" s="1"/>
  <c r="U83" i="15" s="1"/>
  <c r="W83" i="15" s="1"/>
  <c r="X83" i="15" s="1"/>
  <c r="Q83" i="15" a="1"/>
  <c r="Q83" i="15"/>
  <c r="P84" i="15"/>
  <c r="R84" i="15" s="1"/>
  <c r="U84" i="15" s="1"/>
  <c r="W84" i="15" s="1"/>
  <c r="X84" i="15" s="1"/>
  <c r="Q84" i="15" a="1"/>
  <c r="Q84" i="15"/>
  <c r="P85" i="15"/>
  <c r="Q85" i="15" a="1"/>
  <c r="Q85" i="15"/>
  <c r="R85" i="15"/>
  <c r="U85" i="15" s="1"/>
  <c r="W85" i="15" s="1"/>
  <c r="X85" i="15" s="1"/>
  <c r="P86" i="15"/>
  <c r="R86" i="15" s="1"/>
  <c r="U86" i="15" s="1"/>
  <c r="W86" i="15" s="1"/>
  <c r="X86" i="15" s="1"/>
  <c r="Q86" i="15" a="1"/>
  <c r="Q86" i="15"/>
  <c r="P87" i="15"/>
  <c r="R87" i="15" s="1"/>
  <c r="U87" i="15" s="1"/>
  <c r="W87" i="15" s="1"/>
  <c r="X87" i="15" s="1"/>
  <c r="Q87" i="15" a="1"/>
  <c r="Q87" i="15"/>
  <c r="P88" i="15"/>
  <c r="Q88" i="15" a="1"/>
  <c r="Q88" i="15"/>
  <c r="R88" i="15"/>
  <c r="U88" i="15" s="1"/>
  <c r="P89" i="15"/>
  <c r="R89" i="15" s="1"/>
  <c r="U89" i="15" s="1"/>
  <c r="W89" i="15" s="1"/>
  <c r="X89" i="15" s="1"/>
  <c r="Q89" i="15" a="1"/>
  <c r="Q89" i="15" s="1"/>
  <c r="P90" i="15"/>
  <c r="R90" i="15" s="1"/>
  <c r="U90" i="15" s="1"/>
  <c r="W90" i="15" s="1"/>
  <c r="X90" i="15" s="1"/>
  <c r="Q90" i="15" a="1"/>
  <c r="Q90" i="15" s="1"/>
  <c r="P91" i="15"/>
  <c r="R91" i="15" s="1"/>
  <c r="U91" i="15" s="1"/>
  <c r="W91" i="15" s="1"/>
  <c r="X91" i="15" s="1"/>
  <c r="Q91" i="15" a="1"/>
  <c r="Q91" i="15" s="1"/>
  <c r="P92" i="15"/>
  <c r="Q92" i="15" a="1"/>
  <c r="Q92" i="15" s="1"/>
  <c r="R92" i="15"/>
  <c r="U92" i="15" s="1"/>
  <c r="W92" i="15" s="1"/>
  <c r="X92" i="15" s="1"/>
  <c r="P93" i="15"/>
  <c r="R93" i="15" s="1"/>
  <c r="U93" i="15" s="1"/>
  <c r="W93" i="15" s="1"/>
  <c r="X93" i="15" s="1"/>
  <c r="Q93" i="15" a="1"/>
  <c r="Q93" i="15" s="1"/>
  <c r="P94" i="15"/>
  <c r="R94" i="15" s="1"/>
  <c r="U94" i="15" s="1"/>
  <c r="W94" i="15" s="1"/>
  <c r="X94" i="15" s="1"/>
  <c r="Q94" i="15" a="1"/>
  <c r="Q94" i="15" s="1"/>
  <c r="P95" i="15"/>
  <c r="R95" i="15" s="1"/>
  <c r="U95" i="15" s="1"/>
  <c r="W95" i="15" s="1"/>
  <c r="X95" i="15" s="1"/>
  <c r="Q95" i="15" a="1"/>
  <c r="Q95" i="15"/>
  <c r="P96" i="15"/>
  <c r="R96" i="15" s="1"/>
  <c r="U96" i="15" s="1"/>
  <c r="W96" i="15" s="1"/>
  <c r="X96" i="15" s="1"/>
  <c r="Q96" i="15" a="1"/>
  <c r="Q96" i="15" s="1"/>
  <c r="P97" i="15"/>
  <c r="R97" i="15" s="1"/>
  <c r="U97" i="15" s="1"/>
  <c r="W97" i="15" s="1"/>
  <c r="X97" i="15" s="1"/>
  <c r="Q97" i="15" a="1"/>
  <c r="Q97" i="15" s="1"/>
  <c r="P98" i="15"/>
  <c r="R98" i="15" s="1"/>
  <c r="U98" i="15" s="1"/>
  <c r="W98" i="15" s="1"/>
  <c r="X98" i="15" s="1"/>
  <c r="Q98" i="15" a="1"/>
  <c r="Q98" i="15" s="1"/>
  <c r="P99" i="15"/>
  <c r="Q99" i="15" a="1"/>
  <c r="Q99" i="15" s="1"/>
  <c r="R99" i="15"/>
  <c r="U99" i="15" s="1"/>
  <c r="W99" i="15" s="1"/>
  <c r="X99" i="15" s="1"/>
  <c r="P100" i="15"/>
  <c r="R100" i="15" s="1"/>
  <c r="U100" i="15" s="1"/>
  <c r="W100" i="15" s="1"/>
  <c r="X100" i="15" s="1"/>
  <c r="Q100" i="15" a="1"/>
  <c r="Q100" i="15" s="1"/>
  <c r="P101" i="15"/>
  <c r="R101" i="15" s="1"/>
  <c r="U101" i="15" s="1"/>
  <c r="W101" i="15" s="1"/>
  <c r="X101" i="15" s="1"/>
  <c r="Q101" i="15" a="1"/>
  <c r="Q101" i="15" s="1"/>
  <c r="P102" i="15"/>
  <c r="R102" i="15" s="1"/>
  <c r="U102" i="15" s="1"/>
  <c r="W102" i="15" s="1"/>
  <c r="X102" i="15" s="1"/>
  <c r="Q102" i="15" a="1"/>
  <c r="Q102" i="15" s="1"/>
  <c r="P103" i="15"/>
  <c r="Q103" i="15" a="1"/>
  <c r="Q103" i="15" s="1"/>
  <c r="R103" i="15"/>
  <c r="U103" i="15" s="1"/>
  <c r="W103" i="15" s="1"/>
  <c r="X103" i="15" s="1"/>
  <c r="P104" i="15"/>
  <c r="R104" i="15" s="1"/>
  <c r="U104" i="15" s="1"/>
  <c r="W104" i="15" s="1"/>
  <c r="X104" i="15" s="1"/>
  <c r="Q104" i="15" a="1"/>
  <c r="Q104" i="15" s="1"/>
  <c r="P105" i="15"/>
  <c r="R105" i="15" s="1"/>
  <c r="U105" i="15" s="1"/>
  <c r="W105" i="15" s="1"/>
  <c r="X105" i="15" s="1"/>
  <c r="Q105" i="15" a="1"/>
  <c r="Q105" i="15" s="1"/>
  <c r="P106" i="15"/>
  <c r="R106" i="15" s="1"/>
  <c r="U106" i="15" s="1"/>
  <c r="W106" i="15" s="1"/>
  <c r="X106" i="15" s="1"/>
  <c r="Q106" i="15" a="1"/>
  <c r="Q106" i="15"/>
  <c r="P107" i="15"/>
  <c r="Q107" i="15" a="1"/>
  <c r="Q107" i="15"/>
  <c r="R107" i="15"/>
  <c r="U107" i="15" s="1"/>
  <c r="W107" i="15" s="1"/>
  <c r="X107" i="15" s="1"/>
  <c r="P108" i="15"/>
  <c r="R108" i="15" s="1"/>
  <c r="U108" i="15" s="1"/>
  <c r="W108" i="15" s="1"/>
  <c r="X108" i="15" s="1"/>
  <c r="Q108" i="15" a="1"/>
  <c r="Q108" i="15" s="1"/>
  <c r="P109" i="15"/>
  <c r="Q109" i="15" a="1"/>
  <c r="Q109" i="15"/>
  <c r="R109" i="15"/>
  <c r="U109" i="15" s="1"/>
  <c r="W109" i="15" s="1"/>
  <c r="X109" i="15" s="1"/>
  <c r="P110" i="15"/>
  <c r="Q110" i="15" a="1"/>
  <c r="Q110" i="15"/>
  <c r="R110" i="15"/>
  <c r="U110" i="15" s="1"/>
  <c r="W110" i="15" s="1"/>
  <c r="X110" i="15" s="1"/>
  <c r="P111" i="15"/>
  <c r="R111" i="15" s="1"/>
  <c r="U111" i="15" s="1"/>
  <c r="W111" i="15" s="1"/>
  <c r="X111" i="15" s="1"/>
  <c r="Q111" i="15" a="1"/>
  <c r="Q111" i="15"/>
  <c r="P112" i="15"/>
  <c r="R112" i="15" s="1"/>
  <c r="U112" i="15" s="1"/>
  <c r="W112" i="15" s="1"/>
  <c r="X112" i="15" s="1"/>
  <c r="Q112" i="15" a="1"/>
  <c r="Q112" i="15" s="1"/>
  <c r="P113" i="15"/>
  <c r="Q113" i="15" a="1"/>
  <c r="Q113" i="15" s="1"/>
  <c r="R113" i="15"/>
  <c r="U113" i="15" s="1"/>
  <c r="W113" i="15" s="1"/>
  <c r="X113" i="15" s="1"/>
  <c r="P114" i="15"/>
  <c r="R114" i="15" s="1"/>
  <c r="U114" i="15" s="1"/>
  <c r="W114" i="15" s="1"/>
  <c r="X114" i="15" s="1"/>
  <c r="Q114" i="15" a="1"/>
  <c r="Q114" i="15" s="1"/>
  <c r="P115" i="15"/>
  <c r="R115" i="15" s="1"/>
  <c r="Q115" i="15" a="1"/>
  <c r="Q115" i="15" s="1"/>
  <c r="P116" i="15"/>
  <c r="R116" i="15" s="1"/>
  <c r="U116" i="15" s="1"/>
  <c r="W116" i="15" s="1"/>
  <c r="X116" i="15" s="1"/>
  <c r="Q116" i="15" a="1"/>
  <c r="Q116" i="15" s="1"/>
  <c r="P117" i="15"/>
  <c r="R117" i="15" s="1"/>
  <c r="U117" i="15" s="1"/>
  <c r="W117" i="15" s="1"/>
  <c r="X117" i="15" s="1"/>
  <c r="Q117" i="15" a="1"/>
  <c r="Q117" i="15" s="1"/>
  <c r="P118" i="15"/>
  <c r="R118" i="15" s="1"/>
  <c r="U118" i="15" s="1"/>
  <c r="W118" i="15" s="1"/>
  <c r="X118" i="15" s="1"/>
  <c r="Q118" i="15" a="1"/>
  <c r="Q118" i="15"/>
  <c r="P119" i="15"/>
  <c r="R119" i="15" s="1"/>
  <c r="U119" i="15" s="1"/>
  <c r="W119" i="15" s="1"/>
  <c r="X119" i="15" s="1"/>
  <c r="Q119" i="15" a="1"/>
  <c r="Q119" i="15" s="1"/>
  <c r="P120" i="15"/>
  <c r="R120" i="15" s="1"/>
  <c r="U120" i="15" s="1"/>
  <c r="W120" i="15" s="1"/>
  <c r="X120" i="15" s="1"/>
  <c r="Q120" i="15" a="1"/>
  <c r="Q120" i="15" s="1"/>
  <c r="P121" i="15"/>
  <c r="R121" i="15" s="1"/>
  <c r="U121" i="15" s="1"/>
  <c r="W121" i="15" s="1"/>
  <c r="X121" i="15" s="1"/>
  <c r="Q121" i="15" a="1"/>
  <c r="Q121" i="15" s="1"/>
  <c r="P122" i="15"/>
  <c r="R122" i="15" s="1"/>
  <c r="U122" i="15" s="1"/>
  <c r="W122" i="15" s="1"/>
  <c r="X122" i="15" s="1"/>
  <c r="Q122" i="15" a="1"/>
  <c r="Q122" i="15" s="1"/>
  <c r="P123" i="15"/>
  <c r="R123" i="15" s="1"/>
  <c r="U123" i="15" s="1"/>
  <c r="W123" i="15" s="1"/>
  <c r="X123" i="15" s="1"/>
  <c r="Q123" i="15" a="1"/>
  <c r="Q123" i="15" s="1"/>
  <c r="P124" i="15"/>
  <c r="R124" i="15" s="1"/>
  <c r="U124" i="15" s="1"/>
  <c r="W124" i="15" s="1"/>
  <c r="X124" i="15" s="1"/>
  <c r="Q124" i="15" a="1"/>
  <c r="Q124" i="15" s="1"/>
  <c r="P125" i="15"/>
  <c r="R125" i="15" s="1"/>
  <c r="U125" i="15" s="1"/>
  <c r="W125" i="15" s="1"/>
  <c r="X125" i="15" s="1"/>
  <c r="Q125" i="15" a="1"/>
  <c r="Q125" i="15" s="1"/>
  <c r="P126" i="15"/>
  <c r="R126" i="15" s="1"/>
  <c r="U126" i="15" s="1"/>
  <c r="W126" i="15" s="1"/>
  <c r="X126" i="15" s="1"/>
  <c r="Q126" i="15" a="1"/>
  <c r="Q126" i="15" s="1"/>
  <c r="P127" i="15"/>
  <c r="R127" i="15" s="1"/>
  <c r="U127" i="15" s="1"/>
  <c r="W127" i="15" s="1"/>
  <c r="X127" i="15" s="1"/>
  <c r="Q127" i="15" a="1"/>
  <c r="Q127" i="15" s="1"/>
  <c r="P128" i="15"/>
  <c r="R128" i="15" s="1"/>
  <c r="U128" i="15" s="1"/>
  <c r="W128" i="15" s="1"/>
  <c r="X128" i="15" s="1"/>
  <c r="Q128" i="15" a="1"/>
  <c r="Q128" i="15"/>
  <c r="P129" i="15"/>
  <c r="R129" i="15" s="1"/>
  <c r="U129" i="15" s="1"/>
  <c r="W129" i="15" s="1"/>
  <c r="X129" i="15" s="1"/>
  <c r="Q129" i="15" a="1"/>
  <c r="Q129" i="15" s="1"/>
  <c r="P130" i="15"/>
  <c r="R130" i="15" s="1"/>
  <c r="U130" i="15" s="1"/>
  <c r="W130" i="15" s="1"/>
  <c r="X130" i="15" s="1"/>
  <c r="Q130" i="15" a="1"/>
  <c r="Q130" i="15" s="1"/>
  <c r="P131" i="15"/>
  <c r="Q131" i="15" a="1"/>
  <c r="Q131" i="15" s="1"/>
  <c r="R131" i="15"/>
  <c r="U131" i="15" s="1"/>
  <c r="W131" i="15" s="1"/>
  <c r="X131" i="15" s="1"/>
  <c r="P132" i="15"/>
  <c r="R132" i="15" s="1"/>
  <c r="U132" i="15" s="1"/>
  <c r="W132" i="15" s="1"/>
  <c r="X132" i="15" s="1"/>
  <c r="Q132" i="15" a="1"/>
  <c r="Q132" i="15"/>
  <c r="P133" i="15"/>
  <c r="R133" i="15" s="1"/>
  <c r="U133" i="15" s="1"/>
  <c r="W133" i="15" s="1"/>
  <c r="X133" i="15" s="1"/>
  <c r="Q133" i="15" a="1"/>
  <c r="Q133" i="15" s="1"/>
  <c r="P134" i="15"/>
  <c r="R134" i="15" s="1"/>
  <c r="U134" i="15" s="1"/>
  <c r="W134" i="15" s="1"/>
  <c r="X134" i="15" s="1"/>
  <c r="Q134" i="15" a="1"/>
  <c r="Q134" i="15" s="1"/>
  <c r="P135" i="15"/>
  <c r="Q135" i="15" a="1"/>
  <c r="Q135" i="15"/>
  <c r="R135" i="15"/>
  <c r="U135" i="15" s="1"/>
  <c r="W135" i="15" s="1"/>
  <c r="X135" i="15" s="1"/>
  <c r="P136" i="15"/>
  <c r="R136" i="15" s="1"/>
  <c r="U136" i="15" s="1"/>
  <c r="W136" i="15" s="1"/>
  <c r="X136" i="15" s="1"/>
  <c r="Q136" i="15" a="1"/>
  <c r="Q136" i="15" s="1"/>
  <c r="P137" i="15"/>
  <c r="R137" i="15" s="1"/>
  <c r="U137" i="15" s="1"/>
  <c r="W137" i="15" s="1"/>
  <c r="X137" i="15" s="1"/>
  <c r="Q137" i="15" a="1"/>
  <c r="Q137" i="15" s="1"/>
  <c r="P138" i="15"/>
  <c r="Q138" i="15" a="1"/>
  <c r="Q138" i="15" s="1"/>
  <c r="R138" i="15"/>
  <c r="U138" i="15" s="1"/>
  <c r="W138" i="15" s="1"/>
  <c r="X138" i="15" s="1"/>
  <c r="P139" i="15"/>
  <c r="Q139" i="15" a="1"/>
  <c r="Q139" i="15"/>
  <c r="R139" i="15"/>
  <c r="U139" i="15" s="1"/>
  <c r="W139" i="15" s="1"/>
  <c r="X139" i="15" s="1"/>
  <c r="P140" i="15"/>
  <c r="R140" i="15" s="1"/>
  <c r="U140" i="15" s="1"/>
  <c r="W140" i="15" s="1"/>
  <c r="X140" i="15" s="1"/>
  <c r="Q140" i="15" a="1"/>
  <c r="Q140" i="15"/>
  <c r="P141" i="15"/>
  <c r="R141" i="15" s="1"/>
  <c r="Q141" i="15" a="1"/>
  <c r="Q141" i="15"/>
  <c r="P142" i="15"/>
  <c r="R142" i="15" s="1"/>
  <c r="U142" i="15" s="1"/>
  <c r="W142" i="15" s="1"/>
  <c r="X142" i="15" s="1"/>
  <c r="Q142" i="15" a="1"/>
  <c r="Q142" i="15"/>
  <c r="P143" i="15"/>
  <c r="R143" i="15" s="1"/>
  <c r="U143" i="15" s="1"/>
  <c r="W143" i="15" s="1"/>
  <c r="X143" i="15" s="1"/>
  <c r="Q143" i="15" a="1"/>
  <c r="Q143" i="15"/>
  <c r="P144" i="15"/>
  <c r="R144" i="15" s="1"/>
  <c r="U144" i="15" s="1"/>
  <c r="W144" i="15" s="1"/>
  <c r="X144" i="15" s="1"/>
  <c r="Q144" i="15" a="1"/>
  <c r="Q144" i="15"/>
  <c r="P145" i="15"/>
  <c r="R145" i="15" s="1"/>
  <c r="U145" i="15" s="1"/>
  <c r="W145" i="15" s="1"/>
  <c r="X145" i="15" s="1"/>
  <c r="Q145" i="15" a="1"/>
  <c r="Q145" i="15" s="1"/>
  <c r="P146" i="15"/>
  <c r="R146" i="15" s="1"/>
  <c r="U146" i="15" s="1"/>
  <c r="W146" i="15" s="1"/>
  <c r="X146" i="15" s="1"/>
  <c r="Q146" i="15" a="1"/>
  <c r="Q146" i="15" s="1"/>
  <c r="P147" i="15"/>
  <c r="R147" i="15" s="1"/>
  <c r="U147" i="15" s="1"/>
  <c r="W147" i="15" s="1"/>
  <c r="X147" i="15" s="1"/>
  <c r="Q147" i="15" a="1"/>
  <c r="Q147" i="15" s="1"/>
  <c r="P148" i="15"/>
  <c r="R148" i="15" s="1"/>
  <c r="U148" i="15" s="1"/>
  <c r="W148" i="15" s="1"/>
  <c r="X148" i="15" s="1"/>
  <c r="Q148" i="15" a="1"/>
  <c r="Q148" i="15" s="1"/>
  <c r="P149" i="15"/>
  <c r="R149" i="15" s="1"/>
  <c r="U149" i="15" s="1"/>
  <c r="W149" i="15" s="1"/>
  <c r="X149" i="15" s="1"/>
  <c r="Q149" i="15" a="1"/>
  <c r="Q149" i="15" s="1"/>
  <c r="P150" i="15"/>
  <c r="Q150" i="15" a="1"/>
  <c r="Q150" i="15" s="1"/>
  <c r="R150" i="15"/>
  <c r="U150" i="15" s="1"/>
  <c r="W150" i="15" s="1"/>
  <c r="X150" i="15" s="1"/>
  <c r="P151" i="15"/>
  <c r="Q151" i="15" a="1"/>
  <c r="Q151" i="15"/>
  <c r="R151" i="15"/>
  <c r="U151" i="15" s="1"/>
  <c r="W151" i="15" s="1"/>
  <c r="X151" i="15" s="1"/>
  <c r="P152" i="15"/>
  <c r="R152" i="15" s="1"/>
  <c r="U152" i="15" s="1"/>
  <c r="W152" i="15" s="1"/>
  <c r="X152" i="15" s="1"/>
  <c r="Q152" i="15" a="1"/>
  <c r="Q152" i="15" s="1"/>
  <c r="P153" i="15"/>
  <c r="R153" i="15" s="1"/>
  <c r="U153" i="15" s="1"/>
  <c r="W153" i="15" s="1"/>
  <c r="X153" i="15" s="1"/>
  <c r="Q153" i="15" a="1"/>
  <c r="Q153" i="15" s="1"/>
  <c r="P154" i="15"/>
  <c r="R154" i="15" s="1"/>
  <c r="U154" i="15" s="1"/>
  <c r="W154" i="15" s="1"/>
  <c r="X154" i="15" s="1"/>
  <c r="Q154" i="15" a="1"/>
  <c r="Q154" i="15" s="1"/>
  <c r="P155" i="15"/>
  <c r="R155" i="15" s="1"/>
  <c r="U155" i="15" s="1"/>
  <c r="W155" i="15" s="1"/>
  <c r="X155" i="15" s="1"/>
  <c r="Q155" i="15" a="1"/>
  <c r="Q155" i="15"/>
  <c r="P156" i="15"/>
  <c r="R156" i="15" s="1"/>
  <c r="U156" i="15" s="1"/>
  <c r="W156" i="15" s="1"/>
  <c r="X156" i="15" s="1"/>
  <c r="Q156" i="15" a="1"/>
  <c r="Q156" i="15" s="1"/>
  <c r="P157" i="15"/>
  <c r="R157" i="15" s="1"/>
  <c r="U157" i="15" s="1"/>
  <c r="W157" i="15" s="1"/>
  <c r="X157" i="15" s="1"/>
  <c r="Q157" i="15" a="1"/>
  <c r="Q157" i="15"/>
  <c r="P158" i="15"/>
  <c r="Q158" i="15" a="1"/>
  <c r="Q158" i="15" s="1"/>
  <c r="R158" i="15"/>
  <c r="U158" i="15" s="1"/>
  <c r="W158" i="15" s="1"/>
  <c r="X158" i="15" s="1"/>
  <c r="P159" i="15"/>
  <c r="R159" i="15" s="1"/>
  <c r="U159" i="15" s="1"/>
  <c r="W159" i="15" s="1"/>
  <c r="X159" i="15" s="1"/>
  <c r="Q159" i="15" a="1"/>
  <c r="Q159" i="15" s="1"/>
  <c r="P160" i="15"/>
  <c r="R160" i="15" s="1"/>
  <c r="U160" i="15" s="1"/>
  <c r="W160" i="15" s="1"/>
  <c r="X160" i="15" s="1"/>
  <c r="Q160" i="15" a="1"/>
  <c r="Q160" i="15" s="1"/>
  <c r="P161" i="15"/>
  <c r="R161" i="15" s="1"/>
  <c r="U161" i="15" s="1"/>
  <c r="W161" i="15" s="1"/>
  <c r="X161" i="15" s="1"/>
  <c r="Q161" i="15" a="1"/>
  <c r="Q161" i="15" s="1"/>
  <c r="P162" i="15"/>
  <c r="Q162" i="15" a="1"/>
  <c r="Q162" i="15"/>
  <c r="R162" i="15"/>
  <c r="P163" i="15"/>
  <c r="R163" i="15" s="1"/>
  <c r="U163" i="15" s="1"/>
  <c r="W163" i="15" s="1"/>
  <c r="X163" i="15" s="1"/>
  <c r="Q163" i="15" a="1"/>
  <c r="Q163" i="15" s="1"/>
  <c r="P164" i="15"/>
  <c r="R164" i="15" s="1"/>
  <c r="U164" i="15" s="1"/>
  <c r="W164" i="15" s="1"/>
  <c r="X164" i="15" s="1"/>
  <c r="Q164" i="15" a="1"/>
  <c r="Q164" i="15" s="1"/>
  <c r="P165" i="15"/>
  <c r="Q165" i="15" a="1"/>
  <c r="Q165" i="15"/>
  <c r="R165" i="15"/>
  <c r="U165" i="15" s="1"/>
  <c r="W165" i="15" s="1"/>
  <c r="X165" i="15" s="1"/>
  <c r="P166" i="15"/>
  <c r="R166" i="15" s="1"/>
  <c r="U166" i="15" s="1"/>
  <c r="W166" i="15" s="1"/>
  <c r="X166" i="15" s="1"/>
  <c r="Q166" i="15" a="1"/>
  <c r="Q166" i="15" s="1"/>
  <c r="P167" i="15"/>
  <c r="R167" i="15" s="1"/>
  <c r="U167" i="15" s="1"/>
  <c r="W167" i="15" s="1"/>
  <c r="X167" i="15" s="1"/>
  <c r="Q167" i="15" a="1"/>
  <c r="Q167" i="15" s="1"/>
  <c r="P168" i="15"/>
  <c r="R168" i="15" s="1"/>
  <c r="U168" i="15" s="1"/>
  <c r="W168" i="15" s="1"/>
  <c r="X168" i="15" s="1"/>
  <c r="Q168" i="15" a="1"/>
  <c r="Q168" i="15"/>
  <c r="P169" i="15"/>
  <c r="Q169" i="15" a="1"/>
  <c r="Q169" i="15" s="1"/>
  <c r="R169" i="15"/>
  <c r="U169" i="15" s="1"/>
  <c r="W169" i="15" s="1"/>
  <c r="X169" i="15" s="1"/>
  <c r="P170" i="15"/>
  <c r="R170" i="15" s="1"/>
  <c r="U170" i="15" s="1"/>
  <c r="W170" i="15" s="1"/>
  <c r="X170" i="15" s="1"/>
  <c r="Q170" i="15" a="1"/>
  <c r="Q170" i="15" s="1"/>
  <c r="P171" i="15"/>
  <c r="Q171" i="15" a="1"/>
  <c r="Q171" i="15" s="1"/>
  <c r="R171" i="15"/>
  <c r="U171" i="15" s="1"/>
  <c r="W171" i="15" s="1"/>
  <c r="X171" i="15" s="1"/>
  <c r="P172" i="15"/>
  <c r="R172" i="15" s="1"/>
  <c r="U172" i="15" s="1"/>
  <c r="W172" i="15" s="1"/>
  <c r="X172" i="15" s="1"/>
  <c r="Q172" i="15" a="1"/>
  <c r="Q172" i="15" s="1"/>
  <c r="P173" i="15"/>
  <c r="Q173" i="15" a="1"/>
  <c r="Q173" i="15" s="1"/>
  <c r="R173" i="15"/>
  <c r="U173" i="15" s="1"/>
  <c r="W173" i="15" s="1"/>
  <c r="X173" i="15" s="1"/>
  <c r="P174" i="15"/>
  <c r="R174" i="15" s="1"/>
  <c r="U174" i="15" s="1"/>
  <c r="W174" i="15" s="1"/>
  <c r="X174" i="15" s="1"/>
  <c r="Q174" i="15" a="1"/>
  <c r="Q174" i="15" s="1"/>
  <c r="P175" i="15"/>
  <c r="R175" i="15" s="1"/>
  <c r="U175" i="15" s="1"/>
  <c r="W175" i="15" s="1"/>
  <c r="X175" i="15" s="1"/>
  <c r="Q175" i="15" a="1"/>
  <c r="Q175" i="15" s="1"/>
  <c r="P176" i="15"/>
  <c r="R176" i="15" s="1"/>
  <c r="U176" i="15" s="1"/>
  <c r="W176" i="15" s="1"/>
  <c r="X176" i="15" s="1"/>
  <c r="Q176" i="15" a="1"/>
  <c r="Q176" i="15" s="1"/>
  <c r="P177" i="15"/>
  <c r="R177" i="15" s="1"/>
  <c r="U177" i="15" s="1"/>
  <c r="W177" i="15" s="1"/>
  <c r="X177" i="15" s="1"/>
  <c r="Q177" i="15" a="1"/>
  <c r="Q177" i="15" s="1"/>
  <c r="P178" i="15"/>
  <c r="R178" i="15" s="1"/>
  <c r="U178" i="15" s="1"/>
  <c r="W178" i="15" s="1"/>
  <c r="X178" i="15" s="1"/>
  <c r="Q178" i="15" a="1"/>
  <c r="Q178" i="15" s="1"/>
  <c r="P179" i="15"/>
  <c r="Q179" i="15" a="1"/>
  <c r="Q179" i="15"/>
  <c r="R179" i="15"/>
  <c r="P180" i="15"/>
  <c r="R180" i="15" s="1"/>
  <c r="U180" i="15" s="1"/>
  <c r="W180" i="15" s="1"/>
  <c r="X180" i="15" s="1"/>
  <c r="Q180" i="15" a="1"/>
  <c r="Q180" i="15" s="1"/>
  <c r="P181" i="15"/>
  <c r="R181" i="15" s="1"/>
  <c r="U181" i="15" s="1"/>
  <c r="W181" i="15" s="1"/>
  <c r="X181" i="15" s="1"/>
  <c r="Q181" i="15" a="1"/>
  <c r="Q181" i="15" s="1"/>
  <c r="P182" i="15"/>
  <c r="R182" i="15" s="1"/>
  <c r="U182" i="15" s="1"/>
  <c r="W182" i="15" s="1"/>
  <c r="X182" i="15" s="1"/>
  <c r="Q182" i="15" a="1"/>
  <c r="Q182" i="15" s="1"/>
  <c r="P183" i="15"/>
  <c r="Q183" i="15" a="1"/>
  <c r="Q183" i="15" s="1"/>
  <c r="R183" i="15"/>
  <c r="U183" i="15" s="1"/>
  <c r="W183" i="15" s="1"/>
  <c r="X183" i="15" s="1"/>
  <c r="P184" i="15"/>
  <c r="R184" i="15" s="1"/>
  <c r="U184" i="15" s="1"/>
  <c r="W184" i="15" s="1"/>
  <c r="X184" i="15" s="1"/>
  <c r="Q184" i="15" a="1"/>
  <c r="Q184" i="15" s="1"/>
  <c r="P185" i="15"/>
  <c r="R185" i="15" s="1"/>
  <c r="U185" i="15" s="1"/>
  <c r="W185" i="15" s="1"/>
  <c r="X185" i="15" s="1"/>
  <c r="Q185" i="15" a="1"/>
  <c r="Q185" i="15" s="1"/>
  <c r="P186" i="15"/>
  <c r="Q186" i="15" a="1"/>
  <c r="Q186" i="15" s="1"/>
  <c r="R186" i="15"/>
  <c r="U186" i="15" s="1"/>
  <c r="W186" i="15" s="1"/>
  <c r="X186" i="15" s="1"/>
  <c r="P187" i="15"/>
  <c r="R187" i="15" s="1"/>
  <c r="U187" i="15" s="1"/>
  <c r="W187" i="15" s="1"/>
  <c r="X187" i="15" s="1"/>
  <c r="Q187" i="15" a="1"/>
  <c r="Q187" i="15"/>
  <c r="P188" i="15"/>
  <c r="R188" i="15" s="1"/>
  <c r="U188" i="15" s="1"/>
  <c r="W188" i="15" s="1"/>
  <c r="X188" i="15" s="1"/>
  <c r="Q188" i="15" a="1"/>
  <c r="Q188" i="15" s="1"/>
  <c r="P189" i="15"/>
  <c r="R189" i="15" s="1"/>
  <c r="U189" i="15" s="1"/>
  <c r="W189" i="15" s="1"/>
  <c r="X189" i="15" s="1"/>
  <c r="Q189" i="15" a="1"/>
  <c r="Q189" i="15" s="1"/>
  <c r="P190" i="15"/>
  <c r="Q190" i="15" a="1"/>
  <c r="Q190" i="15" s="1"/>
  <c r="R190" i="15"/>
  <c r="U190" i="15" s="1"/>
  <c r="W190" i="15" s="1"/>
  <c r="X190" i="15" s="1"/>
  <c r="P191" i="15"/>
  <c r="R191" i="15" s="1"/>
  <c r="U191" i="15" s="1"/>
  <c r="W191" i="15" s="1"/>
  <c r="X191" i="15" s="1"/>
  <c r="Q191" i="15" a="1"/>
  <c r="Q191" i="15" s="1"/>
  <c r="P192" i="15"/>
  <c r="R192" i="15" s="1"/>
  <c r="U192" i="15" s="1"/>
  <c r="W192" i="15" s="1"/>
  <c r="X192" i="15" s="1"/>
  <c r="Q192" i="15" a="1"/>
  <c r="Q192" i="15" s="1"/>
  <c r="P193" i="15"/>
  <c r="Q193" i="15" a="1"/>
  <c r="Q193" i="15"/>
  <c r="R193" i="15"/>
  <c r="U193" i="15" s="1"/>
  <c r="W193" i="15" s="1"/>
  <c r="X193" i="15" s="1"/>
  <c r="P194" i="15"/>
  <c r="Q194" i="15" a="1"/>
  <c r="Q194" i="15"/>
  <c r="R194" i="15"/>
  <c r="U194" i="15" s="1"/>
  <c r="W194" i="15" s="1"/>
  <c r="X194" i="15" s="1"/>
  <c r="P195" i="15"/>
  <c r="R195" i="15" s="1"/>
  <c r="U195" i="15" s="1"/>
  <c r="W195" i="15" s="1"/>
  <c r="X195" i="15" s="1"/>
  <c r="Q195" i="15" a="1"/>
  <c r="Q195" i="15" s="1"/>
  <c r="P196" i="15"/>
  <c r="Q196" i="15" a="1"/>
  <c r="Q196" i="15" s="1"/>
  <c r="R196" i="15"/>
  <c r="U196" i="15" s="1"/>
  <c r="W196" i="15" s="1"/>
  <c r="X196" i="15" s="1"/>
  <c r="P197" i="15"/>
  <c r="R197" i="15" s="1"/>
  <c r="U197" i="15" s="1"/>
  <c r="W197" i="15" s="1"/>
  <c r="X197" i="15" s="1"/>
  <c r="Q197" i="15" a="1"/>
  <c r="Q197" i="15" s="1"/>
  <c r="P198" i="15"/>
  <c r="R198" i="15" s="1"/>
  <c r="U198" i="15" s="1"/>
  <c r="W198" i="15" s="1"/>
  <c r="X198" i="15" s="1"/>
  <c r="Q198" i="15" a="1"/>
  <c r="Q198" i="15" s="1"/>
  <c r="P199" i="15"/>
  <c r="R199" i="15" s="1"/>
  <c r="U199" i="15" s="1"/>
  <c r="W199" i="15" s="1"/>
  <c r="X199" i="15" s="1"/>
  <c r="Q199" i="15" a="1"/>
  <c r="Q199" i="15" s="1"/>
  <c r="P200" i="15"/>
  <c r="R200" i="15" s="1"/>
  <c r="U200" i="15" s="1"/>
  <c r="W200" i="15" s="1"/>
  <c r="X200" i="15" s="1"/>
  <c r="Q200" i="15" a="1"/>
  <c r="Q200" i="15" s="1"/>
  <c r="P201" i="15"/>
  <c r="R201" i="15" s="1"/>
  <c r="U201" i="15" s="1"/>
  <c r="W201" i="15" s="1"/>
  <c r="X201" i="15" s="1"/>
  <c r="Q201" i="15" a="1"/>
  <c r="Q201" i="15" s="1"/>
  <c r="P202" i="15"/>
  <c r="R202" i="15" s="1"/>
  <c r="U202" i="15" s="1"/>
  <c r="W202" i="15" s="1"/>
  <c r="X202" i="15" s="1"/>
  <c r="Q202" i="15" a="1"/>
  <c r="Q202" i="15" s="1"/>
  <c r="P203" i="15"/>
  <c r="R203" i="15" s="1"/>
  <c r="U203" i="15" s="1"/>
  <c r="W203" i="15" s="1"/>
  <c r="X203" i="15" s="1"/>
  <c r="Q203" i="15" a="1"/>
  <c r="Q203" i="15" s="1"/>
  <c r="P204" i="15"/>
  <c r="R204" i="15" s="1"/>
  <c r="U204" i="15" s="1"/>
  <c r="W204" i="15" s="1"/>
  <c r="X204" i="15" s="1"/>
  <c r="Q204" i="15" a="1"/>
  <c r="Q204" i="15" s="1"/>
  <c r="P205" i="15"/>
  <c r="R205" i="15" s="1"/>
  <c r="U205" i="15" s="1"/>
  <c r="W205" i="15" s="1"/>
  <c r="X205" i="15" s="1"/>
  <c r="Q205" i="15" a="1"/>
  <c r="Q205" i="15" s="1"/>
  <c r="P206" i="15"/>
  <c r="Q206" i="15" a="1"/>
  <c r="Q206" i="15"/>
  <c r="R206" i="15"/>
  <c r="U206" i="15" s="1"/>
  <c r="W206" i="15" s="1"/>
  <c r="X206" i="15" s="1"/>
  <c r="P207" i="15"/>
  <c r="R207" i="15" s="1"/>
  <c r="U207" i="15" s="1"/>
  <c r="W207" i="15" s="1"/>
  <c r="X207" i="15" s="1"/>
  <c r="Q207" i="15" a="1"/>
  <c r="Q207" i="15" s="1"/>
  <c r="P208" i="15"/>
  <c r="R208" i="15" s="1"/>
  <c r="U208" i="15" s="1"/>
  <c r="W208" i="15" s="1"/>
  <c r="X208" i="15" s="1"/>
  <c r="Q208" i="15" a="1"/>
  <c r="Q208" i="15" s="1"/>
  <c r="P209" i="15"/>
  <c r="Q209" i="15" a="1"/>
  <c r="Q209" i="15"/>
  <c r="R209" i="15"/>
  <c r="U209" i="15" s="1"/>
  <c r="W209" i="15" s="1"/>
  <c r="X209" i="15" s="1"/>
  <c r="P210" i="15"/>
  <c r="R210" i="15" s="1"/>
  <c r="U210" i="15" s="1"/>
  <c r="W210" i="15" s="1"/>
  <c r="X210" i="15" s="1"/>
  <c r="Q210" i="15" a="1"/>
  <c r="Q210" i="15" s="1"/>
  <c r="P211" i="15"/>
  <c r="R211" i="15" s="1"/>
  <c r="U211" i="15" s="1"/>
  <c r="W211" i="15" s="1"/>
  <c r="X211" i="15" s="1"/>
  <c r="Q211" i="15" a="1"/>
  <c r="Q211" i="15" s="1"/>
  <c r="P212" i="15"/>
  <c r="R212" i="15" s="1"/>
  <c r="U212" i="15" s="1"/>
  <c r="W212" i="15" s="1"/>
  <c r="X212" i="15" s="1"/>
  <c r="Q212" i="15" a="1"/>
  <c r="Q212" i="15" s="1"/>
  <c r="P213" i="15"/>
  <c r="R213" i="15" s="1"/>
  <c r="U213" i="15" s="1"/>
  <c r="W213" i="15" s="1"/>
  <c r="X213" i="15" s="1"/>
  <c r="Q213" i="15" a="1"/>
  <c r="Q213" i="15" s="1"/>
  <c r="P214" i="15"/>
  <c r="R214" i="15" s="1"/>
  <c r="U214" i="15" s="1"/>
  <c r="W214" i="15" s="1"/>
  <c r="X214" i="15" s="1"/>
  <c r="Q214" i="15" a="1"/>
  <c r="Q214" i="15" s="1"/>
  <c r="P215" i="15"/>
  <c r="R215" i="15" s="1"/>
  <c r="U215" i="15" s="1"/>
  <c r="W215" i="15" s="1"/>
  <c r="X215" i="15" s="1"/>
  <c r="Q215" i="15" a="1"/>
  <c r="Q215" i="15"/>
  <c r="P216" i="15"/>
  <c r="R216" i="15" s="1"/>
  <c r="U216" i="15" s="1"/>
  <c r="W216" i="15" s="1"/>
  <c r="X216" i="15" s="1"/>
  <c r="Q216" i="15" a="1"/>
  <c r="Q216" i="15"/>
  <c r="P217" i="15"/>
  <c r="R217" i="15" s="1"/>
  <c r="U217" i="15" s="1"/>
  <c r="W217" i="15" s="1"/>
  <c r="X217" i="15" s="1"/>
  <c r="Q217" i="15" a="1"/>
  <c r="Q217" i="15" s="1"/>
  <c r="P218" i="15"/>
  <c r="R218" i="15" s="1"/>
  <c r="U218" i="15" s="1"/>
  <c r="W218" i="15" s="1"/>
  <c r="X218" i="15" s="1"/>
  <c r="Q218" i="15" a="1"/>
  <c r="Q218" i="15"/>
  <c r="P219" i="15"/>
  <c r="Q219" i="15" a="1"/>
  <c r="Q219" i="15" s="1"/>
  <c r="R219" i="15"/>
  <c r="U219" i="15" s="1"/>
  <c r="W219" i="15" s="1"/>
  <c r="X219" i="15" s="1"/>
  <c r="P220" i="15"/>
  <c r="R220" i="15" s="1"/>
  <c r="U220" i="15" s="1"/>
  <c r="W220" i="15" s="1"/>
  <c r="X220" i="15" s="1"/>
  <c r="Q220" i="15" a="1"/>
  <c r="Q220" i="15" s="1"/>
  <c r="P221" i="15"/>
  <c r="R221" i="15" s="1"/>
  <c r="U221" i="15" s="1"/>
  <c r="W221" i="15" s="1"/>
  <c r="X221" i="15" s="1"/>
  <c r="Q221" i="15" a="1"/>
  <c r="Q221" i="15" s="1"/>
  <c r="P222" i="15"/>
  <c r="R222" i="15" s="1"/>
  <c r="U222" i="15" s="1"/>
  <c r="W222" i="15" s="1"/>
  <c r="X222" i="15" s="1"/>
  <c r="Q222" i="15" a="1"/>
  <c r="Q222" i="15" s="1"/>
  <c r="P223" i="15"/>
  <c r="Q223" i="15" a="1"/>
  <c r="Q223" i="15"/>
  <c r="R223" i="15"/>
  <c r="U223" i="15" s="1"/>
  <c r="W223" i="15" s="1"/>
  <c r="X223" i="15" s="1"/>
  <c r="P224" i="15"/>
  <c r="R224" i="15" s="1"/>
  <c r="U224" i="15" s="1"/>
  <c r="W224" i="15" s="1"/>
  <c r="X224" i="15" s="1"/>
  <c r="Q224" i="15" a="1"/>
  <c r="Q224" i="15" s="1"/>
  <c r="P225" i="15"/>
  <c r="R225" i="15" s="1"/>
  <c r="Q225" i="15" a="1"/>
  <c r="Q225" i="15" s="1"/>
  <c r="P226" i="15"/>
  <c r="R226" i="15" s="1"/>
  <c r="U226" i="15" s="1"/>
  <c r="W226" i="15" s="1"/>
  <c r="X226" i="15" s="1"/>
  <c r="Q226" i="15" a="1"/>
  <c r="Q226" i="15" s="1"/>
  <c r="P227" i="15"/>
  <c r="R227" i="15" s="1"/>
  <c r="U227" i="15" s="1"/>
  <c r="W227" i="15" s="1"/>
  <c r="X227" i="15" s="1"/>
  <c r="Q227" i="15" a="1"/>
  <c r="Q227" i="15"/>
  <c r="P228" i="15"/>
  <c r="R228" i="15" s="1"/>
  <c r="U228" i="15" s="1"/>
  <c r="W228" i="15" s="1"/>
  <c r="X228" i="15" s="1"/>
  <c r="Q228" i="15" a="1"/>
  <c r="Q228" i="15" s="1"/>
  <c r="P229" i="15"/>
  <c r="R229" i="15" s="1"/>
  <c r="U229" i="15" s="1"/>
  <c r="W229" i="15" s="1"/>
  <c r="X229" i="15" s="1"/>
  <c r="Q229" i="15" a="1"/>
  <c r="Q229" i="15" s="1"/>
  <c r="P230" i="15"/>
  <c r="Q230" i="15" a="1"/>
  <c r="Q230" i="15" s="1"/>
  <c r="R230" i="15"/>
  <c r="U230" i="15" s="1"/>
  <c r="W230" i="15" s="1"/>
  <c r="X230" i="15" s="1"/>
  <c r="P231" i="15"/>
  <c r="Q231" i="15" a="1"/>
  <c r="Q231" i="15" s="1"/>
  <c r="R231" i="15"/>
  <c r="U231" i="15" s="1"/>
  <c r="W231" i="15" s="1"/>
  <c r="X231" i="15" s="1"/>
  <c r="P232" i="15"/>
  <c r="R232" i="15" s="1"/>
  <c r="U232" i="15" s="1"/>
  <c r="W232" i="15" s="1"/>
  <c r="X232" i="15" s="1"/>
  <c r="Q232" i="15" a="1"/>
  <c r="Q232" i="15" s="1"/>
  <c r="P233" i="15"/>
  <c r="R233" i="15" s="1"/>
  <c r="U233" i="15" s="1"/>
  <c r="W233" i="15" s="1"/>
  <c r="X233" i="15" s="1"/>
  <c r="Q233" i="15" a="1"/>
  <c r="Q233" i="15" s="1"/>
  <c r="P234" i="15"/>
  <c r="R234" i="15" s="1"/>
  <c r="U234" i="15" s="1"/>
  <c r="W234" i="15" s="1"/>
  <c r="X234" i="15" s="1"/>
  <c r="Q234" i="15" a="1"/>
  <c r="Q234" i="15"/>
  <c r="P235" i="15"/>
  <c r="R235" i="15" s="1"/>
  <c r="Q235" i="15" a="1"/>
  <c r="Q235" i="15" s="1"/>
  <c r="P236" i="15"/>
  <c r="R236" i="15" s="1"/>
  <c r="U236" i="15" s="1"/>
  <c r="W236" i="15" s="1"/>
  <c r="X236" i="15" s="1"/>
  <c r="Q236" i="15" a="1"/>
  <c r="Q236" i="15" s="1"/>
  <c r="P237" i="15"/>
  <c r="Q237" i="15" a="1"/>
  <c r="Q237" i="15" s="1"/>
  <c r="R237" i="15"/>
  <c r="U237" i="15" s="1"/>
  <c r="W237" i="15" s="1"/>
  <c r="X237" i="15" s="1"/>
  <c r="P238" i="15"/>
  <c r="R238" i="15" s="1"/>
  <c r="U238" i="15" s="1"/>
  <c r="W238" i="15" s="1"/>
  <c r="X238" i="15" s="1"/>
  <c r="Q238" i="15" a="1"/>
  <c r="Q238" i="15"/>
  <c r="P239" i="15"/>
  <c r="R239" i="15" s="1"/>
  <c r="U239" i="15" s="1"/>
  <c r="W239" i="15" s="1"/>
  <c r="X239" i="15" s="1"/>
  <c r="Q239" i="15" a="1"/>
  <c r="Q239" i="15" s="1"/>
  <c r="P240" i="15"/>
  <c r="Q240" i="15" a="1"/>
  <c r="Q240" i="15"/>
  <c r="R240" i="15"/>
  <c r="U240" i="15" s="1"/>
  <c r="W240" i="15" s="1"/>
  <c r="X240" i="15" s="1"/>
  <c r="P241" i="15"/>
  <c r="Q241" i="15" a="1"/>
  <c r="Q241" i="15" s="1"/>
  <c r="R241" i="15"/>
  <c r="U241" i="15" s="1"/>
  <c r="W241" i="15" s="1"/>
  <c r="X241" i="15" s="1"/>
  <c r="P242" i="15"/>
  <c r="R242" i="15" s="1"/>
  <c r="U242" i="15" s="1"/>
  <c r="W242" i="15" s="1"/>
  <c r="X242" i="15" s="1"/>
  <c r="Q242" i="15" a="1"/>
  <c r="Q242" i="15"/>
  <c r="P243" i="15"/>
  <c r="R243" i="15" s="1"/>
  <c r="U243" i="15" s="1"/>
  <c r="W243" i="15" s="1"/>
  <c r="X243" i="15" s="1"/>
  <c r="Q243" i="15" a="1"/>
  <c r="Q243" i="15"/>
  <c r="P244" i="15"/>
  <c r="R244" i="15" s="1"/>
  <c r="U244" i="15" s="1"/>
  <c r="W244" i="15" s="1"/>
  <c r="X244" i="15" s="1"/>
  <c r="Q244" i="15" a="1"/>
  <c r="Q244" i="15" s="1"/>
  <c r="P245" i="15"/>
  <c r="R245" i="15" s="1"/>
  <c r="U245" i="15" s="1"/>
  <c r="W245" i="15" s="1"/>
  <c r="X245" i="15" s="1"/>
  <c r="Q245" i="15" a="1"/>
  <c r="Q245" i="15"/>
  <c r="P246" i="15"/>
  <c r="R246" i="15" s="1"/>
  <c r="U246" i="15" s="1"/>
  <c r="W246" i="15" s="1"/>
  <c r="X246" i="15" s="1"/>
  <c r="Q246" i="15" a="1"/>
  <c r="Q246" i="15" s="1"/>
  <c r="P247" i="15"/>
  <c r="R247" i="15" s="1"/>
  <c r="Q247" i="15" a="1"/>
  <c r="Q247" i="15" s="1"/>
  <c r="P248" i="15"/>
  <c r="Q248" i="15" a="1"/>
  <c r="Q248" i="15"/>
  <c r="R248" i="15"/>
  <c r="U248" i="15" s="1"/>
  <c r="W248" i="15" s="1"/>
  <c r="X248" i="15" s="1"/>
  <c r="P249" i="15"/>
  <c r="R249" i="15" s="1"/>
  <c r="U249" i="15" s="1"/>
  <c r="W249" i="15" s="1"/>
  <c r="X249" i="15" s="1"/>
  <c r="Q249" i="15" a="1"/>
  <c r="Q249" i="15" s="1"/>
  <c r="P250" i="15"/>
  <c r="R250" i="15" s="1"/>
  <c r="U250" i="15" s="1"/>
  <c r="W250" i="15" s="1"/>
  <c r="X250" i="15" s="1"/>
  <c r="Q250" i="15" a="1"/>
  <c r="Q250" i="15" s="1"/>
  <c r="P251" i="15"/>
  <c r="R251" i="15" s="1"/>
  <c r="U251" i="15" s="1"/>
  <c r="W251" i="15" s="1"/>
  <c r="X251" i="15" s="1"/>
  <c r="Q251" i="15" a="1"/>
  <c r="Q251" i="15" s="1"/>
  <c r="P252" i="15"/>
  <c r="Q252" i="15" a="1"/>
  <c r="Q252" i="15" s="1"/>
  <c r="R252" i="15"/>
  <c r="U252" i="15" s="1"/>
  <c r="W252" i="15" s="1"/>
  <c r="X252" i="15" s="1"/>
  <c r="P253" i="15"/>
  <c r="R253" i="15" s="1"/>
  <c r="U253" i="15" s="1"/>
  <c r="W253" i="15" s="1"/>
  <c r="X253" i="15" s="1"/>
  <c r="Q253" i="15" a="1"/>
  <c r="Q253" i="15" s="1"/>
  <c r="P254" i="15"/>
  <c r="R254" i="15" s="1"/>
  <c r="U254" i="15" s="1"/>
  <c r="W254" i="15" s="1"/>
  <c r="X254" i="15" s="1"/>
  <c r="Q254" i="15" a="1"/>
  <c r="Q254" i="15" s="1"/>
  <c r="P255" i="15"/>
  <c r="R255" i="15" s="1"/>
  <c r="U255" i="15" s="1"/>
  <c r="W255" i="15" s="1"/>
  <c r="X255" i="15" s="1"/>
  <c r="Q255" i="15" a="1"/>
  <c r="Q255" i="15" s="1"/>
  <c r="P256" i="15"/>
  <c r="R256" i="15" s="1"/>
  <c r="U256" i="15" s="1"/>
  <c r="W256" i="15" s="1"/>
  <c r="X256" i="15" s="1"/>
  <c r="Q256" i="15" a="1"/>
  <c r="Q256" i="15" s="1"/>
  <c r="P257" i="15"/>
  <c r="R257" i="15" s="1"/>
  <c r="Q257" i="15" a="1"/>
  <c r="Q257" i="15" s="1"/>
  <c r="P258" i="15"/>
  <c r="R258" i="15" s="1"/>
  <c r="Q258" i="15" a="1"/>
  <c r="Q258" i="15" s="1"/>
  <c r="P259" i="15"/>
  <c r="R259" i="15" s="1"/>
  <c r="U259" i="15" s="1"/>
  <c r="W259" i="15" s="1"/>
  <c r="X259" i="15" s="1"/>
  <c r="Q259" i="15" a="1"/>
  <c r="Q259" i="15" s="1"/>
  <c r="P260" i="15"/>
  <c r="R260" i="15" s="1"/>
  <c r="U260" i="15" s="1"/>
  <c r="W260" i="15" s="1"/>
  <c r="X260" i="15" s="1"/>
  <c r="Q260" i="15" a="1"/>
  <c r="Q260" i="15" s="1"/>
  <c r="P261" i="15"/>
  <c r="Q261" i="15" a="1"/>
  <c r="Q261" i="15"/>
  <c r="R261" i="15"/>
  <c r="U261" i="15" s="1"/>
  <c r="W261" i="15" s="1"/>
  <c r="X261" i="15" s="1"/>
  <c r="P262" i="15"/>
  <c r="R262" i="15" s="1"/>
  <c r="U262" i="15" s="1"/>
  <c r="W262" i="15" s="1"/>
  <c r="X262" i="15" s="1"/>
  <c r="Q262" i="15" a="1"/>
  <c r="Q262" i="15" s="1"/>
  <c r="P263" i="15"/>
  <c r="R263" i="15" s="1"/>
  <c r="U263" i="15" s="1"/>
  <c r="W263" i="15" s="1"/>
  <c r="X263" i="15" s="1"/>
  <c r="Q263" i="15" a="1"/>
  <c r="Q263" i="15" s="1"/>
  <c r="P264" i="15"/>
  <c r="R264" i="15" s="1"/>
  <c r="U264" i="15" s="1"/>
  <c r="W264" i="15" s="1"/>
  <c r="X264" i="15" s="1"/>
  <c r="Q264" i="15" a="1"/>
  <c r="Q264" i="15" s="1"/>
  <c r="P265" i="15"/>
  <c r="R265" i="15" s="1"/>
  <c r="U265" i="15" s="1"/>
  <c r="W265" i="15" s="1"/>
  <c r="X265" i="15" s="1"/>
  <c r="Q265" i="15" a="1"/>
  <c r="Q265" i="15"/>
  <c r="P266" i="15"/>
  <c r="R266" i="15" s="1"/>
  <c r="U266" i="15" s="1"/>
  <c r="W266" i="15" s="1"/>
  <c r="X266" i="15" s="1"/>
  <c r="Q266" i="15" a="1"/>
  <c r="Q266" i="15" s="1"/>
  <c r="P267" i="15"/>
  <c r="R267" i="15" s="1"/>
  <c r="U267" i="15" s="1"/>
  <c r="W267" i="15" s="1"/>
  <c r="X267" i="15" s="1"/>
  <c r="Q267" i="15" a="1"/>
  <c r="Q267" i="15" s="1"/>
  <c r="P268" i="15"/>
  <c r="R268" i="15" s="1"/>
  <c r="U268" i="15" s="1"/>
  <c r="W268" i="15" s="1"/>
  <c r="X268" i="15" s="1"/>
  <c r="Q268" i="15" a="1"/>
  <c r="Q268" i="15" s="1"/>
  <c r="P269" i="15"/>
  <c r="R269" i="15" s="1"/>
  <c r="U269" i="15" s="1"/>
  <c r="W269" i="15" s="1"/>
  <c r="X269" i="15" s="1"/>
  <c r="Q269" i="15" a="1"/>
  <c r="Q269" i="15" s="1"/>
  <c r="P270" i="15"/>
  <c r="R270" i="15" s="1"/>
  <c r="U270" i="15" s="1"/>
  <c r="W270" i="15" s="1"/>
  <c r="X270" i="15" s="1"/>
  <c r="Q270" i="15" a="1"/>
  <c r="Q270" i="15" s="1"/>
  <c r="P271" i="15"/>
  <c r="R271" i="15" s="1"/>
  <c r="U271" i="15" s="1"/>
  <c r="W271" i="15" s="1"/>
  <c r="X271" i="15" s="1"/>
  <c r="Q271" i="15" a="1"/>
  <c r="Q271" i="15"/>
  <c r="P272" i="15"/>
  <c r="Q272" i="15" a="1"/>
  <c r="Q272" i="15" s="1"/>
  <c r="R272" i="15"/>
  <c r="U272" i="15" s="1"/>
  <c r="W272" i="15" s="1"/>
  <c r="X272" i="15" s="1"/>
  <c r="P273" i="15"/>
  <c r="R273" i="15" s="1"/>
  <c r="U273" i="15" s="1"/>
  <c r="W273" i="15" s="1"/>
  <c r="X273" i="15" s="1"/>
  <c r="Q273" i="15" a="1"/>
  <c r="Q273" i="15" s="1"/>
  <c r="P274" i="15"/>
  <c r="R274" i="15" s="1"/>
  <c r="U274" i="15" s="1"/>
  <c r="W274" i="15" s="1"/>
  <c r="X274" i="15" s="1"/>
  <c r="Q274" i="15" a="1"/>
  <c r="Q274" i="15" s="1"/>
  <c r="P275" i="15"/>
  <c r="R275" i="15" s="1"/>
  <c r="U275" i="15" s="1"/>
  <c r="W275" i="15" s="1"/>
  <c r="X275" i="15" s="1"/>
  <c r="Q275" i="15" a="1"/>
  <c r="Q275" i="15" s="1"/>
  <c r="P276" i="15"/>
  <c r="R276" i="15" s="1"/>
  <c r="Q276" i="15" a="1"/>
  <c r="Q276" i="15"/>
  <c r="P277" i="15"/>
  <c r="R277" i="15" s="1"/>
  <c r="U277" i="15" s="1"/>
  <c r="W277" i="15" s="1"/>
  <c r="X277" i="15" s="1"/>
  <c r="Q277" i="15" a="1"/>
  <c r="Q277" i="15" s="1"/>
  <c r="P278" i="15"/>
  <c r="R278" i="15" s="1"/>
  <c r="U278" i="15" s="1"/>
  <c r="W278" i="15" s="1"/>
  <c r="X278" i="15" s="1"/>
  <c r="Q278" i="15" a="1"/>
  <c r="Q278" i="15" s="1"/>
  <c r="P279" i="15"/>
  <c r="Q279" i="15" a="1"/>
  <c r="Q279" i="15" s="1"/>
  <c r="R279" i="15"/>
  <c r="U279" i="15" s="1"/>
  <c r="W279" i="15" s="1"/>
  <c r="X279" i="15" s="1"/>
  <c r="P280" i="15"/>
  <c r="R280" i="15" s="1"/>
  <c r="U280" i="15" s="1"/>
  <c r="W280" i="15" s="1"/>
  <c r="X280" i="15" s="1"/>
  <c r="Q280" i="15" a="1"/>
  <c r="Q280" i="15" s="1"/>
  <c r="P281" i="15"/>
  <c r="Q281" i="15" a="1"/>
  <c r="Q281" i="15"/>
  <c r="R281" i="15"/>
  <c r="P282" i="15"/>
  <c r="R282" i="15" s="1"/>
  <c r="U282" i="15" s="1"/>
  <c r="W282" i="15" s="1"/>
  <c r="X282" i="15" s="1"/>
  <c r="Q282" i="15" a="1"/>
  <c r="Q282" i="15" s="1"/>
  <c r="P283" i="15"/>
  <c r="R283" i="15" s="1"/>
  <c r="U283" i="15" s="1"/>
  <c r="W283" i="15" s="1"/>
  <c r="X283" i="15" s="1"/>
  <c r="Q283" i="15" a="1"/>
  <c r="Q283" i="15" s="1"/>
  <c r="P284" i="15"/>
  <c r="Q284" i="15" a="1"/>
  <c r="Q284" i="15"/>
  <c r="R284" i="15"/>
  <c r="U284" i="15" s="1"/>
  <c r="W284" i="15" s="1"/>
  <c r="X284" i="15" s="1"/>
  <c r="P285" i="15"/>
  <c r="R285" i="15" s="1"/>
  <c r="U285" i="15" s="1"/>
  <c r="W285" i="15" s="1"/>
  <c r="X285" i="15" s="1"/>
  <c r="Q285" i="15" a="1"/>
  <c r="Q285" i="15" s="1"/>
  <c r="P286" i="15"/>
  <c r="R286" i="15" s="1"/>
  <c r="U286" i="15" s="1"/>
  <c r="W286" i="15" s="1"/>
  <c r="X286" i="15" s="1"/>
  <c r="Q286" i="15" a="1"/>
  <c r="Q286" i="15"/>
  <c r="P287" i="15"/>
  <c r="R287" i="15" s="1"/>
  <c r="U287" i="15" s="1"/>
  <c r="W287" i="15" s="1"/>
  <c r="X287" i="15" s="1"/>
  <c r="Q287" i="15" a="1"/>
  <c r="Q287" i="15" s="1"/>
  <c r="P288" i="15"/>
  <c r="R288" i="15" s="1"/>
  <c r="U288" i="15" s="1"/>
  <c r="W288" i="15" s="1"/>
  <c r="X288" i="15" s="1"/>
  <c r="Q288" i="15" a="1"/>
  <c r="Q288" i="15" s="1"/>
  <c r="P289" i="15"/>
  <c r="Q289" i="15" a="1"/>
  <c r="Q289" i="15"/>
  <c r="R289" i="15"/>
  <c r="U289" i="15" s="1"/>
  <c r="W289" i="15" s="1"/>
  <c r="X289" i="15" s="1"/>
  <c r="P290" i="15"/>
  <c r="R290" i="15" s="1"/>
  <c r="U290" i="15" s="1"/>
  <c r="W290" i="15" s="1"/>
  <c r="X290" i="15" s="1"/>
  <c r="Q290" i="15" a="1"/>
  <c r="Q290" i="15" s="1"/>
  <c r="P291" i="15"/>
  <c r="R291" i="15" s="1"/>
  <c r="U291" i="15" s="1"/>
  <c r="W291" i="15" s="1"/>
  <c r="X291" i="15" s="1"/>
  <c r="Q291" i="15" a="1"/>
  <c r="Q291" i="15" s="1"/>
  <c r="P292" i="15"/>
  <c r="R292" i="15" s="1"/>
  <c r="U292" i="15" s="1"/>
  <c r="W292" i="15" s="1"/>
  <c r="X292" i="15" s="1"/>
  <c r="Q292" i="15" a="1"/>
  <c r="Q292" i="15" s="1"/>
  <c r="P293" i="15"/>
  <c r="R293" i="15" s="1"/>
  <c r="U293" i="15" s="1"/>
  <c r="W293" i="15" s="1"/>
  <c r="X293" i="15" s="1"/>
  <c r="Q293" i="15" a="1"/>
  <c r="Q293" i="15"/>
  <c r="P294" i="15"/>
  <c r="R294" i="15" s="1"/>
  <c r="U294" i="15" s="1"/>
  <c r="W294" i="15" s="1"/>
  <c r="X294" i="15" s="1"/>
  <c r="Q294" i="15" a="1"/>
  <c r="Q294" i="15" s="1"/>
  <c r="P295" i="15"/>
  <c r="R295" i="15" s="1"/>
  <c r="U295" i="15" s="1"/>
  <c r="W295" i="15" s="1"/>
  <c r="X295" i="15" s="1"/>
  <c r="Q295" i="15" a="1"/>
  <c r="Q295" i="15" s="1"/>
  <c r="P296" i="15"/>
  <c r="Q296" i="15" a="1"/>
  <c r="Q296" i="15" s="1"/>
  <c r="R296" i="15"/>
  <c r="U296" i="15" s="1"/>
  <c r="W296" i="15" s="1"/>
  <c r="X296" i="15" s="1"/>
  <c r="P297" i="15"/>
  <c r="R297" i="15" s="1"/>
  <c r="U297" i="15" s="1"/>
  <c r="W297" i="15" s="1"/>
  <c r="X297" i="15" s="1"/>
  <c r="Q297" i="15" a="1"/>
  <c r="Q297" i="15"/>
  <c r="P298" i="15"/>
  <c r="R298" i="15" s="1"/>
  <c r="U298" i="15" s="1"/>
  <c r="W298" i="15" s="1"/>
  <c r="X298" i="15" s="1"/>
  <c r="Q298" i="15" a="1"/>
  <c r="Q298" i="15"/>
  <c r="P299" i="15"/>
  <c r="R299" i="15" s="1"/>
  <c r="U299" i="15" s="1"/>
  <c r="W299" i="15" s="1"/>
  <c r="X299" i="15" s="1"/>
  <c r="Q299" i="15" a="1"/>
  <c r="Q299" i="15" s="1"/>
  <c r="P300" i="15"/>
  <c r="Q300" i="15" a="1"/>
  <c r="Q300" i="15"/>
  <c r="R300" i="15"/>
  <c r="U300" i="15" s="1"/>
  <c r="W300" i="15" s="1"/>
  <c r="X300" i="15" s="1"/>
  <c r="P301" i="15"/>
  <c r="R301" i="15" s="1"/>
  <c r="U301" i="15" s="1"/>
  <c r="W301" i="15" s="1"/>
  <c r="X301" i="15" s="1"/>
  <c r="Q301" i="15" a="1"/>
  <c r="Q301" i="15" s="1"/>
  <c r="P302" i="15"/>
  <c r="R302" i="15" s="1"/>
  <c r="U302" i="15" s="1"/>
  <c r="W302" i="15" s="1"/>
  <c r="X302" i="15" s="1"/>
  <c r="Q302" i="15" a="1"/>
  <c r="Q302" i="15" s="1"/>
  <c r="P303" i="15"/>
  <c r="R303" i="15" s="1"/>
  <c r="U303" i="15" s="1"/>
  <c r="W303" i="15" s="1"/>
  <c r="X303" i="15" s="1"/>
  <c r="Q303" i="15" a="1"/>
  <c r="Q303" i="15" s="1"/>
  <c r="P304" i="15"/>
  <c r="R304" i="15" s="1"/>
  <c r="U304" i="15" s="1"/>
  <c r="W304" i="15" s="1"/>
  <c r="X304" i="15" s="1"/>
  <c r="Q304" i="15" a="1"/>
  <c r="Q304" i="15"/>
  <c r="P305" i="15"/>
  <c r="Q305" i="15" a="1"/>
  <c r="Q305" i="15" s="1"/>
  <c r="R305" i="15"/>
  <c r="U305" i="15" s="1"/>
  <c r="W305" i="15" s="1"/>
  <c r="X305" i="15" s="1"/>
  <c r="P306" i="15"/>
  <c r="R306" i="15" s="1"/>
  <c r="U306" i="15" s="1"/>
  <c r="W306" i="15" s="1"/>
  <c r="X306" i="15" s="1"/>
  <c r="Q306" i="15" a="1"/>
  <c r="Q306" i="15" s="1"/>
  <c r="P307" i="15"/>
  <c r="R307" i="15" s="1"/>
  <c r="U307" i="15" s="1"/>
  <c r="W307" i="15" s="1"/>
  <c r="X307" i="15" s="1"/>
  <c r="Q307" i="15" a="1"/>
  <c r="Q307" i="15" s="1"/>
  <c r="P308" i="15"/>
  <c r="Q308" i="15" a="1"/>
  <c r="Q308" i="15"/>
  <c r="R308" i="15"/>
  <c r="U308" i="15" s="1"/>
  <c r="W308" i="15" s="1"/>
  <c r="X308" i="15" s="1"/>
  <c r="P309" i="15"/>
  <c r="R309" i="15" s="1"/>
  <c r="U309" i="15" s="1"/>
  <c r="W309" i="15" s="1"/>
  <c r="X309" i="15" s="1"/>
  <c r="Q309" i="15" a="1"/>
  <c r="Q309" i="15" s="1"/>
  <c r="P310" i="15"/>
  <c r="R310" i="15" s="1"/>
  <c r="U310" i="15" s="1"/>
  <c r="W310" i="15" s="1"/>
  <c r="X310" i="15" s="1"/>
  <c r="Q310" i="15" a="1"/>
  <c r="Q310" i="15" s="1"/>
  <c r="P311" i="15"/>
  <c r="R311" i="15" s="1"/>
  <c r="U311" i="15" s="1"/>
  <c r="W311" i="15" s="1"/>
  <c r="X311" i="15" s="1"/>
  <c r="Q311" i="15" a="1"/>
  <c r="Q311" i="15" s="1"/>
  <c r="P312" i="15"/>
  <c r="R312" i="15" s="1"/>
  <c r="U312" i="15" s="1"/>
  <c r="W312" i="15" s="1"/>
  <c r="X312" i="15" s="1"/>
  <c r="Q312" i="15" a="1"/>
  <c r="Q312" i="15" s="1"/>
  <c r="P313" i="15"/>
  <c r="R313" i="15" s="1"/>
  <c r="U313" i="15" s="1"/>
  <c r="W313" i="15" s="1"/>
  <c r="X313" i="15" s="1"/>
  <c r="Q313" i="15" a="1"/>
  <c r="Q313" i="15" s="1"/>
  <c r="P314" i="15"/>
  <c r="R314" i="15" s="1"/>
  <c r="U314" i="15" s="1"/>
  <c r="W314" i="15" s="1"/>
  <c r="X314" i="15" s="1"/>
  <c r="Q314" i="15" a="1"/>
  <c r="Q314" i="15" s="1"/>
  <c r="P315" i="15"/>
  <c r="R315" i="15" s="1"/>
  <c r="U315" i="15" s="1"/>
  <c r="W315" i="15" s="1"/>
  <c r="X315" i="15" s="1"/>
  <c r="Q315" i="15" a="1"/>
  <c r="Q315" i="15" s="1"/>
  <c r="P316" i="15"/>
  <c r="R316" i="15" s="1"/>
  <c r="U316" i="15" s="1"/>
  <c r="W316" i="15" s="1"/>
  <c r="X316" i="15" s="1"/>
  <c r="Q316" i="15" a="1"/>
  <c r="Q316" i="15" s="1"/>
  <c r="P317" i="15"/>
  <c r="R317" i="15" s="1"/>
  <c r="U317" i="15" s="1"/>
  <c r="W317" i="15" s="1"/>
  <c r="X317" i="15" s="1"/>
  <c r="Q317" i="15" a="1"/>
  <c r="Q317" i="15" s="1"/>
  <c r="P318" i="15"/>
  <c r="R318" i="15" s="1"/>
  <c r="U318" i="15" s="1"/>
  <c r="W318" i="15" s="1"/>
  <c r="X318" i="15" s="1"/>
  <c r="Q318" i="15" a="1"/>
  <c r="Q318" i="15"/>
  <c r="P319" i="15"/>
  <c r="R319" i="15" s="1"/>
  <c r="U319" i="15" s="1"/>
  <c r="W319" i="15" s="1"/>
  <c r="X319" i="15" s="1"/>
  <c r="Q319" i="15" a="1"/>
  <c r="Q319" i="15"/>
  <c r="P320" i="15"/>
  <c r="R320" i="15" s="1"/>
  <c r="U320" i="15" s="1"/>
  <c r="W320" i="15" s="1"/>
  <c r="X320" i="15" s="1"/>
  <c r="Q320" i="15" a="1"/>
  <c r="Q320" i="15" s="1"/>
  <c r="P321" i="15"/>
  <c r="R321" i="15" s="1"/>
  <c r="U321" i="15" s="1"/>
  <c r="W321" i="15" s="1"/>
  <c r="X321" i="15" s="1"/>
  <c r="Q321" i="15" a="1"/>
  <c r="Q321" i="15" s="1"/>
  <c r="P322" i="15"/>
  <c r="R322" i="15" s="1"/>
  <c r="U322" i="15" s="1"/>
  <c r="W322" i="15" s="1"/>
  <c r="X322" i="15" s="1"/>
  <c r="Q322" i="15" a="1"/>
  <c r="Q322" i="15" s="1"/>
  <c r="P323" i="15"/>
  <c r="R323" i="15" s="1"/>
  <c r="U323" i="15" s="1"/>
  <c r="W323" i="15" s="1"/>
  <c r="X323" i="15" s="1"/>
  <c r="Q323" i="15" a="1"/>
  <c r="Q323" i="15" s="1"/>
  <c r="P324" i="15"/>
  <c r="R324" i="15" s="1"/>
  <c r="Q324" i="15" a="1"/>
  <c r="Q324" i="15" s="1"/>
  <c r="P325" i="15"/>
  <c r="Q325" i="15" a="1"/>
  <c r="Q325" i="15"/>
  <c r="R325" i="15"/>
  <c r="U325" i="15" s="1"/>
  <c r="W325" i="15" s="1"/>
  <c r="X325" i="15" s="1"/>
  <c r="P326" i="15"/>
  <c r="R326" i="15" s="1"/>
  <c r="U326" i="15" s="1"/>
  <c r="W326" i="15" s="1"/>
  <c r="X326" i="15" s="1"/>
  <c r="Q326" i="15" a="1"/>
  <c r="Q326" i="15"/>
  <c r="P327" i="15"/>
  <c r="R327" i="15" s="1"/>
  <c r="U327" i="15" s="1"/>
  <c r="W327" i="15" s="1"/>
  <c r="X327" i="15" s="1"/>
  <c r="Q327" i="15" a="1"/>
  <c r="Q327" i="15" s="1"/>
  <c r="P328" i="15"/>
  <c r="Q328" i="15" a="1"/>
  <c r="Q328" i="15"/>
  <c r="R328" i="15"/>
  <c r="U328" i="15" s="1"/>
  <c r="W328" i="15" s="1"/>
  <c r="X328" i="15" s="1"/>
  <c r="P329" i="15"/>
  <c r="R329" i="15" s="1"/>
  <c r="U329" i="15" s="1"/>
  <c r="W329" i="15" s="1"/>
  <c r="X329" i="15" s="1"/>
  <c r="Q329" i="15" a="1"/>
  <c r="Q329" i="15" s="1"/>
  <c r="P330" i="15"/>
  <c r="R330" i="15" s="1"/>
  <c r="U330" i="15" s="1"/>
  <c r="W330" i="15" s="1"/>
  <c r="X330" i="15" s="1"/>
  <c r="Q330" i="15" a="1"/>
  <c r="Q330" i="15" s="1"/>
  <c r="P331" i="15"/>
  <c r="R331" i="15" s="1"/>
  <c r="Q331" i="15" a="1"/>
  <c r="Q331" i="15"/>
  <c r="P332" i="15"/>
  <c r="R332" i="15" s="1"/>
  <c r="U332" i="15" s="1"/>
  <c r="W332" i="15" s="1"/>
  <c r="X332" i="15" s="1"/>
  <c r="Q332" i="15" a="1"/>
  <c r="Q332" i="15" s="1"/>
  <c r="P333" i="15"/>
  <c r="R333" i="15" s="1"/>
  <c r="U333" i="15" s="1"/>
  <c r="W333" i="15" s="1"/>
  <c r="X333" i="15" s="1"/>
  <c r="Q333" i="15" a="1"/>
  <c r="Q333" i="15" s="1"/>
  <c r="P334" i="15"/>
  <c r="Q334" i="15" a="1"/>
  <c r="Q334" i="15" s="1"/>
  <c r="R334" i="15"/>
  <c r="U334" i="15" s="1"/>
  <c r="W334" i="15" s="1"/>
  <c r="X334" i="15" s="1"/>
  <c r="P335" i="15"/>
  <c r="R335" i="15" s="1"/>
  <c r="U335" i="15" s="1"/>
  <c r="W335" i="15" s="1"/>
  <c r="X335" i="15" s="1"/>
  <c r="Q335" i="15" a="1"/>
  <c r="Q335" i="15" s="1"/>
  <c r="P336" i="15"/>
  <c r="R336" i="15" s="1"/>
  <c r="U336" i="15" s="1"/>
  <c r="W336" i="15" s="1"/>
  <c r="X336" i="15" s="1"/>
  <c r="Q336" i="15" a="1"/>
  <c r="Q336" i="15" s="1"/>
  <c r="P337" i="15"/>
  <c r="R337" i="15" s="1"/>
  <c r="U337" i="15" s="1"/>
  <c r="W337" i="15" s="1"/>
  <c r="X337" i="15" s="1"/>
  <c r="Q337" i="15" a="1"/>
  <c r="Q337" i="15"/>
  <c r="P338" i="15"/>
  <c r="Q338" i="15" a="1"/>
  <c r="Q338" i="15" s="1"/>
  <c r="R338" i="15"/>
  <c r="U338" i="15" s="1"/>
  <c r="W338" i="15" s="1"/>
  <c r="X338" i="15" s="1"/>
  <c r="P339" i="15"/>
  <c r="Q339" i="15" a="1"/>
  <c r="Q339" i="15" s="1"/>
  <c r="R339" i="15"/>
  <c r="U339" i="15" s="1"/>
  <c r="W339" i="15" s="1"/>
  <c r="X339" i="15" s="1"/>
  <c r="P340" i="15"/>
  <c r="R340" i="15" s="1"/>
  <c r="U340" i="15" s="1"/>
  <c r="W340" i="15" s="1"/>
  <c r="X340" i="15" s="1"/>
  <c r="Q340" i="15" a="1"/>
  <c r="Q340" i="15" s="1"/>
  <c r="P341" i="15"/>
  <c r="R341" i="15" s="1"/>
  <c r="U341" i="15" s="1"/>
  <c r="W341" i="15" s="1"/>
  <c r="X341" i="15" s="1"/>
  <c r="Q341" i="15" a="1"/>
  <c r="Q341" i="15" s="1"/>
  <c r="P342" i="15"/>
  <c r="R342" i="15" s="1"/>
  <c r="U342" i="15" s="1"/>
  <c r="W342" i="15" s="1"/>
  <c r="X342" i="15" s="1"/>
  <c r="Q342" i="15" a="1"/>
  <c r="Q342" i="15"/>
  <c r="P343" i="15"/>
  <c r="R343" i="15" s="1"/>
  <c r="U343" i="15" s="1"/>
  <c r="W343" i="15" s="1"/>
  <c r="X343" i="15" s="1"/>
  <c r="Q343" i="15" a="1"/>
  <c r="Q343" i="15" s="1"/>
  <c r="P344" i="15"/>
  <c r="R344" i="15" s="1"/>
  <c r="U344" i="15" s="1"/>
  <c r="W344" i="15" s="1"/>
  <c r="X344" i="15" s="1"/>
  <c r="Q344" i="15" a="1"/>
  <c r="Q344" i="15" s="1"/>
  <c r="P345" i="15"/>
  <c r="R345" i="15" s="1"/>
  <c r="U345" i="15" s="1"/>
  <c r="W345" i="15" s="1"/>
  <c r="X345" i="15" s="1"/>
  <c r="Q345" i="15" a="1"/>
  <c r="Q345" i="15" s="1"/>
  <c r="P346" i="15"/>
  <c r="R346" i="15" s="1"/>
  <c r="U346" i="15" s="1"/>
  <c r="W346" i="15" s="1"/>
  <c r="X346" i="15" s="1"/>
  <c r="Q346" i="15" a="1"/>
  <c r="Q346" i="15" s="1"/>
  <c r="P347" i="15"/>
  <c r="R347" i="15" s="1"/>
  <c r="U347" i="15" s="1"/>
  <c r="W347" i="15" s="1"/>
  <c r="X347" i="15" s="1"/>
  <c r="Q347" i="15" a="1"/>
  <c r="Q347" i="15" s="1"/>
  <c r="P348" i="15"/>
  <c r="R348" i="15" s="1"/>
  <c r="U348" i="15" s="1"/>
  <c r="W348" i="15" s="1"/>
  <c r="X348" i="15" s="1"/>
  <c r="Q348" i="15" a="1"/>
  <c r="Q348" i="15"/>
  <c r="P349" i="15"/>
  <c r="R349" i="15" s="1"/>
  <c r="U349" i="15" s="1"/>
  <c r="W349" i="15" s="1"/>
  <c r="X349" i="15" s="1"/>
  <c r="Q349" i="15" a="1"/>
  <c r="Q349" i="15" s="1"/>
  <c r="P350" i="15"/>
  <c r="R350" i="15" s="1"/>
  <c r="U350" i="15" s="1"/>
  <c r="W350" i="15" s="1"/>
  <c r="X350" i="15" s="1"/>
  <c r="Q350" i="15" a="1"/>
  <c r="Q350" i="15" s="1"/>
  <c r="P351" i="15"/>
  <c r="R351" i="15" s="1"/>
  <c r="U351" i="15" s="1"/>
  <c r="W351" i="15" s="1"/>
  <c r="X351" i="15" s="1"/>
  <c r="Q351" i="15" a="1"/>
  <c r="Q351" i="15"/>
  <c r="P352" i="15"/>
  <c r="R352" i="15" s="1"/>
  <c r="U352" i="15" s="1"/>
  <c r="W352" i="15" s="1"/>
  <c r="X352" i="15" s="1"/>
  <c r="Q352" i="15" a="1"/>
  <c r="Q352" i="15"/>
  <c r="P353" i="15"/>
  <c r="R353" i="15" s="1"/>
  <c r="U353" i="15" s="1"/>
  <c r="W353" i="15" s="1"/>
  <c r="X353" i="15" s="1"/>
  <c r="Q353" i="15" a="1"/>
  <c r="Q353" i="15"/>
  <c r="P354" i="15"/>
  <c r="R354" i="15" s="1"/>
  <c r="U354" i="15" s="1"/>
  <c r="W354" i="15" s="1"/>
  <c r="X354" i="15" s="1"/>
  <c r="Q354" i="15" a="1"/>
  <c r="Q354" i="15" s="1"/>
  <c r="P355" i="15"/>
  <c r="R355" i="15" s="1"/>
  <c r="U355" i="15" s="1"/>
  <c r="W355" i="15" s="1"/>
  <c r="X355" i="15" s="1"/>
  <c r="Q355" i="15" a="1"/>
  <c r="Q355" i="15"/>
  <c r="P356" i="15"/>
  <c r="R356" i="15" s="1"/>
  <c r="U356" i="15" s="1"/>
  <c r="W356" i="15" s="1"/>
  <c r="X356" i="15" s="1"/>
  <c r="Q356" i="15" a="1"/>
  <c r="Q356" i="15" s="1"/>
  <c r="P357" i="15"/>
  <c r="R357" i="15" s="1"/>
  <c r="Q357" i="15" a="1"/>
  <c r="Q357" i="15" s="1"/>
  <c r="P358" i="15"/>
  <c r="Q358" i="15" a="1"/>
  <c r="Q358" i="15" s="1"/>
  <c r="R358" i="15"/>
  <c r="U358" i="15" s="1"/>
  <c r="W358" i="15" s="1"/>
  <c r="X358" i="15" s="1"/>
  <c r="P359" i="15"/>
  <c r="R359" i="15" s="1"/>
  <c r="U359" i="15" s="1"/>
  <c r="W359" i="15" s="1"/>
  <c r="X359" i="15" s="1"/>
  <c r="Q359" i="15" a="1"/>
  <c r="Q359" i="15" s="1"/>
  <c r="P360" i="15"/>
  <c r="Q360" i="15" a="1"/>
  <c r="Q360" i="15" s="1"/>
  <c r="R360" i="15"/>
  <c r="U360" i="15" s="1"/>
  <c r="W360" i="15" s="1"/>
  <c r="X360" i="15" s="1"/>
  <c r="P361" i="15"/>
  <c r="Q361" i="15" a="1"/>
  <c r="Q361" i="15" s="1"/>
  <c r="R361" i="15"/>
  <c r="U361" i="15" s="1"/>
  <c r="W361" i="15" s="1"/>
  <c r="X361" i="15" s="1"/>
  <c r="P362" i="15"/>
  <c r="R362" i="15" s="1"/>
  <c r="U362" i="15" s="1"/>
  <c r="W362" i="15" s="1"/>
  <c r="X362" i="15" s="1"/>
  <c r="Q362" i="15" a="1"/>
  <c r="Q362" i="15" s="1"/>
  <c r="P363" i="15"/>
  <c r="Q363" i="15" a="1"/>
  <c r="Q363" i="15"/>
  <c r="R363" i="15"/>
  <c r="U363" i="15" s="1"/>
  <c r="W363" i="15" s="1"/>
  <c r="X363" i="15" s="1"/>
  <c r="P364" i="15"/>
  <c r="R364" i="15" s="1"/>
  <c r="U364" i="15" s="1"/>
  <c r="W364" i="15" s="1"/>
  <c r="X364" i="15" s="1"/>
  <c r="Q364" i="15" a="1"/>
  <c r="Q364" i="15" s="1"/>
  <c r="P365" i="15"/>
  <c r="R365" i="15" s="1"/>
  <c r="U365" i="15" s="1"/>
  <c r="W365" i="15" s="1"/>
  <c r="X365" i="15" s="1"/>
  <c r="Q365" i="15" a="1"/>
  <c r="Q365" i="15" s="1"/>
  <c r="P366" i="15"/>
  <c r="R366" i="15" s="1"/>
  <c r="U366" i="15" s="1"/>
  <c r="W366" i="15" s="1"/>
  <c r="X366" i="15" s="1"/>
  <c r="Q366" i="15" a="1"/>
  <c r="Q366" i="15" s="1"/>
  <c r="P367" i="15"/>
  <c r="R367" i="15" s="1"/>
  <c r="U367" i="15" s="1"/>
  <c r="W367" i="15" s="1"/>
  <c r="X367" i="15" s="1"/>
  <c r="Q367" i="15" a="1"/>
  <c r="Q367" i="15" s="1"/>
  <c r="P368" i="15"/>
  <c r="R368" i="15" s="1"/>
  <c r="U368" i="15" s="1"/>
  <c r="W368" i="15" s="1"/>
  <c r="X368" i="15" s="1"/>
  <c r="Q368" i="15" a="1"/>
  <c r="Q368" i="15" s="1"/>
  <c r="P369" i="15"/>
  <c r="R369" i="15" s="1"/>
  <c r="U369" i="15" s="1"/>
  <c r="W369" i="15" s="1"/>
  <c r="X369" i="15" s="1"/>
  <c r="Q369" i="15" a="1"/>
  <c r="Q369" i="15"/>
  <c r="P370" i="15"/>
  <c r="R370" i="15" s="1"/>
  <c r="U370" i="15" s="1"/>
  <c r="W370" i="15" s="1"/>
  <c r="X370" i="15" s="1"/>
  <c r="Q370" i="15" a="1"/>
  <c r="Q370" i="15"/>
  <c r="P371" i="15"/>
  <c r="Q371" i="15" a="1"/>
  <c r="Q371" i="15" s="1"/>
  <c r="R371" i="15"/>
  <c r="U371" i="15" s="1"/>
  <c r="W371" i="15" s="1"/>
  <c r="X371" i="15" s="1"/>
  <c r="P372" i="15"/>
  <c r="Q372" i="15" a="1"/>
  <c r="Q372" i="15" s="1"/>
  <c r="R372" i="15"/>
  <c r="U372" i="15" s="1"/>
  <c r="W372" i="15" s="1"/>
  <c r="X372" i="15" s="1"/>
  <c r="P373" i="15"/>
  <c r="R373" i="15" s="1"/>
  <c r="U373" i="15" s="1"/>
  <c r="W373" i="15" s="1"/>
  <c r="X373" i="15" s="1"/>
  <c r="Q373" i="15" a="1"/>
  <c r="Q373" i="15" s="1"/>
  <c r="P374" i="15"/>
  <c r="Q374" i="15" a="1"/>
  <c r="Q374" i="15"/>
  <c r="R374" i="15"/>
  <c r="U374" i="15" s="1"/>
  <c r="W374" i="15" s="1"/>
  <c r="X374" i="15" s="1"/>
  <c r="P375" i="15"/>
  <c r="R375" i="15" s="1"/>
  <c r="U375" i="15" s="1"/>
  <c r="W375" i="15" s="1"/>
  <c r="X375" i="15" s="1"/>
  <c r="Q375" i="15" a="1"/>
  <c r="Q375" i="15"/>
  <c r="P376" i="15"/>
  <c r="R376" i="15" s="1"/>
  <c r="U376" i="15" s="1"/>
  <c r="W376" i="15" s="1"/>
  <c r="X376" i="15" s="1"/>
  <c r="Q376" i="15" a="1"/>
  <c r="Q376" i="15" s="1"/>
  <c r="P377" i="15"/>
  <c r="R377" i="15" s="1"/>
  <c r="U377" i="15" s="1"/>
  <c r="W377" i="15" s="1"/>
  <c r="X377" i="15" s="1"/>
  <c r="Q377" i="15" a="1"/>
  <c r="Q377" i="15" s="1"/>
  <c r="P378" i="15"/>
  <c r="R378" i="15" s="1"/>
  <c r="U378" i="15" s="1"/>
  <c r="W378" i="15" s="1"/>
  <c r="X378" i="15" s="1"/>
  <c r="Q378" i="15" a="1"/>
  <c r="Q378" i="15" s="1"/>
  <c r="P379" i="15"/>
  <c r="R379" i="15" s="1"/>
  <c r="U379" i="15" s="1"/>
  <c r="W379" i="15" s="1"/>
  <c r="X379" i="15" s="1"/>
  <c r="Q379" i="15" a="1"/>
  <c r="Q379" i="15" s="1"/>
  <c r="P380" i="15"/>
  <c r="R380" i="15" s="1"/>
  <c r="U380" i="15" s="1"/>
  <c r="W380" i="15" s="1"/>
  <c r="X380" i="15" s="1"/>
  <c r="Q380" i="15" a="1"/>
  <c r="Q380" i="15"/>
  <c r="P381" i="15"/>
  <c r="R381" i="15" s="1"/>
  <c r="U381" i="15" s="1"/>
  <c r="W381" i="15" s="1"/>
  <c r="X381" i="15" s="1"/>
  <c r="Q381" i="15" a="1"/>
  <c r="Q381" i="15" s="1"/>
  <c r="P382" i="15"/>
  <c r="Q382" i="15" a="1"/>
  <c r="Q382" i="15" s="1"/>
  <c r="R382" i="15"/>
  <c r="U382" i="15" s="1"/>
  <c r="W382" i="15" s="1"/>
  <c r="X382" i="15" s="1"/>
  <c r="P383" i="15"/>
  <c r="R383" i="15" s="1"/>
  <c r="U383" i="15" s="1"/>
  <c r="W383" i="15" s="1"/>
  <c r="X383" i="15" s="1"/>
  <c r="Q383" i="15" a="1"/>
  <c r="Q383" i="15" s="1"/>
  <c r="P384" i="15"/>
  <c r="R384" i="15" s="1"/>
  <c r="U384" i="15" s="1"/>
  <c r="W384" i="15" s="1"/>
  <c r="X384" i="15" s="1"/>
  <c r="Q384" i="15" a="1"/>
  <c r="Q384" i="15"/>
  <c r="P385" i="15"/>
  <c r="Q385" i="15" a="1"/>
  <c r="Q385" i="15"/>
  <c r="R385" i="15"/>
  <c r="U385" i="15" s="1"/>
  <c r="W385" i="15" s="1"/>
  <c r="X385" i="15" s="1"/>
  <c r="P386" i="15"/>
  <c r="R386" i="15" s="1"/>
  <c r="U386" i="15" s="1"/>
  <c r="W386" i="15" s="1"/>
  <c r="X386" i="15" s="1"/>
  <c r="Q386" i="15" a="1"/>
  <c r="Q386" i="15" s="1"/>
  <c r="P387" i="15"/>
  <c r="R387" i="15" s="1"/>
  <c r="U387" i="15" s="1"/>
  <c r="W387" i="15" s="1"/>
  <c r="X387" i="15" s="1"/>
  <c r="Q387" i="15" a="1"/>
  <c r="Q387" i="15" s="1"/>
  <c r="P388" i="15"/>
  <c r="R388" i="15" s="1"/>
  <c r="U388" i="15" s="1"/>
  <c r="W388" i="15" s="1"/>
  <c r="X388" i="15" s="1"/>
  <c r="Q388" i="15" a="1"/>
  <c r="Q388" i="15" s="1"/>
  <c r="P389" i="15"/>
  <c r="R389" i="15" s="1"/>
  <c r="U389" i="15" s="1"/>
  <c r="W389" i="15" s="1"/>
  <c r="X389" i="15" s="1"/>
  <c r="Q389" i="15" a="1"/>
  <c r="Q389" i="15" s="1"/>
  <c r="P390" i="15"/>
  <c r="R390" i="15" s="1"/>
  <c r="U390" i="15" s="1"/>
  <c r="W390" i="15" s="1"/>
  <c r="X390" i="15" s="1"/>
  <c r="Q390" i="15" a="1"/>
  <c r="Q390" i="15" s="1"/>
  <c r="P391" i="15"/>
  <c r="R391" i="15" s="1"/>
  <c r="U391" i="15" s="1"/>
  <c r="W391" i="15" s="1"/>
  <c r="X391" i="15" s="1"/>
  <c r="Q391" i="15" a="1"/>
  <c r="Q391" i="15" s="1"/>
  <c r="P392" i="15"/>
  <c r="R392" i="15" s="1"/>
  <c r="U392" i="15" s="1"/>
  <c r="W392" i="15" s="1"/>
  <c r="X392" i="15" s="1"/>
  <c r="Q392" i="15" a="1"/>
  <c r="Q392" i="15" s="1"/>
  <c r="P393" i="15"/>
  <c r="Q393" i="15" a="1"/>
  <c r="Q393" i="15" s="1"/>
  <c r="R393" i="15"/>
  <c r="U393" i="15" s="1"/>
  <c r="W393" i="15" s="1"/>
  <c r="X393" i="15" s="1"/>
  <c r="P394" i="15"/>
  <c r="R394" i="15" s="1"/>
  <c r="U394" i="15" s="1"/>
  <c r="W394" i="15" s="1"/>
  <c r="X394" i="15" s="1"/>
  <c r="Q394" i="15" a="1"/>
  <c r="Q394" i="15" s="1"/>
  <c r="P395" i="15"/>
  <c r="R395" i="15" s="1"/>
  <c r="U395" i="15" s="1"/>
  <c r="W395" i="15" s="1"/>
  <c r="X395" i="15" s="1"/>
  <c r="Q395" i="15" a="1"/>
  <c r="Q395" i="15" s="1"/>
  <c r="P396" i="15"/>
  <c r="Q396" i="15" a="1"/>
  <c r="Q396" i="15"/>
  <c r="R396" i="15"/>
  <c r="U396" i="15" s="1"/>
  <c r="W396" i="15" s="1"/>
  <c r="X396" i="15" s="1"/>
  <c r="P397" i="15"/>
  <c r="R397" i="15" s="1"/>
  <c r="U397" i="15" s="1"/>
  <c r="W397" i="15" s="1"/>
  <c r="X397" i="15" s="1"/>
  <c r="Q397" i="15" a="1"/>
  <c r="Q397" i="15" s="1"/>
  <c r="P398" i="15"/>
  <c r="R398" i="15" s="1"/>
  <c r="U398" i="15" s="1"/>
  <c r="W398" i="15" s="1"/>
  <c r="X398" i="15" s="1"/>
  <c r="Q398" i="15" a="1"/>
  <c r="Q398" i="15" s="1"/>
  <c r="P399" i="15"/>
  <c r="R399" i="15" s="1"/>
  <c r="U399" i="15" s="1"/>
  <c r="W399" i="15" s="1"/>
  <c r="X399" i="15" s="1"/>
  <c r="Q399" i="15" a="1"/>
  <c r="Q399" i="15" s="1"/>
  <c r="P400" i="15"/>
  <c r="Q400" i="15" a="1"/>
  <c r="Q400" i="15" s="1"/>
  <c r="R400" i="15"/>
  <c r="U400" i="15" s="1"/>
  <c r="W400" i="15" s="1"/>
  <c r="X400" i="15" s="1"/>
  <c r="P401" i="15"/>
  <c r="R401" i="15" s="1"/>
  <c r="U401" i="15" s="1"/>
  <c r="W401" i="15" s="1"/>
  <c r="X401" i="15" s="1"/>
  <c r="Q401" i="15" a="1"/>
  <c r="Q401" i="15" s="1"/>
  <c r="P402" i="15"/>
  <c r="R402" i="15" s="1"/>
  <c r="U402" i="15" s="1"/>
  <c r="W402" i="15" s="1"/>
  <c r="X402" i="15" s="1"/>
  <c r="Q402" i="15" a="1"/>
  <c r="Q402" i="15" s="1"/>
  <c r="P403" i="15"/>
  <c r="Q403" i="15" a="1"/>
  <c r="Q403" i="15"/>
  <c r="R403" i="15"/>
  <c r="U403" i="15" s="1"/>
  <c r="W403" i="15" s="1"/>
  <c r="X403" i="15" s="1"/>
  <c r="P404" i="15"/>
  <c r="Q404" i="15" a="1"/>
  <c r="Q404" i="15" s="1"/>
  <c r="R404" i="15"/>
  <c r="U404" i="15" s="1"/>
  <c r="W404" i="15" s="1"/>
  <c r="X404" i="15" s="1"/>
  <c r="P405" i="15"/>
  <c r="R405" i="15" s="1"/>
  <c r="U405" i="15" s="1"/>
  <c r="W405" i="15" s="1"/>
  <c r="X405" i="15" s="1"/>
  <c r="Q405" i="15" a="1"/>
  <c r="Q405" i="15" s="1"/>
  <c r="P406" i="15"/>
  <c r="Q406" i="15" a="1"/>
  <c r="Q406" i="15" s="1"/>
  <c r="R406" i="15"/>
  <c r="P407" i="15"/>
  <c r="Q407" i="15" a="1"/>
  <c r="Q407" i="15" s="1"/>
  <c r="R407" i="15"/>
  <c r="U407" i="15" s="1"/>
  <c r="W407" i="15" s="1"/>
  <c r="X407" i="15" s="1"/>
  <c r="P408" i="15"/>
  <c r="R408" i="15" s="1"/>
  <c r="U408" i="15" s="1"/>
  <c r="W408" i="15" s="1"/>
  <c r="X408" i="15" s="1"/>
  <c r="Q408" i="15" a="1"/>
  <c r="Q408" i="15" s="1"/>
  <c r="P409" i="15"/>
  <c r="R409" i="15" s="1"/>
  <c r="Q409" i="15" a="1"/>
  <c r="Q409" i="15" s="1"/>
  <c r="P410" i="15"/>
  <c r="Q410" i="15" a="1"/>
  <c r="Q410" i="15" s="1"/>
  <c r="R410" i="15"/>
  <c r="U410" i="15" s="1"/>
  <c r="W410" i="15" s="1"/>
  <c r="X410" i="15" s="1"/>
  <c r="P411" i="15"/>
  <c r="Q411" i="15" a="1"/>
  <c r="Q411" i="15" s="1"/>
  <c r="R411" i="15"/>
  <c r="U411" i="15" s="1"/>
  <c r="W411" i="15" s="1"/>
  <c r="X411" i="15" s="1"/>
  <c r="P412" i="15"/>
  <c r="R412" i="15" s="1"/>
  <c r="U412" i="15" s="1"/>
  <c r="W412" i="15" s="1"/>
  <c r="X412" i="15" s="1"/>
  <c r="Q412" i="15" a="1"/>
  <c r="Q412" i="15" s="1"/>
  <c r="P413" i="15"/>
  <c r="R413" i="15" s="1"/>
  <c r="U413" i="15" s="1"/>
  <c r="W413" i="15" s="1"/>
  <c r="X413" i="15" s="1"/>
  <c r="Q413" i="15" a="1"/>
  <c r="Q413" i="15"/>
  <c r="P414" i="15"/>
  <c r="Q414" i="15" a="1"/>
  <c r="Q414" i="15"/>
  <c r="R414" i="15"/>
  <c r="U414" i="15" s="1"/>
  <c r="W414" i="15" s="1"/>
  <c r="X414" i="15" s="1"/>
  <c r="P415" i="15"/>
  <c r="R415" i="15" s="1"/>
  <c r="U415" i="15" s="1"/>
  <c r="W415" i="15" s="1"/>
  <c r="X415" i="15" s="1"/>
  <c r="Q415" i="15" a="1"/>
  <c r="Q415" i="15" s="1"/>
  <c r="P416" i="15"/>
  <c r="R416" i="15" s="1"/>
  <c r="U416" i="15" s="1"/>
  <c r="W416" i="15" s="1"/>
  <c r="X416" i="15" s="1"/>
  <c r="Q416" i="15" a="1"/>
  <c r="Q416" i="15"/>
  <c r="P417" i="15"/>
  <c r="R417" i="15" s="1"/>
  <c r="U417" i="15" s="1"/>
  <c r="W417" i="15" s="1"/>
  <c r="X417" i="15" s="1"/>
  <c r="Q417" i="15" a="1"/>
  <c r="Q417" i="15" s="1"/>
  <c r="P418" i="15"/>
  <c r="Q418" i="15" a="1"/>
  <c r="Q418" i="15"/>
  <c r="R418" i="15"/>
  <c r="U418" i="15" s="1"/>
  <c r="W418" i="15" s="1"/>
  <c r="X418" i="15" s="1"/>
  <c r="P419" i="15"/>
  <c r="R419" i="15" s="1"/>
  <c r="U419" i="15" s="1"/>
  <c r="W419" i="15" s="1"/>
  <c r="X419" i="15" s="1"/>
  <c r="Q419" i="15" a="1"/>
  <c r="Q419" i="15" s="1"/>
  <c r="P420" i="15"/>
  <c r="R420" i="15" s="1"/>
  <c r="U420" i="15" s="1"/>
  <c r="W420" i="15" s="1"/>
  <c r="X420" i="15" s="1"/>
  <c r="Q420" i="15" a="1"/>
  <c r="Q420" i="15" s="1"/>
  <c r="P421" i="15"/>
  <c r="R421" i="15" s="1"/>
  <c r="U421" i="15" s="1"/>
  <c r="W421" i="15" s="1"/>
  <c r="X421" i="15" s="1"/>
  <c r="Q421" i="15" a="1"/>
  <c r="Q421" i="15" s="1"/>
  <c r="P422" i="15"/>
  <c r="R422" i="15" s="1"/>
  <c r="U422" i="15" s="1"/>
  <c r="W422" i="15" s="1"/>
  <c r="X422" i="15" s="1"/>
  <c r="Q422" i="15" a="1"/>
  <c r="Q422" i="15" s="1"/>
  <c r="P423" i="15"/>
  <c r="R423" i="15" s="1"/>
  <c r="U423" i="15" s="1"/>
  <c r="W423" i="15" s="1"/>
  <c r="X423" i="15" s="1"/>
  <c r="Q423" i="15" a="1"/>
  <c r="Q423" i="15" s="1"/>
  <c r="P424" i="15"/>
  <c r="R424" i="15" s="1"/>
  <c r="U424" i="15" s="1"/>
  <c r="W424" i="15" s="1"/>
  <c r="X424" i="15" s="1"/>
  <c r="Q424" i="15" a="1"/>
  <c r="Q424" i="15"/>
  <c r="P425" i="15"/>
  <c r="R425" i="15" s="1"/>
  <c r="U425" i="15" s="1"/>
  <c r="W425" i="15" s="1"/>
  <c r="X425" i="15" s="1"/>
  <c r="Q425" i="15" a="1"/>
  <c r="Q425" i="15" s="1"/>
  <c r="P426" i="15"/>
  <c r="Q426" i="15" a="1"/>
  <c r="Q426" i="15" s="1"/>
  <c r="R426" i="15"/>
  <c r="U426" i="15" s="1"/>
  <c r="W426" i="15" s="1"/>
  <c r="X426" i="15" s="1"/>
  <c r="P427" i="15"/>
  <c r="R427" i="15" s="1"/>
  <c r="U427" i="15" s="1"/>
  <c r="W427" i="15" s="1"/>
  <c r="X427" i="15" s="1"/>
  <c r="Q427" i="15" a="1"/>
  <c r="Q427" i="15" s="1"/>
  <c r="P428" i="15"/>
  <c r="R428" i="15" s="1"/>
  <c r="U428" i="15" s="1"/>
  <c r="W428" i="15" s="1"/>
  <c r="X428" i="15" s="1"/>
  <c r="Q428" i="15" a="1"/>
  <c r="Q428" i="15" s="1"/>
  <c r="P429" i="15"/>
  <c r="Q429" i="15" a="1"/>
  <c r="Q429" i="15"/>
  <c r="R429" i="15"/>
  <c r="U429" i="15" s="1"/>
  <c r="W429" i="15" s="1"/>
  <c r="X429" i="15" s="1"/>
  <c r="P430" i="15"/>
  <c r="R430" i="15" s="1"/>
  <c r="U430" i="15" s="1"/>
  <c r="W430" i="15" s="1"/>
  <c r="X430" i="15" s="1"/>
  <c r="Q430" i="15" a="1"/>
  <c r="Q430" i="15" s="1"/>
  <c r="P431" i="15"/>
  <c r="R431" i="15" s="1"/>
  <c r="U431" i="15" s="1"/>
  <c r="W431" i="15" s="1"/>
  <c r="X431" i="15" s="1"/>
  <c r="Q431" i="15" a="1"/>
  <c r="Q431" i="15"/>
  <c r="P432" i="15"/>
  <c r="Q432" i="15" a="1"/>
  <c r="Q432" i="15"/>
  <c r="R432" i="15"/>
  <c r="U432" i="15" s="1"/>
  <c r="W432" i="15" s="1"/>
  <c r="X432" i="15" s="1"/>
  <c r="P433" i="15"/>
  <c r="Q433" i="15" a="1"/>
  <c r="Q433" i="15" s="1"/>
  <c r="R433" i="15"/>
  <c r="U433" i="15" s="1"/>
  <c r="W433" i="15" s="1"/>
  <c r="X433" i="15" s="1"/>
  <c r="P434" i="15"/>
  <c r="R434" i="15" s="1"/>
  <c r="U434" i="15" s="1"/>
  <c r="W434" i="15" s="1"/>
  <c r="X434" i="15" s="1"/>
  <c r="Q434" i="15" a="1"/>
  <c r="Q434" i="15" s="1"/>
  <c r="P435" i="15"/>
  <c r="R435" i="15" s="1"/>
  <c r="U435" i="15" s="1"/>
  <c r="W435" i="15" s="1"/>
  <c r="X435" i="15" s="1"/>
  <c r="Q435" i="15" a="1"/>
  <c r="Q435" i="15" s="1"/>
  <c r="P436" i="15"/>
  <c r="R436" i="15" s="1"/>
  <c r="U436" i="15" s="1"/>
  <c r="W436" i="15" s="1"/>
  <c r="X436" i="15" s="1"/>
  <c r="Q436" i="15" a="1"/>
  <c r="Q436" i="15"/>
  <c r="P437" i="15"/>
  <c r="R437" i="15" s="1"/>
  <c r="U437" i="15" s="1"/>
  <c r="W437" i="15" s="1"/>
  <c r="X437" i="15" s="1"/>
  <c r="Q437" i="15" a="1"/>
  <c r="Q437" i="15" s="1"/>
  <c r="P438" i="15"/>
  <c r="R438" i="15" s="1"/>
  <c r="U438" i="15" s="1"/>
  <c r="W438" i="15" s="1"/>
  <c r="X438" i="15" s="1"/>
  <c r="Q438" i="15" a="1"/>
  <c r="Q438" i="15" s="1"/>
  <c r="P439" i="15"/>
  <c r="R439" i="15" s="1"/>
  <c r="U439" i="15" s="1"/>
  <c r="W439" i="15" s="1"/>
  <c r="X439" i="15" s="1"/>
  <c r="Q439" i="15" a="1"/>
  <c r="Q439" i="15" s="1"/>
  <c r="P440" i="15"/>
  <c r="Q440" i="15" a="1"/>
  <c r="Q440" i="15"/>
  <c r="R440" i="15"/>
  <c r="U440" i="15" s="1"/>
  <c r="W440" i="15" s="1"/>
  <c r="X440" i="15" s="1"/>
  <c r="P441" i="15"/>
  <c r="R441" i="15" s="1"/>
  <c r="U441" i="15" s="1"/>
  <c r="W441" i="15" s="1"/>
  <c r="X441" i="15" s="1"/>
  <c r="Q441" i="15" a="1"/>
  <c r="Q441" i="15" s="1"/>
  <c r="P442" i="15"/>
  <c r="R442" i="15" s="1"/>
  <c r="Q442" i="15" a="1"/>
  <c r="Q442" i="15" s="1"/>
  <c r="P443" i="15"/>
  <c r="R443" i="15" s="1"/>
  <c r="U443" i="15" s="1"/>
  <c r="W443" i="15" s="1"/>
  <c r="X443" i="15" s="1"/>
  <c r="Q443" i="15" a="1"/>
  <c r="Q443" i="15" s="1"/>
  <c r="P444" i="15"/>
  <c r="Q444" i="15" a="1"/>
  <c r="Q444" i="15" s="1"/>
  <c r="R444" i="15"/>
  <c r="U444" i="15" s="1"/>
  <c r="W444" i="15" s="1"/>
  <c r="X444" i="15" s="1"/>
  <c r="P445" i="15"/>
  <c r="R445" i="15" s="1"/>
  <c r="U445" i="15" s="1"/>
  <c r="W445" i="15" s="1"/>
  <c r="X445" i="15" s="1"/>
  <c r="Q445" i="15" a="1"/>
  <c r="Q445" i="15" s="1"/>
  <c r="P446" i="15"/>
  <c r="R446" i="15" s="1"/>
  <c r="U446" i="15" s="1"/>
  <c r="W446" i="15" s="1"/>
  <c r="X446" i="15" s="1"/>
  <c r="Q446" i="15" a="1"/>
  <c r="Q446" i="15" s="1"/>
  <c r="P447" i="15"/>
  <c r="R447" i="15" s="1"/>
  <c r="U447" i="15" s="1"/>
  <c r="W447" i="15" s="1"/>
  <c r="X447" i="15" s="1"/>
  <c r="Q447" i="15" a="1"/>
  <c r="Q447" i="15"/>
  <c r="P448" i="15"/>
  <c r="Q448" i="15" a="1"/>
  <c r="Q448" i="15" s="1"/>
  <c r="R448" i="15"/>
  <c r="U448" i="15" s="1"/>
  <c r="W448" i="15" s="1"/>
  <c r="X448" i="15" s="1"/>
  <c r="P449" i="15"/>
  <c r="R449" i="15" s="1"/>
  <c r="U449" i="15" s="1"/>
  <c r="W449" i="15" s="1"/>
  <c r="X449" i="15" s="1"/>
  <c r="Q449" i="15" a="1"/>
  <c r="Q449" i="15" s="1"/>
  <c r="P450" i="15"/>
  <c r="R450" i="15" s="1"/>
  <c r="U450" i="15" s="1"/>
  <c r="W450" i="15" s="1"/>
  <c r="X450" i="15" s="1"/>
  <c r="Q450" i="15" a="1"/>
  <c r="Q450" i="15" s="1"/>
  <c r="P451" i="15"/>
  <c r="Q451" i="15" a="1"/>
  <c r="Q451" i="15"/>
  <c r="R451" i="15"/>
  <c r="U451" i="15" s="1"/>
  <c r="W451" i="15" s="1"/>
  <c r="X451" i="15" s="1"/>
  <c r="P452" i="15"/>
  <c r="R452" i="15" s="1"/>
  <c r="U452" i="15" s="1"/>
  <c r="W452" i="15" s="1"/>
  <c r="X452" i="15" s="1"/>
  <c r="Q452" i="15" a="1"/>
  <c r="Q452" i="15"/>
  <c r="P453" i="15"/>
  <c r="R453" i="15" s="1"/>
  <c r="U453" i="15" s="1"/>
  <c r="W453" i="15" s="1"/>
  <c r="X453" i="15" s="1"/>
  <c r="Q453" i="15" a="1"/>
  <c r="Q453" i="15" s="1"/>
  <c r="P454" i="15"/>
  <c r="R454" i="15" s="1"/>
  <c r="U454" i="15" s="1"/>
  <c r="W454" i="15" s="1"/>
  <c r="X454" i="15" s="1"/>
  <c r="Q454" i="15" a="1"/>
  <c r="Q454" i="15" s="1"/>
  <c r="P455" i="15"/>
  <c r="R455" i="15" s="1"/>
  <c r="U455" i="15" s="1"/>
  <c r="W455" i="15" s="1"/>
  <c r="X455" i="15" s="1"/>
  <c r="Q455" i="15" a="1"/>
  <c r="Q455" i="15" s="1"/>
  <c r="P456" i="15"/>
  <c r="R456" i="15" s="1"/>
  <c r="U456" i="15" s="1"/>
  <c r="W456" i="15" s="1"/>
  <c r="X456" i="15" s="1"/>
  <c r="Q456" i="15" a="1"/>
  <c r="Q456" i="15" s="1"/>
  <c r="P457" i="15"/>
  <c r="R457" i="15" s="1"/>
  <c r="U457" i="15" s="1"/>
  <c r="W457" i="15" s="1"/>
  <c r="X457" i="15" s="1"/>
  <c r="Q457" i="15" a="1"/>
  <c r="Q457" i="15"/>
  <c r="P458" i="15"/>
  <c r="R458" i="15" s="1"/>
  <c r="U458" i="15" s="1"/>
  <c r="W458" i="15" s="1"/>
  <c r="X458" i="15" s="1"/>
  <c r="Q458" i="15" a="1"/>
  <c r="Q458" i="15" s="1"/>
  <c r="P459" i="15"/>
  <c r="Q459" i="15" a="1"/>
  <c r="Q459" i="15" s="1"/>
  <c r="R459" i="15"/>
  <c r="U459" i="15" s="1"/>
  <c r="W459" i="15" s="1"/>
  <c r="X459" i="15" s="1"/>
  <c r="P460" i="15"/>
  <c r="R460" i="15" s="1"/>
  <c r="U460" i="15" s="1"/>
  <c r="W460" i="15" s="1"/>
  <c r="X460" i="15" s="1"/>
  <c r="Q460" i="15" a="1"/>
  <c r="Q460" i="15" s="1"/>
  <c r="P461" i="15"/>
  <c r="R461" i="15" s="1"/>
  <c r="U461" i="15" s="1"/>
  <c r="W461" i="15" s="1"/>
  <c r="X461" i="15" s="1"/>
  <c r="Q461" i="15" a="1"/>
  <c r="Q461" i="15" s="1"/>
  <c r="P462" i="15"/>
  <c r="Q462" i="15" a="1"/>
  <c r="Q462" i="15"/>
  <c r="R462" i="15"/>
  <c r="U462" i="15" s="1"/>
  <c r="W462" i="15" s="1"/>
  <c r="X462" i="15" s="1"/>
  <c r="P463" i="15"/>
  <c r="R463" i="15" s="1"/>
  <c r="U463" i="15" s="1"/>
  <c r="W463" i="15" s="1"/>
  <c r="X463" i="15" s="1"/>
  <c r="Q463" i="15" a="1"/>
  <c r="Q463" i="15" s="1"/>
  <c r="P464" i="15"/>
  <c r="R464" i="15" s="1"/>
  <c r="U464" i="15" s="1"/>
  <c r="W464" i="15" s="1"/>
  <c r="X464" i="15" s="1"/>
  <c r="Q464" i="15" a="1"/>
  <c r="Q464" i="15"/>
  <c r="P465" i="15"/>
  <c r="R465" i="15" s="1"/>
  <c r="U465" i="15" s="1"/>
  <c r="W465" i="15" s="1"/>
  <c r="X465" i="15" s="1"/>
  <c r="Q465" i="15" a="1"/>
  <c r="Q465" i="15" s="1"/>
  <c r="P466" i="15"/>
  <c r="R466" i="15" s="1"/>
  <c r="U466" i="15" s="1"/>
  <c r="W466" i="15" s="1"/>
  <c r="X466" i="15" s="1"/>
  <c r="Q466" i="15" a="1"/>
  <c r="Q466" i="15"/>
  <c r="P467" i="15"/>
  <c r="R467" i="15" s="1"/>
  <c r="U467" i="15" s="1"/>
  <c r="W467" i="15" s="1"/>
  <c r="X467" i="15" s="1"/>
  <c r="Q467" i="15" a="1"/>
  <c r="Q467" i="15" s="1"/>
  <c r="P468" i="15"/>
  <c r="R468" i="15" s="1"/>
  <c r="U468" i="15" s="1"/>
  <c r="W468" i="15" s="1"/>
  <c r="X468" i="15" s="1"/>
  <c r="Q468" i="15" a="1"/>
  <c r="Q468" i="15" s="1"/>
  <c r="P469" i="15"/>
  <c r="R469" i="15" s="1"/>
  <c r="U469" i="15" s="1"/>
  <c r="W469" i="15" s="1"/>
  <c r="X469" i="15" s="1"/>
  <c r="Q469" i="15" a="1"/>
  <c r="Q469" i="15" s="1"/>
  <c r="P470" i="15"/>
  <c r="Q470" i="15" a="1"/>
  <c r="Q470" i="15"/>
  <c r="R470" i="15"/>
  <c r="U470" i="15" s="1"/>
  <c r="W470" i="15" s="1"/>
  <c r="X470" i="15" s="1"/>
  <c r="P471" i="15"/>
  <c r="R471" i="15" s="1"/>
  <c r="U471" i="15" s="1"/>
  <c r="W471" i="15" s="1"/>
  <c r="X471" i="15" s="1"/>
  <c r="Q471" i="15" a="1"/>
  <c r="Q471" i="15"/>
  <c r="P472" i="15"/>
  <c r="R472" i="15" s="1"/>
  <c r="U472" i="15" s="1"/>
  <c r="W472" i="15" s="1"/>
  <c r="X472" i="15" s="1"/>
  <c r="Q472" i="15" a="1"/>
  <c r="Q472" i="15" s="1"/>
  <c r="P473" i="15"/>
  <c r="R473" i="15" s="1"/>
  <c r="U473" i="15" s="1"/>
  <c r="W473" i="15" s="1"/>
  <c r="X473" i="15" s="1"/>
  <c r="Q473" i="15" a="1"/>
  <c r="Q473" i="15"/>
  <c r="P474" i="15"/>
  <c r="Q474" i="15" a="1"/>
  <c r="Q474" i="15" s="1"/>
  <c r="R474" i="15"/>
  <c r="U474" i="15" s="1"/>
  <c r="W474" i="15" s="1"/>
  <c r="X474" i="15" s="1"/>
  <c r="P475" i="15"/>
  <c r="R475" i="15" s="1"/>
  <c r="U475" i="15" s="1"/>
  <c r="W475" i="15" s="1"/>
  <c r="X475" i="15" s="1"/>
  <c r="Q475" i="15" a="1"/>
  <c r="Q475" i="15" s="1"/>
  <c r="P476" i="15"/>
  <c r="R476" i="15" s="1"/>
  <c r="U476" i="15" s="1"/>
  <c r="W476" i="15" s="1"/>
  <c r="X476" i="15" s="1"/>
  <c r="Q476" i="15" a="1"/>
  <c r="Q476" i="15"/>
  <c r="P477" i="15"/>
  <c r="R477" i="15" s="1"/>
  <c r="U477" i="15" s="1"/>
  <c r="W477" i="15" s="1"/>
  <c r="X477" i="15" s="1"/>
  <c r="Q477" i="15" a="1"/>
  <c r="Q477" i="15" s="1"/>
  <c r="P478" i="15"/>
  <c r="R478" i="15" s="1"/>
  <c r="U478" i="15" s="1"/>
  <c r="W478" i="15" s="1"/>
  <c r="X478" i="15" s="1"/>
  <c r="Q478" i="15" a="1"/>
  <c r="Q478" i="15"/>
  <c r="P479" i="15"/>
  <c r="R479" i="15" s="1"/>
  <c r="U479" i="15" s="1"/>
  <c r="W479" i="15" s="1"/>
  <c r="X479" i="15" s="1"/>
  <c r="Q479" i="15" a="1"/>
  <c r="Q479" i="15" s="1"/>
  <c r="P480" i="15"/>
  <c r="R480" i="15" s="1"/>
  <c r="U480" i="15" s="1"/>
  <c r="W480" i="15" s="1"/>
  <c r="X480" i="15" s="1"/>
  <c r="Q480" i="15" a="1"/>
  <c r="Q480" i="15" s="1"/>
  <c r="P481" i="15"/>
  <c r="Q481" i="15" a="1"/>
  <c r="Q481" i="15"/>
  <c r="R481" i="15"/>
  <c r="U481" i="15" s="1"/>
  <c r="W481" i="15" s="1"/>
  <c r="X481" i="15" s="1"/>
  <c r="P482" i="15"/>
  <c r="R482" i="15" s="1"/>
  <c r="U482" i="15" s="1"/>
  <c r="W482" i="15" s="1"/>
  <c r="X482" i="15" s="1"/>
  <c r="Q482" i="15" a="1"/>
  <c r="Q482" i="15" s="1"/>
  <c r="P483" i="15"/>
  <c r="R483" i="15" s="1"/>
  <c r="U483" i="15" s="1"/>
  <c r="W483" i="15" s="1"/>
  <c r="X483" i="15" s="1"/>
  <c r="Q483" i="15" a="1"/>
  <c r="Q483" i="15"/>
  <c r="P484" i="15"/>
  <c r="Q484" i="15" a="1"/>
  <c r="Q484" i="15" s="1"/>
  <c r="R484" i="15"/>
  <c r="U484" i="15" s="1"/>
  <c r="W484" i="15" s="1"/>
  <c r="X484" i="15" s="1"/>
  <c r="P485" i="15"/>
  <c r="Q485" i="15" a="1"/>
  <c r="Q485" i="15" s="1"/>
  <c r="R485" i="15"/>
  <c r="U485" i="15" s="1"/>
  <c r="W485" i="15" s="1"/>
  <c r="X485" i="15" s="1"/>
  <c r="P486" i="15"/>
  <c r="R486" i="15" s="1"/>
  <c r="U486" i="15" s="1"/>
  <c r="W486" i="15" s="1"/>
  <c r="X486" i="15" s="1"/>
  <c r="Q486" i="15" a="1"/>
  <c r="Q486" i="15" s="1"/>
  <c r="P487" i="15"/>
  <c r="R487" i="15" s="1"/>
  <c r="U487" i="15" s="1"/>
  <c r="W487" i="15" s="1"/>
  <c r="X487" i="15" s="1"/>
  <c r="Q487" i="15" a="1"/>
  <c r="Q487" i="15" s="1"/>
  <c r="P488" i="15"/>
  <c r="R488" i="15" s="1"/>
  <c r="Q488" i="15" a="1"/>
  <c r="Q488" i="15"/>
  <c r="P489" i="15"/>
  <c r="Q489" i="15" a="1"/>
  <c r="Q489" i="15"/>
  <c r="R489" i="15"/>
  <c r="U489" i="15" s="1"/>
  <c r="W489" i="15" s="1"/>
  <c r="X489" i="15" s="1"/>
  <c r="P490" i="15"/>
  <c r="R490" i="15" s="1"/>
  <c r="U490" i="15" s="1"/>
  <c r="W490" i="15" s="1"/>
  <c r="X490" i="15" s="1"/>
  <c r="Q490" i="15" a="1"/>
  <c r="Q490" i="15" s="1"/>
  <c r="P491" i="15"/>
  <c r="R491" i="15" s="1"/>
  <c r="U491" i="15" s="1"/>
  <c r="W491" i="15" s="1"/>
  <c r="X491" i="15" s="1"/>
  <c r="Q491" i="15" a="1"/>
  <c r="Q491" i="15" s="1"/>
  <c r="P492" i="15"/>
  <c r="Q492" i="15" a="1"/>
  <c r="Q492" i="15"/>
  <c r="R492" i="15"/>
  <c r="U492" i="15" s="1"/>
  <c r="W492" i="15" s="1"/>
  <c r="X492" i="15" s="1"/>
  <c r="P493" i="15"/>
  <c r="R493" i="15" s="1"/>
  <c r="U493" i="15" s="1"/>
  <c r="W493" i="15" s="1"/>
  <c r="X493" i="15" s="1"/>
  <c r="Q493" i="15" a="1"/>
  <c r="Q493" i="15" s="1"/>
  <c r="P494" i="15"/>
  <c r="R494" i="15" s="1"/>
  <c r="U494" i="15" s="1"/>
  <c r="W494" i="15" s="1"/>
  <c r="X494" i="15" s="1"/>
  <c r="Q494" i="15" a="1"/>
  <c r="Q494" i="15"/>
  <c r="P495" i="15"/>
  <c r="Q495" i="15" a="1"/>
  <c r="Q495" i="15" s="1"/>
  <c r="R495" i="15"/>
  <c r="U495" i="15" s="1"/>
  <c r="W495" i="15" s="1"/>
  <c r="X495" i="15" s="1"/>
  <c r="P496" i="15"/>
  <c r="R496" i="15" s="1"/>
  <c r="U496" i="15" s="1"/>
  <c r="W496" i="15" s="1"/>
  <c r="X496" i="15" s="1"/>
  <c r="Q496" i="15" a="1"/>
  <c r="Q496" i="15" s="1"/>
  <c r="P497" i="15"/>
  <c r="R497" i="15" s="1"/>
  <c r="U497" i="15" s="1"/>
  <c r="W497" i="15" s="1"/>
  <c r="X497" i="15" s="1"/>
  <c r="Q497" i="15" a="1"/>
  <c r="Q497" i="15" s="1"/>
  <c r="P498" i="15"/>
  <c r="R498" i="15" s="1"/>
  <c r="U498" i="15" s="1"/>
  <c r="W498" i="15" s="1"/>
  <c r="X498" i="15" s="1"/>
  <c r="Q498" i="15" a="1"/>
  <c r="Q498" i="15" s="1"/>
  <c r="P499" i="15"/>
  <c r="R499" i="15" s="1"/>
  <c r="Q499" i="15" a="1"/>
  <c r="Q499" i="15" s="1"/>
  <c r="P500" i="15"/>
  <c r="R500" i="15" s="1"/>
  <c r="U500" i="15" s="1"/>
  <c r="W500" i="15" s="1"/>
  <c r="X500" i="15" s="1"/>
  <c r="Q500" i="15" a="1"/>
  <c r="Q500" i="15"/>
  <c r="P501" i="15"/>
  <c r="R501" i="15" s="1"/>
  <c r="U501" i="15" s="1"/>
  <c r="W501" i="15" s="1"/>
  <c r="X501" i="15" s="1"/>
  <c r="Q501" i="15" a="1"/>
  <c r="Q501" i="15" s="1"/>
  <c r="P502" i="15"/>
  <c r="R502" i="15" s="1"/>
  <c r="U502" i="15" s="1"/>
  <c r="W502" i="15" s="1"/>
  <c r="X502" i="15" s="1"/>
  <c r="Q502" i="15" a="1"/>
  <c r="Q502" i="15" s="1"/>
  <c r="P503" i="15"/>
  <c r="Q503" i="15" a="1"/>
  <c r="Q503" i="15"/>
  <c r="R503" i="15"/>
  <c r="U503" i="15" s="1"/>
  <c r="W503" i="15" s="1"/>
  <c r="X503" i="15" s="1"/>
  <c r="P504" i="15"/>
  <c r="R504" i="15" s="1"/>
  <c r="U504" i="15" s="1"/>
  <c r="W504" i="15" s="1"/>
  <c r="X504" i="15" s="1"/>
  <c r="Q504" i="15" a="1"/>
  <c r="Q504" i="15"/>
  <c r="P505" i="15"/>
  <c r="R505" i="15" s="1"/>
  <c r="U505" i="15" s="1"/>
  <c r="W505" i="15" s="1"/>
  <c r="X505" i="15" s="1"/>
  <c r="Q505" i="15" a="1"/>
  <c r="Q505" i="15" s="1"/>
  <c r="P506" i="15"/>
  <c r="Q506" i="15" a="1"/>
  <c r="Q506" i="15"/>
  <c r="R506" i="15"/>
  <c r="U506" i="15" s="1"/>
  <c r="W506" i="15" s="1"/>
  <c r="X506" i="15" s="1"/>
  <c r="P507" i="15"/>
  <c r="R507" i="15" s="1"/>
  <c r="U507" i="15" s="1"/>
  <c r="W507" i="15" s="1"/>
  <c r="X507" i="15" s="1"/>
  <c r="Q507" i="15" a="1"/>
  <c r="Q507" i="15" s="1"/>
  <c r="P508" i="15"/>
  <c r="R508" i="15" s="1"/>
  <c r="U508" i="15" s="1"/>
  <c r="W508" i="15" s="1"/>
  <c r="X508" i="15" s="1"/>
  <c r="Q508" i="15" a="1"/>
  <c r="Q508" i="15" s="1"/>
  <c r="P509" i="15"/>
  <c r="R509" i="15" s="1"/>
  <c r="U509" i="15" s="1"/>
  <c r="W509" i="15" s="1"/>
  <c r="X509" i="15" s="1"/>
  <c r="Q509" i="15" a="1"/>
  <c r="Q509" i="15"/>
  <c r="P510" i="15"/>
  <c r="R510" i="15" s="1"/>
  <c r="U510" i="15" s="1"/>
  <c r="W510" i="15" s="1"/>
  <c r="X510" i="15" s="1"/>
  <c r="Q510" i="15" a="1"/>
  <c r="Q510" i="15" s="1"/>
  <c r="P511" i="15"/>
  <c r="R511" i="15" s="1"/>
  <c r="U511" i="15" s="1"/>
  <c r="W511" i="15" s="1"/>
  <c r="X511" i="15" s="1"/>
  <c r="Q511" i="15" a="1"/>
  <c r="Q511" i="15"/>
  <c r="P512" i="15"/>
  <c r="R512" i="15" s="1"/>
  <c r="U512" i="15" s="1"/>
  <c r="W512" i="15" s="1"/>
  <c r="X512" i="15" s="1"/>
  <c r="Q512" i="15" a="1"/>
  <c r="Q512" i="15" s="1"/>
  <c r="P513" i="15"/>
  <c r="Q513" i="15" a="1"/>
  <c r="Q513" i="15" s="1"/>
  <c r="R513" i="15"/>
  <c r="U513" i="15" s="1"/>
  <c r="W513" i="15" s="1"/>
  <c r="X513" i="15" s="1"/>
  <c r="P514" i="15"/>
  <c r="Q514" i="15" a="1"/>
  <c r="Q514" i="15"/>
  <c r="R514" i="15"/>
  <c r="U514" i="15" s="1"/>
  <c r="W514" i="15" s="1"/>
  <c r="X514" i="15" s="1"/>
  <c r="P515" i="15"/>
  <c r="R515" i="15" s="1"/>
  <c r="U515" i="15" s="1"/>
  <c r="W515" i="15" s="1"/>
  <c r="X515" i="15" s="1"/>
  <c r="Q515" i="15" a="1"/>
  <c r="Q515" i="15" s="1"/>
  <c r="P516" i="15"/>
  <c r="R516" i="15" s="1"/>
  <c r="U516" i="15" s="1"/>
  <c r="W516" i="15" s="1"/>
  <c r="X516" i="15" s="1"/>
  <c r="Q516" i="15" a="1"/>
  <c r="Q516" i="15"/>
  <c r="P517" i="15"/>
  <c r="Q517" i="15" a="1"/>
  <c r="Q517" i="15" s="1"/>
  <c r="R517" i="15"/>
  <c r="U517" i="15" s="1"/>
  <c r="W517" i="15" s="1"/>
  <c r="X517" i="15" s="1"/>
  <c r="P518" i="15"/>
  <c r="R518" i="15" s="1"/>
  <c r="U518" i="15" s="1"/>
  <c r="W518" i="15" s="1"/>
  <c r="X518" i="15" s="1"/>
  <c r="Q518" i="15" a="1"/>
  <c r="Q518" i="15" s="1"/>
  <c r="P519" i="15"/>
  <c r="R519" i="15" s="1"/>
  <c r="U519" i="15" s="1"/>
  <c r="W519" i="15" s="1"/>
  <c r="X519" i="15" s="1"/>
  <c r="Q519" i="15" a="1"/>
  <c r="Q519" i="15" s="1"/>
  <c r="P520" i="15"/>
  <c r="R520" i="15" s="1"/>
  <c r="U520" i="15" s="1"/>
  <c r="W520" i="15" s="1"/>
  <c r="X520" i="15" s="1"/>
  <c r="Q520" i="15" a="1"/>
  <c r="Q520" i="15" s="1"/>
  <c r="P521" i="15"/>
  <c r="R521" i="15" s="1"/>
  <c r="U521" i="15" s="1"/>
  <c r="W521" i="15" s="1"/>
  <c r="X521" i="15" s="1"/>
  <c r="Q521" i="15" a="1"/>
  <c r="Q521" i="15"/>
  <c r="P522" i="15"/>
  <c r="R522" i="15" s="1"/>
  <c r="U522" i="15" s="1"/>
  <c r="W522" i="15" s="1"/>
  <c r="X522" i="15" s="1"/>
  <c r="Q522" i="15" a="1"/>
  <c r="Q522" i="15"/>
  <c r="P523" i="15"/>
  <c r="R523" i="15" s="1"/>
  <c r="Q523" i="15" a="1"/>
  <c r="Q523" i="15" s="1"/>
  <c r="P524" i="15"/>
  <c r="Q524" i="15" a="1"/>
  <c r="Q524" i="15" s="1"/>
  <c r="R524" i="15"/>
  <c r="U524" i="15" s="1"/>
  <c r="W524" i="15" s="1"/>
  <c r="X524" i="15" s="1"/>
  <c r="P525" i="15"/>
  <c r="Q525" i="15" a="1"/>
  <c r="Q525" i="15"/>
  <c r="R525" i="15"/>
  <c r="U525" i="15" s="1"/>
  <c r="W525" i="15" s="1"/>
  <c r="X525" i="15" s="1"/>
  <c r="P526" i="15"/>
  <c r="R526" i="15" s="1"/>
  <c r="U526" i="15" s="1"/>
  <c r="W526" i="15" s="1"/>
  <c r="X526" i="15" s="1"/>
  <c r="Q526" i="15" a="1"/>
  <c r="Q526" i="15" s="1"/>
  <c r="P527" i="15"/>
  <c r="R527" i="15" s="1"/>
  <c r="U527" i="15" s="1"/>
  <c r="W527" i="15" s="1"/>
  <c r="X527" i="15" s="1"/>
  <c r="Q527" i="15" a="1"/>
  <c r="Q527" i="15"/>
  <c r="P528" i="15"/>
  <c r="Q528" i="15" a="1"/>
  <c r="Q528" i="15" s="1"/>
  <c r="R528" i="15"/>
  <c r="U528" i="15" s="1"/>
  <c r="W528" i="15" s="1"/>
  <c r="X528" i="15" s="1"/>
  <c r="P529" i="15"/>
  <c r="R529" i="15" s="1"/>
  <c r="U529" i="15" s="1"/>
  <c r="W529" i="15" s="1"/>
  <c r="X529" i="15" s="1"/>
  <c r="Q529" i="15" a="1"/>
  <c r="Q529" i="15" s="1"/>
  <c r="P530" i="15"/>
  <c r="R530" i="15" s="1"/>
  <c r="U530" i="15" s="1"/>
  <c r="W530" i="15" s="1"/>
  <c r="X530" i="15" s="1"/>
  <c r="Q530" i="15" a="1"/>
  <c r="Q530" i="15" s="1"/>
  <c r="P531" i="15"/>
  <c r="R531" i="15" s="1"/>
  <c r="U531" i="15" s="1"/>
  <c r="W531" i="15" s="1"/>
  <c r="X531" i="15" s="1"/>
  <c r="Q531" i="15" a="1"/>
  <c r="Q531" i="15" s="1"/>
  <c r="P532" i="15"/>
  <c r="R532" i="15" s="1"/>
  <c r="U532" i="15" s="1"/>
  <c r="W532" i="15" s="1"/>
  <c r="X532" i="15" s="1"/>
  <c r="Q532" i="15" a="1"/>
  <c r="Q532" i="15"/>
  <c r="P533" i="15"/>
  <c r="R533" i="15" s="1"/>
  <c r="U533" i="15" s="1"/>
  <c r="W533" i="15" s="1"/>
  <c r="X533" i="15" s="1"/>
  <c r="Q533" i="15" a="1"/>
  <c r="Q533" i="15" s="1"/>
  <c r="P534" i="15"/>
  <c r="R534" i="15" s="1"/>
  <c r="U534" i="15" s="1"/>
  <c r="W534" i="15" s="1"/>
  <c r="X534" i="15" s="1"/>
  <c r="Q534" i="15" a="1"/>
  <c r="Q534" i="15" s="1"/>
  <c r="P535" i="15"/>
  <c r="R535" i="15" s="1"/>
  <c r="U535" i="15" s="1"/>
  <c r="W535" i="15" s="1"/>
  <c r="X535" i="15" s="1"/>
  <c r="Q535" i="15" a="1"/>
  <c r="Q535" i="15" s="1"/>
  <c r="P536" i="15"/>
  <c r="Q536" i="15" a="1"/>
  <c r="Q536" i="15"/>
  <c r="R536" i="15"/>
  <c r="U536" i="15" s="1"/>
  <c r="W536" i="15" s="1"/>
  <c r="X536" i="15" s="1"/>
  <c r="P537" i="15"/>
  <c r="R537" i="15" s="1"/>
  <c r="U537" i="15" s="1"/>
  <c r="W537" i="15" s="1"/>
  <c r="X537" i="15" s="1"/>
  <c r="Q537" i="15" a="1"/>
  <c r="Q537" i="15" s="1"/>
  <c r="P538" i="15"/>
  <c r="R538" i="15" s="1"/>
  <c r="Q538" i="15" a="1"/>
  <c r="Q538" i="15"/>
  <c r="P539" i="15"/>
  <c r="R539" i="15" s="1"/>
  <c r="U539" i="15" s="1"/>
  <c r="W539" i="15" s="1"/>
  <c r="X539" i="15" s="1"/>
  <c r="Q539" i="15" a="1"/>
  <c r="Q539" i="15"/>
  <c r="P540" i="15"/>
  <c r="R540" i="15" s="1"/>
  <c r="U540" i="15" s="1"/>
  <c r="W540" i="15" s="1"/>
  <c r="X540" i="15" s="1"/>
  <c r="Q540" i="15" a="1"/>
  <c r="Q540" i="15" s="1"/>
  <c r="P541" i="15"/>
  <c r="R541" i="15" s="1"/>
  <c r="U541" i="15" s="1"/>
  <c r="W541" i="15" s="1"/>
  <c r="X541" i="15" s="1"/>
  <c r="Q541" i="15" a="1"/>
  <c r="Q541" i="15" s="1"/>
  <c r="P542" i="15"/>
  <c r="R542" i="15" s="1"/>
  <c r="U542" i="15" s="1"/>
  <c r="W542" i="15" s="1"/>
  <c r="X542" i="15" s="1"/>
  <c r="Q542" i="15" a="1"/>
  <c r="Q542" i="15"/>
  <c r="P543" i="15"/>
  <c r="R543" i="15" s="1"/>
  <c r="U543" i="15" s="1"/>
  <c r="W543" i="15" s="1"/>
  <c r="X543" i="15" s="1"/>
  <c r="Q543" i="15" a="1"/>
  <c r="Q543" i="15" s="1"/>
  <c r="P544" i="15"/>
  <c r="R544" i="15" s="1"/>
  <c r="U544" i="15" s="1"/>
  <c r="W544" i="15" s="1"/>
  <c r="X544" i="15" s="1"/>
  <c r="Q544" i="15" a="1"/>
  <c r="Q544" i="15"/>
  <c r="P545" i="15"/>
  <c r="Q545" i="15" a="1"/>
  <c r="Q545" i="15" s="1"/>
  <c r="R545" i="15"/>
  <c r="U545" i="15" s="1"/>
  <c r="W545" i="15" s="1"/>
  <c r="X545" i="15" s="1"/>
  <c r="P546" i="15"/>
  <c r="R546" i="15" s="1"/>
  <c r="U546" i="15" s="1"/>
  <c r="W546" i="15" s="1"/>
  <c r="X546" i="15" s="1"/>
  <c r="Q546" i="15" a="1"/>
  <c r="Q546" i="15" s="1"/>
  <c r="P547" i="15"/>
  <c r="R547" i="15" s="1"/>
  <c r="U547" i="15" s="1"/>
  <c r="W547" i="15" s="1"/>
  <c r="X547" i="15" s="1"/>
  <c r="Q547" i="15" a="1"/>
  <c r="Q547" i="15" s="1"/>
  <c r="P548" i="15"/>
  <c r="R548" i="15" s="1"/>
  <c r="U548" i="15" s="1"/>
  <c r="W548" i="15" s="1"/>
  <c r="X548" i="15" s="1"/>
  <c r="Q548" i="15" a="1"/>
  <c r="Q548" i="15" s="1"/>
  <c r="P549" i="15"/>
  <c r="R549" i="15" s="1"/>
  <c r="U549" i="15" s="1"/>
  <c r="W549" i="15" s="1"/>
  <c r="X549" i="15" s="1"/>
  <c r="Q549" i="15" a="1"/>
  <c r="Q549" i="15"/>
  <c r="P550" i="15"/>
  <c r="Q550" i="15" a="1"/>
  <c r="Q550" i="15" s="1"/>
  <c r="R550" i="15"/>
  <c r="U550" i="15" s="1"/>
  <c r="W550" i="15" s="1"/>
  <c r="X550" i="15" s="1"/>
  <c r="P551" i="15"/>
  <c r="R551" i="15" s="1"/>
  <c r="U551" i="15" s="1"/>
  <c r="W551" i="15" s="1"/>
  <c r="X551" i="15" s="1"/>
  <c r="Q551" i="15" a="1"/>
  <c r="Q551" i="15" s="1"/>
  <c r="P552" i="15"/>
  <c r="Q552" i="15" a="1"/>
  <c r="Q552" i="15" s="1"/>
  <c r="R552" i="15"/>
  <c r="U552" i="15" s="1"/>
  <c r="W552" i="15" s="1"/>
  <c r="X552" i="15" s="1"/>
  <c r="P553" i="15"/>
  <c r="R553" i="15" s="1"/>
  <c r="U553" i="15" s="1"/>
  <c r="W553" i="15" s="1"/>
  <c r="X553" i="15" s="1"/>
  <c r="Q553" i="15" a="1"/>
  <c r="Q553" i="15" s="1"/>
  <c r="P554" i="15"/>
  <c r="R554" i="15" s="1"/>
  <c r="U554" i="15" s="1"/>
  <c r="W554" i="15" s="1"/>
  <c r="X554" i="15" s="1"/>
  <c r="Q554" i="15" a="1"/>
  <c r="Q554" i="15" s="1"/>
  <c r="P555" i="15"/>
  <c r="R555" i="15" s="1"/>
  <c r="U555" i="15" s="1"/>
  <c r="W555" i="15" s="1"/>
  <c r="X555" i="15" s="1"/>
  <c r="Q555" i="15" a="1"/>
  <c r="Q555" i="15" s="1"/>
  <c r="P556" i="15"/>
  <c r="R556" i="15" s="1"/>
  <c r="U556" i="15" s="1"/>
  <c r="W556" i="15" s="1"/>
  <c r="X556" i="15" s="1"/>
  <c r="Q556" i="15" a="1"/>
  <c r="Q556" i="15" s="1"/>
  <c r="P557" i="15"/>
  <c r="Q557" i="15" a="1"/>
  <c r="Q557" i="15" s="1"/>
  <c r="R557" i="15"/>
  <c r="U557" i="15" s="1"/>
  <c r="W557" i="15" s="1"/>
  <c r="X557" i="15" s="1"/>
  <c r="P558" i="15"/>
  <c r="R558" i="15" s="1"/>
  <c r="U558" i="15" s="1"/>
  <c r="W558" i="15" s="1"/>
  <c r="X558" i="15" s="1"/>
  <c r="Q558" i="15" a="1"/>
  <c r="Q558" i="15" s="1"/>
  <c r="P559" i="15"/>
  <c r="R559" i="15" s="1"/>
  <c r="U559" i="15" s="1"/>
  <c r="W559" i="15" s="1"/>
  <c r="X559" i="15" s="1"/>
  <c r="Q559" i="15" a="1"/>
  <c r="Q559" i="15"/>
  <c r="P560" i="15"/>
  <c r="R560" i="15" s="1"/>
  <c r="Q560" i="15" a="1"/>
  <c r="Q560" i="15"/>
  <c r="P561" i="15"/>
  <c r="Q561" i="15" a="1"/>
  <c r="Q561" i="15" s="1"/>
  <c r="R561" i="15"/>
  <c r="U561" i="15" s="1"/>
  <c r="W561" i="15" s="1"/>
  <c r="X561" i="15" s="1"/>
  <c r="P562" i="15"/>
  <c r="R562" i="15" s="1"/>
  <c r="U562" i="15" s="1"/>
  <c r="W562" i="15" s="1"/>
  <c r="X562" i="15" s="1"/>
  <c r="Q562" i="15" a="1"/>
  <c r="Q562" i="15" s="1"/>
  <c r="P563" i="15"/>
  <c r="Q563" i="15" a="1"/>
  <c r="Q563" i="15" s="1"/>
  <c r="R563" i="15"/>
  <c r="P564" i="15"/>
  <c r="R564" i="15" s="1"/>
  <c r="U564" i="15" s="1"/>
  <c r="W564" i="15" s="1"/>
  <c r="X564" i="15" s="1"/>
  <c r="Q564" i="15" a="1"/>
  <c r="Q564" i="15" s="1"/>
  <c r="P565" i="15"/>
  <c r="R565" i="15" s="1"/>
  <c r="U565" i="15" s="1"/>
  <c r="W565" i="15" s="1"/>
  <c r="X565" i="15" s="1"/>
  <c r="Q565" i="15" a="1"/>
  <c r="Q565" i="15" s="1"/>
  <c r="P566" i="15"/>
  <c r="R566" i="15" s="1"/>
  <c r="U566" i="15" s="1"/>
  <c r="W566" i="15" s="1"/>
  <c r="X566" i="15" s="1"/>
  <c r="Q566" i="15" a="1"/>
  <c r="Q566" i="15" s="1"/>
  <c r="P567" i="15"/>
  <c r="Q567" i="15" a="1"/>
  <c r="Q567" i="15" s="1"/>
  <c r="R567" i="15"/>
  <c r="U567" i="15" s="1"/>
  <c r="W567" i="15" s="1"/>
  <c r="X567" i="15" s="1"/>
  <c r="P568" i="15"/>
  <c r="R568" i="15" s="1"/>
  <c r="U568" i="15" s="1"/>
  <c r="W568" i="15" s="1"/>
  <c r="X568" i="15" s="1"/>
  <c r="Q568" i="15" a="1"/>
  <c r="Q568" i="15" s="1"/>
  <c r="P569" i="15"/>
  <c r="R569" i="15" s="1"/>
  <c r="U569" i="15" s="1"/>
  <c r="W569" i="15" s="1"/>
  <c r="X569" i="15" s="1"/>
  <c r="Q569" i="15" a="1"/>
  <c r="Q569" i="15" s="1"/>
  <c r="P570" i="15"/>
  <c r="Q570" i="15" a="1"/>
  <c r="Q570" i="15" s="1"/>
  <c r="R570" i="15"/>
  <c r="P571" i="15"/>
  <c r="R571" i="15" s="1"/>
  <c r="Q571" i="15" a="1"/>
  <c r="Q571" i="15"/>
  <c r="P572" i="15"/>
  <c r="R572" i="15" s="1"/>
  <c r="U572" i="15" s="1"/>
  <c r="W572" i="15" s="1"/>
  <c r="X572" i="15" s="1"/>
  <c r="Q572" i="15" a="1"/>
  <c r="Q572" i="15" s="1"/>
  <c r="P573" i="15"/>
  <c r="R573" i="15" s="1"/>
  <c r="U573" i="15" s="1"/>
  <c r="W573" i="15" s="1"/>
  <c r="X573" i="15" s="1"/>
  <c r="Q573" i="15" a="1"/>
  <c r="Q573" i="15" s="1"/>
  <c r="P574" i="15"/>
  <c r="Q574" i="15" a="1"/>
  <c r="Q574" i="15" s="1"/>
  <c r="R574" i="15"/>
  <c r="U574" i="15" s="1"/>
  <c r="W574" i="15" s="1"/>
  <c r="X574" i="15" s="1"/>
  <c r="P575" i="15"/>
  <c r="R575" i="15" s="1"/>
  <c r="U575" i="15" s="1"/>
  <c r="W575" i="15" s="1"/>
  <c r="X575" i="15" s="1"/>
  <c r="Q575" i="15" a="1"/>
  <c r="Q575" i="15"/>
  <c r="P576" i="15"/>
  <c r="R576" i="15" s="1"/>
  <c r="U576" i="15" s="1"/>
  <c r="W576" i="15" s="1"/>
  <c r="X576" i="15" s="1"/>
  <c r="Q576" i="15" a="1"/>
  <c r="Q576" i="15" s="1"/>
  <c r="P577" i="15"/>
  <c r="R577" i="15" s="1"/>
  <c r="U577" i="15" s="1"/>
  <c r="W577" i="15" s="1"/>
  <c r="X577" i="15" s="1"/>
  <c r="Q577" i="15" a="1"/>
  <c r="Q577" i="15"/>
  <c r="P578" i="15"/>
  <c r="Q578" i="15" a="1"/>
  <c r="Q578" i="15" s="1"/>
  <c r="R578" i="15"/>
  <c r="U578" i="15" s="1"/>
  <c r="W578" i="15" s="1"/>
  <c r="X578" i="15" s="1"/>
  <c r="P579" i="15"/>
  <c r="R579" i="15" s="1"/>
  <c r="U579" i="15" s="1"/>
  <c r="W579" i="15" s="1"/>
  <c r="X579" i="15" s="1"/>
  <c r="Q579" i="15" a="1"/>
  <c r="Q579" i="15" s="1"/>
  <c r="P580" i="15"/>
  <c r="R580" i="15" s="1"/>
  <c r="U580" i="15" s="1"/>
  <c r="W580" i="15" s="1"/>
  <c r="X580" i="15" s="1"/>
  <c r="Q580" i="15" a="1"/>
  <c r="Q580" i="15"/>
  <c r="P581" i="15"/>
  <c r="R581" i="15" s="1"/>
  <c r="U581" i="15" s="1"/>
  <c r="W581" i="15" s="1"/>
  <c r="X581" i="15" s="1"/>
  <c r="Q581" i="15" a="1"/>
  <c r="Q581" i="15"/>
  <c r="P582" i="15"/>
  <c r="R582" i="15" s="1"/>
  <c r="U582" i="15" s="1"/>
  <c r="W582" i="15" s="1"/>
  <c r="X582" i="15" s="1"/>
  <c r="Q582" i="15" a="1"/>
  <c r="Q582" i="15"/>
  <c r="P583" i="15"/>
  <c r="R583" i="15" s="1"/>
  <c r="U583" i="15" s="1"/>
  <c r="W583" i="15" s="1"/>
  <c r="X583" i="15" s="1"/>
  <c r="Q583" i="15" a="1"/>
  <c r="Q583" i="15" s="1"/>
  <c r="P584" i="15"/>
  <c r="R584" i="15" s="1"/>
  <c r="U584" i="15" s="1"/>
  <c r="W584" i="15" s="1"/>
  <c r="X584" i="15" s="1"/>
  <c r="Q584" i="15" a="1"/>
  <c r="Q584" i="15" s="1"/>
  <c r="P585" i="15"/>
  <c r="Q585" i="15" a="1"/>
  <c r="Q585" i="15" s="1"/>
  <c r="R585" i="15"/>
  <c r="U585" i="15" s="1"/>
  <c r="W585" i="15" s="1"/>
  <c r="X585" i="15" s="1"/>
  <c r="P586" i="15"/>
  <c r="R586" i="15" s="1"/>
  <c r="U586" i="15" s="1"/>
  <c r="W586" i="15" s="1"/>
  <c r="X586" i="15" s="1"/>
  <c r="Q586" i="15" a="1"/>
  <c r="Q586" i="15" s="1"/>
  <c r="P587" i="15"/>
  <c r="R587" i="15" s="1"/>
  <c r="U587" i="15" s="1"/>
  <c r="W587" i="15" s="1"/>
  <c r="X587" i="15" s="1"/>
  <c r="Q587" i="15" a="1"/>
  <c r="Q587" i="15" s="1"/>
  <c r="P588" i="15"/>
  <c r="R588" i="15" s="1"/>
  <c r="U588" i="15" s="1"/>
  <c r="W588" i="15" s="1"/>
  <c r="X588" i="15" s="1"/>
  <c r="Q588" i="15" a="1"/>
  <c r="Q588" i="15"/>
  <c r="P589" i="15"/>
  <c r="R589" i="15" s="1"/>
  <c r="U589" i="15" s="1"/>
  <c r="W589" i="15" s="1"/>
  <c r="X589" i="15" s="1"/>
  <c r="Q589" i="15" a="1"/>
  <c r="Q589" i="15" s="1"/>
  <c r="P590" i="15"/>
  <c r="R590" i="15" s="1"/>
  <c r="U590" i="15" s="1"/>
  <c r="W590" i="15" s="1"/>
  <c r="X590" i="15" s="1"/>
  <c r="Q590" i="15" a="1"/>
  <c r="Q590" i="15" s="1"/>
  <c r="P591" i="15"/>
  <c r="R591" i="15" s="1"/>
  <c r="U591" i="15" s="1"/>
  <c r="W591" i="15" s="1"/>
  <c r="X591" i="15" s="1"/>
  <c r="Q591" i="15" a="1"/>
  <c r="Q591" i="15" s="1"/>
  <c r="P592" i="15"/>
  <c r="R592" i="15" s="1"/>
  <c r="U592" i="15" s="1"/>
  <c r="W592" i="15" s="1"/>
  <c r="X592" i="15" s="1"/>
  <c r="Q592" i="15" a="1"/>
  <c r="Q592" i="15"/>
  <c r="P593" i="15"/>
  <c r="R593" i="15" s="1"/>
  <c r="U593" i="15" s="1"/>
  <c r="W593" i="15" s="1"/>
  <c r="X593" i="15" s="1"/>
  <c r="Q593" i="15" a="1"/>
  <c r="Q593" i="15"/>
  <c r="P594" i="15"/>
  <c r="R594" i="15" s="1"/>
  <c r="U594" i="15" s="1"/>
  <c r="W594" i="15" s="1"/>
  <c r="X594" i="15" s="1"/>
  <c r="Q594" i="15" a="1"/>
  <c r="Q594" i="15" s="1"/>
  <c r="P595" i="15"/>
  <c r="R595" i="15" s="1"/>
  <c r="U595" i="15" s="1"/>
  <c r="W595" i="15" s="1"/>
  <c r="X595" i="15" s="1"/>
  <c r="Q595" i="15" a="1"/>
  <c r="Q595" i="15"/>
  <c r="P596" i="15"/>
  <c r="Q596" i="15" a="1"/>
  <c r="Q596" i="15" s="1"/>
  <c r="R596" i="15"/>
  <c r="U596" i="15" s="1"/>
  <c r="W596" i="15" s="1"/>
  <c r="X596" i="15" s="1"/>
  <c r="P597" i="15"/>
  <c r="R597" i="15" s="1"/>
  <c r="U597" i="15" s="1"/>
  <c r="W597" i="15" s="1"/>
  <c r="X597" i="15" s="1"/>
  <c r="Q597" i="15" a="1"/>
  <c r="Q597" i="15" s="1"/>
  <c r="P598" i="15"/>
  <c r="R598" i="15" s="1"/>
  <c r="U598" i="15" s="1"/>
  <c r="W598" i="15" s="1"/>
  <c r="X598" i="15" s="1"/>
  <c r="Q598" i="15" a="1"/>
  <c r="Q598" i="15" s="1"/>
  <c r="P599" i="15"/>
  <c r="R599" i="15" s="1"/>
  <c r="U599" i="15" s="1"/>
  <c r="W599" i="15" s="1"/>
  <c r="X599" i="15" s="1"/>
  <c r="Q599" i="15" a="1"/>
  <c r="Q599" i="15"/>
  <c r="P600" i="15"/>
  <c r="R600" i="15" s="1"/>
  <c r="U600" i="15" s="1"/>
  <c r="W600" i="15" s="1"/>
  <c r="X600" i="15" s="1"/>
  <c r="Q600" i="15" a="1"/>
  <c r="Q600" i="15" s="1"/>
  <c r="P601" i="15"/>
  <c r="R601" i="15" s="1"/>
  <c r="U601" i="15" s="1"/>
  <c r="W601" i="15" s="1"/>
  <c r="X601" i="15" s="1"/>
  <c r="Q601" i="15" a="1"/>
  <c r="Q601" i="15" s="1"/>
  <c r="P602" i="15"/>
  <c r="R602" i="15" s="1"/>
  <c r="U602" i="15" s="1"/>
  <c r="W602" i="15" s="1"/>
  <c r="X602" i="15" s="1"/>
  <c r="Q602" i="15" a="1"/>
  <c r="Q602" i="15" s="1"/>
  <c r="P603" i="15"/>
  <c r="R603" i="15" s="1"/>
  <c r="U603" i="15" s="1"/>
  <c r="W603" i="15" s="1"/>
  <c r="X603" i="15" s="1"/>
  <c r="Q603" i="15" a="1"/>
  <c r="Q603" i="15"/>
  <c r="P604" i="15"/>
  <c r="R604" i="15" s="1"/>
  <c r="U604" i="15" s="1"/>
  <c r="W604" i="15" s="1"/>
  <c r="X604" i="15" s="1"/>
  <c r="Q604" i="15" a="1"/>
  <c r="Q604" i="15"/>
  <c r="P605" i="15"/>
  <c r="R605" i="15" s="1"/>
  <c r="U605" i="15" s="1"/>
  <c r="W605" i="15" s="1"/>
  <c r="X605" i="15" s="1"/>
  <c r="Q605" i="15" a="1"/>
  <c r="Q605" i="15" s="1"/>
  <c r="P606" i="15"/>
  <c r="R606" i="15" s="1"/>
  <c r="U606" i="15" s="1"/>
  <c r="W606" i="15" s="1"/>
  <c r="X606" i="15" s="1"/>
  <c r="Q606" i="15" a="1"/>
  <c r="Q606" i="15" s="1"/>
  <c r="P607" i="15"/>
  <c r="Q607" i="15" a="1"/>
  <c r="Q607" i="15" s="1"/>
  <c r="R607" i="15"/>
  <c r="U607" i="15" s="1"/>
  <c r="W607" i="15" s="1"/>
  <c r="X607" i="15" s="1"/>
  <c r="P608" i="15"/>
  <c r="R608" i="15" s="1"/>
  <c r="Q608" i="15" a="1"/>
  <c r="Q608" i="15" s="1"/>
  <c r="P609" i="15"/>
  <c r="R609" i="15" s="1"/>
  <c r="U609" i="15" s="1"/>
  <c r="W609" i="15" s="1"/>
  <c r="X609" i="15" s="1"/>
  <c r="Q609" i="15" a="1"/>
  <c r="Q609" i="15" s="1"/>
  <c r="P610" i="15"/>
  <c r="Q610" i="15" a="1"/>
  <c r="Q610" i="15" s="1"/>
  <c r="R610" i="15"/>
  <c r="U610" i="15" s="1"/>
  <c r="W610" i="15" s="1"/>
  <c r="X610" i="15" s="1"/>
  <c r="P611" i="15"/>
  <c r="Q611" i="15" a="1"/>
  <c r="Q611" i="15" s="1"/>
  <c r="R611" i="15"/>
  <c r="U611" i="15" s="1"/>
  <c r="W611" i="15" s="1"/>
  <c r="X611" i="15" s="1"/>
  <c r="P612" i="15"/>
  <c r="R612" i="15" s="1"/>
  <c r="U612" i="15" s="1"/>
  <c r="W612" i="15" s="1"/>
  <c r="X612" i="15" s="1"/>
  <c r="Q612" i="15" a="1"/>
  <c r="Q612" i="15" s="1"/>
  <c r="P613" i="15"/>
  <c r="R613" i="15" s="1"/>
  <c r="U613" i="15" s="1"/>
  <c r="W613" i="15" s="1"/>
  <c r="X613" i="15" s="1"/>
  <c r="Q613" i="15" a="1"/>
  <c r="Q613" i="15" s="1"/>
  <c r="P614" i="15"/>
  <c r="Q614" i="15" a="1"/>
  <c r="Q614" i="15"/>
  <c r="R614" i="15"/>
  <c r="U614" i="15" s="1"/>
  <c r="W614" i="15" s="1"/>
  <c r="X614" i="15" s="1"/>
  <c r="P615" i="15"/>
  <c r="R615" i="15" s="1"/>
  <c r="U615" i="15" s="1"/>
  <c r="W615" i="15" s="1"/>
  <c r="X615" i="15" s="1"/>
  <c r="Q615" i="15" a="1"/>
  <c r="Q615" i="15"/>
  <c r="P616" i="15"/>
  <c r="R616" i="15" s="1"/>
  <c r="U616" i="15" s="1"/>
  <c r="W616" i="15" s="1"/>
  <c r="X616" i="15" s="1"/>
  <c r="Q616" i="15" a="1"/>
  <c r="Q616" i="15" s="1"/>
  <c r="P617" i="15"/>
  <c r="R617" i="15" s="1"/>
  <c r="U617" i="15" s="1"/>
  <c r="W617" i="15" s="1"/>
  <c r="X617" i="15" s="1"/>
  <c r="Q617" i="15" a="1"/>
  <c r="Q617" i="15" s="1"/>
  <c r="P618" i="15"/>
  <c r="Q618" i="15" a="1"/>
  <c r="Q618" i="15" s="1"/>
  <c r="R618" i="15"/>
  <c r="U618" i="15" s="1"/>
  <c r="W618" i="15" s="1"/>
  <c r="X618" i="15" s="1"/>
  <c r="P619" i="15"/>
  <c r="R619" i="15" s="1"/>
  <c r="U619" i="15" s="1"/>
  <c r="W619" i="15" s="1"/>
  <c r="X619" i="15" s="1"/>
  <c r="Q619" i="15" a="1"/>
  <c r="Q619" i="15" s="1"/>
  <c r="P620" i="15"/>
  <c r="R620" i="15" s="1"/>
  <c r="U620" i="15" s="1"/>
  <c r="W620" i="15" s="1"/>
  <c r="X620" i="15" s="1"/>
  <c r="Q620" i="15" a="1"/>
  <c r="Q620" i="15" s="1"/>
  <c r="P621" i="15"/>
  <c r="R621" i="15" s="1"/>
  <c r="U621" i="15" s="1"/>
  <c r="W621" i="15" s="1"/>
  <c r="X621" i="15" s="1"/>
  <c r="Q621" i="15" a="1"/>
  <c r="Q621" i="15"/>
  <c r="P622" i="15"/>
  <c r="Q622" i="15" a="1"/>
  <c r="Q622" i="15" s="1"/>
  <c r="R622" i="15"/>
  <c r="U622" i="15" s="1"/>
  <c r="W622" i="15" s="1"/>
  <c r="X622" i="15" s="1"/>
  <c r="P623" i="15"/>
  <c r="Q623" i="15" a="1"/>
  <c r="Q623" i="15" s="1"/>
  <c r="R623" i="15"/>
  <c r="U623" i="15" s="1"/>
  <c r="W623" i="15" s="1"/>
  <c r="X623" i="15" s="1"/>
  <c r="P624" i="15"/>
  <c r="R624" i="15" s="1"/>
  <c r="U624" i="15" s="1"/>
  <c r="W624" i="15" s="1"/>
  <c r="X624" i="15" s="1"/>
  <c r="Q624" i="15" a="1"/>
  <c r="Q624" i="15" s="1"/>
  <c r="P625" i="15"/>
  <c r="R625" i="15" s="1"/>
  <c r="U625" i="15" s="1"/>
  <c r="W625" i="15" s="1"/>
  <c r="X625" i="15" s="1"/>
  <c r="Q625" i="15" a="1"/>
  <c r="Q625" i="15"/>
  <c r="P626" i="15"/>
  <c r="R626" i="15" s="1"/>
  <c r="U626" i="15" s="1"/>
  <c r="W626" i="15" s="1"/>
  <c r="X626" i="15" s="1"/>
  <c r="Q626" i="15" a="1"/>
  <c r="Q626" i="15"/>
  <c r="P627" i="15"/>
  <c r="R627" i="15" s="1"/>
  <c r="U627" i="15" s="1"/>
  <c r="W627" i="15" s="1"/>
  <c r="X627" i="15" s="1"/>
  <c r="Q627" i="15" a="1"/>
  <c r="Q627" i="15" s="1"/>
  <c r="P628" i="15"/>
  <c r="Q628" i="15" a="1"/>
  <c r="Q628" i="15" s="1"/>
  <c r="R628" i="15"/>
  <c r="U628" i="15" s="1"/>
  <c r="W628" i="15" s="1"/>
  <c r="X628" i="15" s="1"/>
  <c r="P629" i="15"/>
  <c r="Q629" i="15" a="1"/>
  <c r="Q629" i="15" s="1"/>
  <c r="R629" i="15"/>
  <c r="U629" i="15" s="1"/>
  <c r="W629" i="15" s="1"/>
  <c r="X629" i="15" s="1"/>
  <c r="P630" i="15"/>
  <c r="R630" i="15" s="1"/>
  <c r="U630" i="15" s="1"/>
  <c r="W630" i="15" s="1"/>
  <c r="X630" i="15" s="1"/>
  <c r="Q630" i="15" a="1"/>
  <c r="Q630" i="15" s="1"/>
  <c r="P631" i="15"/>
  <c r="R631" i="15" s="1"/>
  <c r="U631" i="15" s="1"/>
  <c r="W631" i="15" s="1"/>
  <c r="X631" i="15" s="1"/>
  <c r="Q631" i="15" a="1"/>
  <c r="Q631" i="15" s="1"/>
  <c r="P632" i="15"/>
  <c r="R632" i="15" s="1"/>
  <c r="U632" i="15" s="1"/>
  <c r="W632" i="15" s="1"/>
  <c r="X632" i="15" s="1"/>
  <c r="Q632" i="15" a="1"/>
  <c r="Q632" i="15"/>
  <c r="P633" i="15"/>
  <c r="R633" i="15" s="1"/>
  <c r="Q633" i="15" a="1"/>
  <c r="Q633" i="15" s="1"/>
  <c r="P634" i="15"/>
  <c r="Q634" i="15" a="1"/>
  <c r="Q634" i="15" s="1"/>
  <c r="R634" i="15"/>
  <c r="U634" i="15" s="1"/>
  <c r="W634" i="15" s="1"/>
  <c r="X634" i="15" s="1"/>
  <c r="P635" i="15"/>
  <c r="R635" i="15" s="1"/>
  <c r="U635" i="15" s="1"/>
  <c r="W635" i="15" s="1"/>
  <c r="X635" i="15" s="1"/>
  <c r="Q635" i="15" a="1"/>
  <c r="Q635" i="15" s="1"/>
  <c r="P636" i="15"/>
  <c r="R636" i="15" s="1"/>
  <c r="U636" i="15" s="1"/>
  <c r="W636" i="15" s="1"/>
  <c r="X636" i="15" s="1"/>
  <c r="Q636" i="15" a="1"/>
  <c r="Q636" i="15"/>
  <c r="P637" i="15"/>
  <c r="R637" i="15" s="1"/>
  <c r="U637" i="15" s="1"/>
  <c r="W637" i="15" s="1"/>
  <c r="X637" i="15" s="1"/>
  <c r="Q637" i="15" a="1"/>
  <c r="Q637" i="15"/>
  <c r="P638" i="15"/>
  <c r="R638" i="15" s="1"/>
  <c r="U638" i="15" s="1"/>
  <c r="W638" i="15" s="1"/>
  <c r="X638" i="15" s="1"/>
  <c r="Q638" i="15" a="1"/>
  <c r="Q638" i="15" s="1"/>
  <c r="P639" i="15"/>
  <c r="R639" i="15" s="1"/>
  <c r="U639" i="15" s="1"/>
  <c r="W639" i="15" s="1"/>
  <c r="X639" i="15" s="1"/>
  <c r="Q639" i="15" a="1"/>
  <c r="Q639" i="15" s="1"/>
  <c r="P640" i="15"/>
  <c r="Q640" i="15" a="1"/>
  <c r="Q640" i="15" s="1"/>
  <c r="R640" i="15"/>
  <c r="U640" i="15" s="1"/>
  <c r="W640" i="15" s="1"/>
  <c r="X640" i="15" s="1"/>
  <c r="P641" i="15"/>
  <c r="R641" i="15" s="1"/>
  <c r="U641" i="15" s="1"/>
  <c r="W641" i="15" s="1"/>
  <c r="X641" i="15" s="1"/>
  <c r="Q641" i="15" a="1"/>
  <c r="Q641" i="15" s="1"/>
  <c r="P642" i="15"/>
  <c r="R642" i="15" s="1"/>
  <c r="U642" i="15" s="1"/>
  <c r="W642" i="15" s="1"/>
  <c r="X642" i="15" s="1"/>
  <c r="Q642" i="15" a="1"/>
  <c r="Q642" i="15" s="1"/>
  <c r="P643" i="15"/>
  <c r="R643" i="15" s="1"/>
  <c r="U643" i="15" s="1"/>
  <c r="W643" i="15" s="1"/>
  <c r="X643" i="15" s="1"/>
  <c r="Q643" i="15" a="1"/>
  <c r="Q643" i="15"/>
  <c r="P644" i="15"/>
  <c r="R644" i="15" s="1"/>
  <c r="Q644" i="15" a="1"/>
  <c r="Q644" i="15" s="1"/>
  <c r="P645" i="15"/>
  <c r="R645" i="15" s="1"/>
  <c r="U645" i="15" s="1"/>
  <c r="W645" i="15" s="1"/>
  <c r="X645" i="15" s="1"/>
  <c r="Q645" i="15" a="1"/>
  <c r="Q645" i="15" s="1"/>
  <c r="P646" i="15"/>
  <c r="Q646" i="15" a="1"/>
  <c r="Q646" i="15"/>
  <c r="R646" i="15"/>
  <c r="U646" i="15" s="1"/>
  <c r="W646" i="15" s="1"/>
  <c r="X646" i="15" s="1"/>
  <c r="P647" i="15"/>
  <c r="R647" i="15" s="1"/>
  <c r="U647" i="15" s="1"/>
  <c r="W647" i="15" s="1"/>
  <c r="X647" i="15" s="1"/>
  <c r="Q647" i="15" a="1"/>
  <c r="Q647" i="15"/>
  <c r="P648" i="15"/>
  <c r="R648" i="15" s="1"/>
  <c r="U648" i="15" s="1"/>
  <c r="W648" i="15" s="1"/>
  <c r="X648" i="15" s="1"/>
  <c r="Q648" i="15" a="1"/>
  <c r="Q648" i="15"/>
  <c r="P649" i="15"/>
  <c r="Q649" i="15" a="1"/>
  <c r="Q649" i="15" s="1"/>
  <c r="R649" i="15"/>
  <c r="U649" i="15" s="1"/>
  <c r="W649" i="15" s="1"/>
  <c r="X649" i="15" s="1"/>
  <c r="P650" i="15"/>
  <c r="R650" i="15" s="1"/>
  <c r="U650" i="15" s="1"/>
  <c r="W650" i="15" s="1"/>
  <c r="X650" i="15" s="1"/>
  <c r="Q650" i="15" a="1"/>
  <c r="Q650" i="15" s="1"/>
  <c r="P651" i="15"/>
  <c r="R651" i="15" s="1"/>
  <c r="U651" i="15" s="1"/>
  <c r="W651" i="15" s="1"/>
  <c r="X651" i="15" s="1"/>
  <c r="Q651" i="15" a="1"/>
  <c r="Q651" i="15" s="1"/>
  <c r="P652" i="15"/>
  <c r="Q652" i="15" a="1"/>
  <c r="Q652" i="15" s="1"/>
  <c r="R652" i="15"/>
  <c r="U652" i="15" s="1"/>
  <c r="W652" i="15" s="1"/>
  <c r="X652" i="15" s="1"/>
  <c r="P653" i="15"/>
  <c r="R653" i="15" s="1"/>
  <c r="U653" i="15" s="1"/>
  <c r="W653" i="15" s="1"/>
  <c r="X653" i="15" s="1"/>
  <c r="Q653" i="15" a="1"/>
  <c r="Q653" i="15" s="1"/>
  <c r="P654" i="15"/>
  <c r="R654" i="15" s="1"/>
  <c r="U654" i="15" s="1"/>
  <c r="W654" i="15" s="1"/>
  <c r="X654" i="15" s="1"/>
  <c r="Q654" i="15" a="1"/>
  <c r="Q654" i="15" s="1"/>
  <c r="P655" i="15"/>
  <c r="R655" i="15" s="1"/>
  <c r="U655" i="15" s="1"/>
  <c r="W655" i="15" s="1"/>
  <c r="X655" i="15" s="1"/>
  <c r="Q655" i="15" a="1"/>
  <c r="Q655" i="15" s="1"/>
  <c r="P656" i="15"/>
  <c r="Q656" i="15" a="1"/>
  <c r="Q656" i="15" s="1"/>
  <c r="R656" i="15"/>
  <c r="U656" i="15" s="1"/>
  <c r="W656" i="15" s="1"/>
  <c r="X656" i="15" s="1"/>
  <c r="P657" i="15"/>
  <c r="R657" i="15" s="1"/>
  <c r="U657" i="15" s="1"/>
  <c r="W657" i="15" s="1"/>
  <c r="X657" i="15" s="1"/>
  <c r="Q657" i="15" a="1"/>
  <c r="Q657" i="15" s="1"/>
  <c r="P658" i="15"/>
  <c r="R658" i="15" s="1"/>
  <c r="U658" i="15" s="1"/>
  <c r="W658" i="15" s="1"/>
  <c r="X658" i="15" s="1"/>
  <c r="Q658" i="15" a="1"/>
  <c r="Q658" i="15" s="1"/>
  <c r="P659" i="15"/>
  <c r="R659" i="15" s="1"/>
  <c r="Q659" i="15" a="1"/>
  <c r="Q659" i="15"/>
  <c r="P660" i="15"/>
  <c r="R660" i="15" s="1"/>
  <c r="U660" i="15" s="1"/>
  <c r="W660" i="15" s="1"/>
  <c r="X660" i="15" s="1"/>
  <c r="Q660" i="15" a="1"/>
  <c r="Q660" i="15" s="1"/>
  <c r="P661" i="15"/>
  <c r="R661" i="15" s="1"/>
  <c r="U661" i="15" s="1"/>
  <c r="W661" i="15" s="1"/>
  <c r="X661" i="15" s="1"/>
  <c r="Q661" i="15" a="1"/>
  <c r="Q661" i="15" s="1"/>
  <c r="P662" i="15"/>
  <c r="R662" i="15" s="1"/>
  <c r="U662" i="15" s="1"/>
  <c r="W662" i="15" s="1"/>
  <c r="X662" i="15" s="1"/>
  <c r="Q662" i="15" a="1"/>
  <c r="Q662" i="15" s="1"/>
  <c r="P663" i="15"/>
  <c r="R663" i="15" s="1"/>
  <c r="U663" i="15" s="1"/>
  <c r="W663" i="15" s="1"/>
  <c r="X663" i="15" s="1"/>
  <c r="Q663" i="15" a="1"/>
  <c r="Q663" i="15" s="1"/>
  <c r="P664" i="15"/>
  <c r="R664" i="15" s="1"/>
  <c r="U664" i="15" s="1"/>
  <c r="W664" i="15" s="1"/>
  <c r="X664" i="15" s="1"/>
  <c r="Q664" i="15" a="1"/>
  <c r="Q664" i="15" s="1"/>
  <c r="P665" i="15"/>
  <c r="R665" i="15" s="1"/>
  <c r="U665" i="15" s="1"/>
  <c r="W665" i="15" s="1"/>
  <c r="X665" i="15" s="1"/>
  <c r="Q665" i="15" a="1"/>
  <c r="Q665" i="15"/>
  <c r="P666" i="15"/>
  <c r="R666" i="15" s="1"/>
  <c r="U666" i="15" s="1"/>
  <c r="W666" i="15" s="1"/>
  <c r="X666" i="15" s="1"/>
  <c r="Q666" i="15" a="1"/>
  <c r="Q666" i="15" s="1"/>
  <c r="P667" i="15"/>
  <c r="R667" i="15" s="1"/>
  <c r="U667" i="15" s="1"/>
  <c r="W667" i="15" s="1"/>
  <c r="X667" i="15" s="1"/>
  <c r="Q667" i="15" a="1"/>
  <c r="Q667" i="15" s="1"/>
  <c r="P668" i="15"/>
  <c r="Q668" i="15" a="1"/>
  <c r="Q668" i="15"/>
  <c r="R668" i="15"/>
  <c r="U668" i="15" s="1"/>
  <c r="W668" i="15" s="1"/>
  <c r="X668" i="15" s="1"/>
  <c r="P669" i="15"/>
  <c r="R669" i="15" s="1"/>
  <c r="U669" i="15" s="1"/>
  <c r="W669" i="15" s="1"/>
  <c r="X669" i="15" s="1"/>
  <c r="Q669" i="15" a="1"/>
  <c r="Q669" i="15" s="1"/>
  <c r="P670" i="15"/>
  <c r="R670" i="15" s="1"/>
  <c r="U670" i="15" s="1"/>
  <c r="W670" i="15" s="1"/>
  <c r="X670" i="15" s="1"/>
  <c r="Q670" i="15" a="1"/>
  <c r="Q670" i="15" s="1"/>
  <c r="P671" i="15"/>
  <c r="R671" i="15" s="1"/>
  <c r="Q671" i="15" a="1"/>
  <c r="Q671" i="15" s="1"/>
  <c r="P672" i="15"/>
  <c r="R672" i="15" s="1"/>
  <c r="U672" i="15" s="1"/>
  <c r="W672" i="15" s="1"/>
  <c r="X672" i="15" s="1"/>
  <c r="Q672" i="15" a="1"/>
  <c r="Q672" i="15" s="1"/>
  <c r="P673" i="15"/>
  <c r="Q673" i="15" a="1"/>
  <c r="Q673" i="15" s="1"/>
  <c r="R673" i="15"/>
  <c r="U673" i="15" s="1"/>
  <c r="W673" i="15" s="1"/>
  <c r="X673" i="15" s="1"/>
  <c r="P674" i="15"/>
  <c r="R674" i="15" s="1"/>
  <c r="U674" i="15" s="1"/>
  <c r="W674" i="15" s="1"/>
  <c r="X674" i="15" s="1"/>
  <c r="Q674" i="15" a="1"/>
  <c r="Q674" i="15" s="1"/>
  <c r="P675" i="15"/>
  <c r="R675" i="15" s="1"/>
  <c r="Q675" i="15" a="1"/>
  <c r="Q675" i="15" s="1"/>
  <c r="P676" i="15"/>
  <c r="Q676" i="15" a="1"/>
  <c r="Q676" i="15"/>
  <c r="R676" i="15"/>
  <c r="U676" i="15" s="1"/>
  <c r="W676" i="15" s="1"/>
  <c r="X676" i="15" s="1"/>
  <c r="P677" i="15"/>
  <c r="R677" i="15" s="1"/>
  <c r="U677" i="15" s="1"/>
  <c r="W677" i="15" s="1"/>
  <c r="X677" i="15" s="1"/>
  <c r="Q677" i="15" a="1"/>
  <c r="Q677" i="15"/>
  <c r="P678" i="15"/>
  <c r="R678" i="15" s="1"/>
  <c r="U678" i="15" s="1"/>
  <c r="W678" i="15" s="1"/>
  <c r="X678" i="15" s="1"/>
  <c r="Q678" i="15" a="1"/>
  <c r="Q678" i="15" s="1"/>
  <c r="P679" i="15"/>
  <c r="R679" i="15" s="1"/>
  <c r="U679" i="15" s="1"/>
  <c r="W679" i="15" s="1"/>
  <c r="X679" i="15" s="1"/>
  <c r="Q679" i="15" a="1"/>
  <c r="Q679" i="15" s="1"/>
  <c r="P680" i="15"/>
  <c r="R680" i="15" s="1"/>
  <c r="Q680" i="15" a="1"/>
  <c r="Q680" i="15"/>
  <c r="P681" i="15"/>
  <c r="R681" i="15" s="1"/>
  <c r="U681" i="15" s="1"/>
  <c r="W681" i="15" s="1"/>
  <c r="X681" i="15" s="1"/>
  <c r="Q681" i="15" a="1"/>
  <c r="Q681" i="15"/>
  <c r="P682" i="15"/>
  <c r="R682" i="15" s="1"/>
  <c r="U682" i="15" s="1"/>
  <c r="W682" i="15" s="1"/>
  <c r="X682" i="15" s="1"/>
  <c r="Q682" i="15" a="1"/>
  <c r="Q682" i="15" s="1"/>
  <c r="P683" i="15"/>
  <c r="R683" i="15" s="1"/>
  <c r="U683" i="15" s="1"/>
  <c r="W683" i="15" s="1"/>
  <c r="X683" i="15" s="1"/>
  <c r="Q683" i="15" a="1"/>
  <c r="Q683" i="15"/>
  <c r="P684" i="15"/>
  <c r="Q684" i="15" a="1"/>
  <c r="Q684" i="15" s="1"/>
  <c r="R684" i="15"/>
  <c r="U684" i="15" s="1"/>
  <c r="W684" i="15" s="1"/>
  <c r="X684" i="15" s="1"/>
  <c r="P685" i="15"/>
  <c r="R685" i="15" s="1"/>
  <c r="U685" i="15" s="1"/>
  <c r="W685" i="15" s="1"/>
  <c r="X685" i="15" s="1"/>
  <c r="Q685" i="15" a="1"/>
  <c r="Q685" i="15" s="1"/>
  <c r="P686" i="15"/>
  <c r="R686" i="15" s="1"/>
  <c r="U686" i="15" s="1"/>
  <c r="W686" i="15" s="1"/>
  <c r="X686" i="15" s="1"/>
  <c r="Q686" i="15" a="1"/>
  <c r="Q686" i="15"/>
  <c r="P687" i="15"/>
  <c r="R687" i="15" s="1"/>
  <c r="U687" i="15" s="1"/>
  <c r="W687" i="15" s="1"/>
  <c r="X687" i="15" s="1"/>
  <c r="Q687" i="15" a="1"/>
  <c r="Q687" i="15"/>
  <c r="P688" i="15"/>
  <c r="Q688" i="15" a="1"/>
  <c r="Q688" i="15" s="1"/>
  <c r="R688" i="15"/>
  <c r="U688" i="15" s="1"/>
  <c r="W688" i="15" s="1"/>
  <c r="X688" i="15" s="1"/>
  <c r="P689" i="15"/>
  <c r="R689" i="15" s="1"/>
  <c r="U689" i="15" s="1"/>
  <c r="W689" i="15" s="1"/>
  <c r="X689" i="15" s="1"/>
  <c r="Q689" i="15" a="1"/>
  <c r="Q689" i="15" s="1"/>
  <c r="P690" i="15"/>
  <c r="Q690" i="15" a="1"/>
  <c r="Q690" i="15" s="1"/>
  <c r="R690" i="15"/>
  <c r="U690" i="15" s="1"/>
  <c r="W690" i="15" s="1"/>
  <c r="X690" i="15" s="1"/>
  <c r="P691" i="15"/>
  <c r="Q691" i="15" a="1"/>
  <c r="Q691" i="15" s="1"/>
  <c r="R691" i="15"/>
  <c r="U691" i="15" s="1"/>
  <c r="W691" i="15" s="1"/>
  <c r="X691" i="15" s="1"/>
  <c r="P692" i="15"/>
  <c r="R692" i="15" s="1"/>
  <c r="U692" i="15" s="1"/>
  <c r="W692" i="15" s="1"/>
  <c r="X692" i="15" s="1"/>
  <c r="Q692" i="15" a="1"/>
  <c r="Q692" i="15" s="1"/>
  <c r="P693" i="15"/>
  <c r="R693" i="15" s="1"/>
  <c r="U693" i="15" s="1"/>
  <c r="W693" i="15" s="1"/>
  <c r="X693" i="15" s="1"/>
  <c r="Q693" i="15" a="1"/>
  <c r="Q693" i="15"/>
  <c r="P694" i="15"/>
  <c r="Q694" i="15" a="1"/>
  <c r="Q694" i="15" s="1"/>
  <c r="R694" i="15"/>
  <c r="U694" i="15" s="1"/>
  <c r="W694" i="15" s="1"/>
  <c r="X694" i="15" s="1"/>
  <c r="P695" i="15"/>
  <c r="Q695" i="15" a="1"/>
  <c r="Q695" i="15" s="1"/>
  <c r="R695" i="15"/>
  <c r="U695" i="15" s="1"/>
  <c r="W695" i="15" s="1"/>
  <c r="X695" i="15" s="1"/>
  <c r="P696" i="15"/>
  <c r="R696" i="15" s="1"/>
  <c r="U696" i="15" s="1"/>
  <c r="W696" i="15" s="1"/>
  <c r="X696" i="15" s="1"/>
  <c r="Q696" i="15" a="1"/>
  <c r="Q696" i="15" s="1"/>
  <c r="P697" i="15"/>
  <c r="R697" i="15" s="1"/>
  <c r="U697" i="15" s="1"/>
  <c r="W697" i="15" s="1"/>
  <c r="X697" i="15" s="1"/>
  <c r="Q697" i="15" a="1"/>
  <c r="Q697" i="15" s="1"/>
  <c r="P698" i="15"/>
  <c r="Q698" i="15" a="1"/>
  <c r="Q698" i="15"/>
  <c r="R698" i="15"/>
  <c r="P699" i="15"/>
  <c r="R699" i="15" s="1"/>
  <c r="U699" i="15" s="1"/>
  <c r="W699" i="15" s="1"/>
  <c r="X699" i="15" s="1"/>
  <c r="Q699" i="15" a="1"/>
  <c r="Q699" i="15"/>
  <c r="P700" i="15"/>
  <c r="R700" i="15" s="1"/>
  <c r="U700" i="15" s="1"/>
  <c r="W700" i="15" s="1"/>
  <c r="X700" i="15" s="1"/>
  <c r="Q700" i="15" a="1"/>
  <c r="Q700" i="15" s="1"/>
  <c r="P701" i="15"/>
  <c r="R701" i="15" s="1"/>
  <c r="U701" i="15" s="1"/>
  <c r="W701" i="15" s="1"/>
  <c r="X701" i="15" s="1"/>
  <c r="Q701" i="15" a="1"/>
  <c r="Q701" i="15" s="1"/>
  <c r="P702" i="15"/>
  <c r="R702" i="15" s="1"/>
  <c r="U702" i="15" s="1"/>
  <c r="W702" i="15" s="1"/>
  <c r="X702" i="15" s="1"/>
  <c r="Q702" i="15" a="1"/>
  <c r="Q702" i="15"/>
  <c r="P703" i="15"/>
  <c r="R703" i="15" s="1"/>
  <c r="U703" i="15" s="1"/>
  <c r="W703" i="15" s="1"/>
  <c r="X703" i="15" s="1"/>
  <c r="Q703" i="15" a="1"/>
  <c r="Q703" i="15" s="1"/>
  <c r="P704" i="15"/>
  <c r="R704" i="15" s="1"/>
  <c r="U704" i="15" s="1"/>
  <c r="W704" i="15" s="1"/>
  <c r="X704" i="15" s="1"/>
  <c r="Q704" i="15" a="1"/>
  <c r="Q704" i="15" s="1"/>
  <c r="P705" i="15"/>
  <c r="R705" i="15" s="1"/>
  <c r="U705" i="15" s="1"/>
  <c r="W705" i="15" s="1"/>
  <c r="X705" i="15" s="1"/>
  <c r="Q705" i="15" a="1"/>
  <c r="Q705" i="15"/>
  <c r="P706" i="15"/>
  <c r="Q706" i="15" a="1"/>
  <c r="Q706" i="15" s="1"/>
  <c r="R706" i="15"/>
  <c r="U706" i="15" s="1"/>
  <c r="W706" i="15" s="1"/>
  <c r="X706" i="15" s="1"/>
  <c r="P707" i="15"/>
  <c r="R707" i="15" s="1"/>
  <c r="U707" i="15" s="1"/>
  <c r="W707" i="15" s="1"/>
  <c r="X707" i="15" s="1"/>
  <c r="Q707" i="15" a="1"/>
  <c r="Q707" i="15" s="1"/>
  <c r="P708" i="15"/>
  <c r="R708" i="15" s="1"/>
  <c r="Q708" i="15" a="1"/>
  <c r="Q708" i="15" s="1"/>
  <c r="P709" i="15"/>
  <c r="Q709" i="15" a="1"/>
  <c r="Q709" i="15"/>
  <c r="R709" i="15"/>
  <c r="U709" i="15" s="1"/>
  <c r="W709" i="15" s="1"/>
  <c r="X709" i="15" s="1"/>
  <c r="P710" i="15"/>
  <c r="R710" i="15" s="1"/>
  <c r="U710" i="15" s="1"/>
  <c r="W710" i="15" s="1"/>
  <c r="X710" i="15" s="1"/>
  <c r="Q710" i="15" a="1"/>
  <c r="Q710" i="15" s="1"/>
  <c r="P711" i="15"/>
  <c r="R711" i="15" s="1"/>
  <c r="U711" i="15" s="1"/>
  <c r="W711" i="15" s="1"/>
  <c r="X711" i="15" s="1"/>
  <c r="Q711" i="15" a="1"/>
  <c r="Q711" i="15" s="1"/>
  <c r="P712" i="15"/>
  <c r="Q712" i="15" a="1"/>
  <c r="Q712" i="15"/>
  <c r="R712" i="15"/>
  <c r="U712" i="15" s="1"/>
  <c r="W712" i="15" s="1"/>
  <c r="X712" i="15" s="1"/>
  <c r="P713" i="15"/>
  <c r="Q713" i="15" a="1"/>
  <c r="Q713" i="15" s="1"/>
  <c r="R713" i="15"/>
  <c r="U713" i="15" s="1"/>
  <c r="W713" i="15" s="1"/>
  <c r="X713" i="15" s="1"/>
  <c r="P714" i="15"/>
  <c r="R714" i="15" s="1"/>
  <c r="U714" i="15" s="1"/>
  <c r="W714" i="15" s="1"/>
  <c r="X714" i="15" s="1"/>
  <c r="Q714" i="15" a="1"/>
  <c r="Q714" i="15" s="1"/>
  <c r="P715" i="15"/>
  <c r="R715" i="15" s="1"/>
  <c r="U715" i="15" s="1"/>
  <c r="W715" i="15" s="1"/>
  <c r="X715" i="15" s="1"/>
  <c r="Q715" i="15" a="1"/>
  <c r="Q715" i="15"/>
  <c r="P716" i="15"/>
  <c r="Q716" i="15" a="1"/>
  <c r="Q716" i="15" s="1"/>
  <c r="R716" i="15"/>
  <c r="U716" i="15" s="1"/>
  <c r="W716" i="15" s="1"/>
  <c r="X716" i="15" s="1"/>
  <c r="P717" i="15"/>
  <c r="R717" i="15" s="1"/>
  <c r="U717" i="15" s="1"/>
  <c r="W717" i="15" s="1"/>
  <c r="X717" i="15" s="1"/>
  <c r="Q717" i="15" a="1"/>
  <c r="Q717" i="15" s="1"/>
  <c r="P718" i="15"/>
  <c r="Q718" i="15" a="1"/>
  <c r="Q718" i="15" s="1"/>
  <c r="R718" i="15"/>
  <c r="U718" i="15" s="1"/>
  <c r="W718" i="15" s="1"/>
  <c r="X718" i="15" s="1"/>
  <c r="P719" i="15"/>
  <c r="R719" i="15" s="1"/>
  <c r="U719" i="15" s="1"/>
  <c r="W719" i="15" s="1"/>
  <c r="X719" i="15" s="1"/>
  <c r="Q719" i="15" a="1"/>
  <c r="Q719" i="15" s="1"/>
  <c r="P720" i="15"/>
  <c r="R720" i="15" s="1"/>
  <c r="U720" i="15" s="1"/>
  <c r="W720" i="15" s="1"/>
  <c r="X720" i="15" s="1"/>
  <c r="Q720" i="15" a="1"/>
  <c r="Q720" i="15"/>
  <c r="P721" i="15"/>
  <c r="R721" i="15" s="1"/>
  <c r="U721" i="15" s="1"/>
  <c r="W721" i="15" s="1"/>
  <c r="X721" i="15" s="1"/>
  <c r="Q721" i="15" a="1"/>
  <c r="Q721" i="15" s="1"/>
  <c r="P722" i="15"/>
  <c r="R722" i="15" s="1"/>
  <c r="U722" i="15" s="1"/>
  <c r="W722" i="15" s="1"/>
  <c r="X722" i="15" s="1"/>
  <c r="Q722" i="15" a="1"/>
  <c r="Q722" i="15" s="1"/>
  <c r="P723" i="15"/>
  <c r="Q723" i="15" a="1"/>
  <c r="Q723" i="15"/>
  <c r="R723" i="15"/>
  <c r="U723" i="15" s="1"/>
  <c r="W723" i="15" s="1"/>
  <c r="X723" i="15" s="1"/>
  <c r="P724" i="15"/>
  <c r="R724" i="15" s="1"/>
  <c r="U724" i="15" s="1"/>
  <c r="W724" i="15" s="1"/>
  <c r="X724" i="15" s="1"/>
  <c r="Q724" i="15" a="1"/>
  <c r="Q724" i="15" s="1"/>
  <c r="P725" i="15"/>
  <c r="R725" i="15" s="1"/>
  <c r="U725" i="15" s="1"/>
  <c r="W725" i="15" s="1"/>
  <c r="X725" i="15" s="1"/>
  <c r="Q725" i="15" a="1"/>
  <c r="Q725" i="15"/>
  <c r="P726" i="15"/>
  <c r="R726" i="15" s="1"/>
  <c r="U726" i="15" s="1"/>
  <c r="W726" i="15" s="1"/>
  <c r="X726" i="15" s="1"/>
  <c r="Q726" i="15" a="1"/>
  <c r="Q726" i="15"/>
  <c r="P727" i="15"/>
  <c r="R727" i="15" s="1"/>
  <c r="U727" i="15" s="1"/>
  <c r="W727" i="15" s="1"/>
  <c r="X727" i="15" s="1"/>
  <c r="Q727" i="15" a="1"/>
  <c r="Q727" i="15" s="1"/>
  <c r="P728" i="15"/>
  <c r="R728" i="15" s="1"/>
  <c r="U728" i="15" s="1"/>
  <c r="W728" i="15" s="1"/>
  <c r="X728" i="15" s="1"/>
  <c r="Q728" i="15" a="1"/>
  <c r="Q728" i="15" s="1"/>
  <c r="P729" i="15"/>
  <c r="R729" i="15" s="1"/>
  <c r="U729" i="15" s="1"/>
  <c r="W729" i="15" s="1"/>
  <c r="X729" i="15" s="1"/>
  <c r="Q729" i="15" a="1"/>
  <c r="Q729" i="15"/>
  <c r="P730" i="15"/>
  <c r="R730" i="15" s="1"/>
  <c r="U730" i="15" s="1"/>
  <c r="W730" i="15" s="1"/>
  <c r="X730" i="15" s="1"/>
  <c r="Q730" i="15" a="1"/>
  <c r="Q730" i="15"/>
  <c r="P731" i="15"/>
  <c r="R731" i="15" s="1"/>
  <c r="Q731" i="15" a="1"/>
  <c r="Q731" i="15" s="1"/>
  <c r="P732" i="15"/>
  <c r="R732" i="15" s="1"/>
  <c r="U732" i="15" s="1"/>
  <c r="W732" i="15" s="1"/>
  <c r="X732" i="15" s="1"/>
  <c r="Q732" i="15" a="1"/>
  <c r="Q732" i="15"/>
  <c r="P733" i="15"/>
  <c r="Q733" i="15" a="1"/>
  <c r="Q733" i="15" s="1"/>
  <c r="R733" i="15"/>
  <c r="U733" i="15" s="1"/>
  <c r="W733" i="15" s="1"/>
  <c r="X733" i="15" s="1"/>
  <c r="P734" i="15"/>
  <c r="R734" i="15" s="1"/>
  <c r="U734" i="15" s="1"/>
  <c r="W734" i="15" s="1"/>
  <c r="X734" i="15" s="1"/>
  <c r="Q734" i="15" a="1"/>
  <c r="Q734" i="15" s="1"/>
  <c r="P735" i="15"/>
  <c r="R735" i="15" s="1"/>
  <c r="U735" i="15" s="1"/>
  <c r="W735" i="15" s="1"/>
  <c r="X735" i="15" s="1"/>
  <c r="Q735" i="15" a="1"/>
  <c r="Q735" i="15" s="1"/>
  <c r="P736" i="15"/>
  <c r="R736" i="15" s="1"/>
  <c r="U736" i="15" s="1"/>
  <c r="W736" i="15" s="1"/>
  <c r="X736" i="15" s="1"/>
  <c r="Q736" i="15" a="1"/>
  <c r="Q736" i="15"/>
  <c r="P737" i="15"/>
  <c r="R737" i="15" s="1"/>
  <c r="U737" i="15" s="1"/>
  <c r="W737" i="15" s="1"/>
  <c r="X737" i="15" s="1"/>
  <c r="Q737" i="15" a="1"/>
  <c r="Q737" i="15"/>
  <c r="P738" i="15"/>
  <c r="R738" i="15" s="1"/>
  <c r="U738" i="15" s="1"/>
  <c r="W738" i="15" s="1"/>
  <c r="X738" i="15" s="1"/>
  <c r="Q738" i="15" a="1"/>
  <c r="Q738" i="15" s="1"/>
  <c r="P739" i="15"/>
  <c r="R739" i="15" s="1"/>
  <c r="U739" i="15" s="1"/>
  <c r="W739" i="15" s="1"/>
  <c r="X739" i="15" s="1"/>
  <c r="Q739" i="15" a="1"/>
  <c r="Q739" i="15" s="1"/>
  <c r="P740" i="15"/>
  <c r="R740" i="15" s="1"/>
  <c r="U740" i="15" s="1"/>
  <c r="W740" i="15" s="1"/>
  <c r="X740" i="15" s="1"/>
  <c r="Q740" i="15" a="1"/>
  <c r="Q740" i="15"/>
  <c r="P741" i="15"/>
  <c r="R741" i="15" s="1"/>
  <c r="U741" i="15" s="1"/>
  <c r="W741" i="15" s="1"/>
  <c r="X741" i="15" s="1"/>
  <c r="Q741" i="15" a="1"/>
  <c r="Q741" i="15" s="1"/>
  <c r="P742" i="15"/>
  <c r="R742" i="15" s="1"/>
  <c r="U742" i="15" s="1"/>
  <c r="W742" i="15" s="1"/>
  <c r="X742" i="15" s="1"/>
  <c r="Q742" i="15" a="1"/>
  <c r="Q742" i="15"/>
  <c r="P743" i="15"/>
  <c r="R743" i="15" s="1"/>
  <c r="U743" i="15" s="1"/>
  <c r="W743" i="15" s="1"/>
  <c r="X743" i="15" s="1"/>
  <c r="Q743" i="15" a="1"/>
  <c r="Q743" i="15"/>
  <c r="P744" i="15"/>
  <c r="Q744" i="15" a="1"/>
  <c r="Q744" i="15" s="1"/>
  <c r="R744" i="15"/>
  <c r="U744" i="15" s="1"/>
  <c r="W744" i="15" s="1"/>
  <c r="X744" i="15" s="1"/>
  <c r="P745" i="15"/>
  <c r="R745" i="15" s="1"/>
  <c r="U745" i="15" s="1"/>
  <c r="W745" i="15" s="1"/>
  <c r="X745" i="15" s="1"/>
  <c r="Q745" i="15" a="1"/>
  <c r="Q745" i="15" s="1"/>
  <c r="P746" i="15"/>
  <c r="R746" i="15" s="1"/>
  <c r="U746" i="15" s="1"/>
  <c r="W746" i="15" s="1"/>
  <c r="X746" i="15" s="1"/>
  <c r="Q746" i="15" a="1"/>
  <c r="Q746" i="15"/>
  <c r="P747" i="15"/>
  <c r="R747" i="15" s="1"/>
  <c r="U747" i="15" s="1"/>
  <c r="W747" i="15" s="1"/>
  <c r="X747" i="15" s="1"/>
  <c r="Q747" i="15" a="1"/>
  <c r="Q747" i="15"/>
  <c r="P748" i="15"/>
  <c r="R748" i="15" s="1"/>
  <c r="U748" i="15" s="1"/>
  <c r="W748" i="15" s="1"/>
  <c r="X748" i="15" s="1"/>
  <c r="Q748" i="15" a="1"/>
  <c r="Q748" i="15" s="1"/>
  <c r="P749" i="15"/>
  <c r="R749" i="15" s="1"/>
  <c r="U749" i="15" s="1"/>
  <c r="W749" i="15" s="1"/>
  <c r="X749" i="15" s="1"/>
  <c r="Q749" i="15" a="1"/>
  <c r="Q749" i="15"/>
  <c r="P750" i="15"/>
  <c r="Q750" i="15" a="1"/>
  <c r="Q750" i="15" s="1"/>
  <c r="R750" i="15"/>
  <c r="U750" i="15" s="1"/>
  <c r="W750" i="15" s="1"/>
  <c r="X750" i="15" s="1"/>
  <c r="P751" i="15"/>
  <c r="R751" i="15" s="1"/>
  <c r="U751" i="15" s="1"/>
  <c r="W751" i="15" s="1"/>
  <c r="X751" i="15" s="1"/>
  <c r="Q751" i="15" a="1"/>
  <c r="Q751" i="15"/>
  <c r="P752" i="15"/>
  <c r="R752" i="15" s="1"/>
  <c r="U752" i="15" s="1"/>
  <c r="W752" i="15" s="1"/>
  <c r="X752" i="15" s="1"/>
  <c r="Q752" i="15" a="1"/>
  <c r="Q752" i="15" s="1"/>
  <c r="P753" i="15"/>
  <c r="Q753" i="15" a="1"/>
  <c r="Q753" i="15" s="1"/>
  <c r="R753" i="15"/>
  <c r="U753" i="15" s="1"/>
  <c r="W753" i="15" s="1"/>
  <c r="X753" i="15" s="1"/>
  <c r="P754" i="15"/>
  <c r="R754" i="15" s="1"/>
  <c r="U754" i="15" s="1"/>
  <c r="W754" i="15" s="1"/>
  <c r="X754" i="15" s="1"/>
  <c r="Q754" i="15" a="1"/>
  <c r="Q754" i="15"/>
  <c r="P755" i="15"/>
  <c r="R755" i="15" s="1"/>
  <c r="U755" i="15" s="1"/>
  <c r="W755" i="15" s="1"/>
  <c r="X755" i="15" s="1"/>
  <c r="Q755" i="15" a="1"/>
  <c r="Q755" i="15" s="1"/>
  <c r="P756" i="15"/>
  <c r="R756" i="15" s="1"/>
  <c r="U756" i="15" s="1"/>
  <c r="W756" i="15" s="1"/>
  <c r="X756" i="15" s="1"/>
  <c r="Q756" i="15" a="1"/>
  <c r="Q756" i="15" s="1"/>
  <c r="P757" i="15"/>
  <c r="R757" i="15" s="1"/>
  <c r="U757" i="15" s="1"/>
  <c r="W757" i="15" s="1"/>
  <c r="X757" i="15" s="1"/>
  <c r="Q757" i="15" a="1"/>
  <c r="Q757" i="15"/>
  <c r="P758" i="15"/>
  <c r="R758" i="15" s="1"/>
  <c r="Q758" i="15" a="1"/>
  <c r="Q758" i="15"/>
  <c r="P759" i="15"/>
  <c r="R759" i="15" s="1"/>
  <c r="U759" i="15" s="1"/>
  <c r="W759" i="15" s="1"/>
  <c r="X759" i="15" s="1"/>
  <c r="Q759" i="15" a="1"/>
  <c r="Q759" i="15" s="1"/>
  <c r="P760" i="15"/>
  <c r="R760" i="15" s="1"/>
  <c r="U760" i="15" s="1"/>
  <c r="W760" i="15" s="1"/>
  <c r="X760" i="15" s="1"/>
  <c r="Q760" i="15" a="1"/>
  <c r="Q760" i="15" s="1"/>
  <c r="P761" i="15"/>
  <c r="Q761" i="15" a="1"/>
  <c r="Q761" i="15" s="1"/>
  <c r="R761" i="15"/>
  <c r="U761" i="15" s="1"/>
  <c r="W761" i="15" s="1"/>
  <c r="X761" i="15" s="1"/>
  <c r="P762" i="15"/>
  <c r="Q762" i="15" a="1"/>
  <c r="Q762" i="15" s="1"/>
  <c r="R762" i="15"/>
  <c r="U762" i="15" s="1"/>
  <c r="W762" i="15" s="1"/>
  <c r="X762" i="15" s="1"/>
  <c r="P763" i="15"/>
  <c r="R763" i="15" s="1"/>
  <c r="U763" i="15" s="1"/>
  <c r="W763" i="15" s="1"/>
  <c r="X763" i="15" s="1"/>
  <c r="Q763" i="15" a="1"/>
  <c r="Q763" i="15" s="1"/>
  <c r="P764" i="15"/>
  <c r="R764" i="15" s="1"/>
  <c r="U764" i="15" s="1"/>
  <c r="W764" i="15" s="1"/>
  <c r="X764" i="15" s="1"/>
  <c r="Q764" i="15" a="1"/>
  <c r="Q764" i="15"/>
  <c r="P765" i="15"/>
  <c r="Q765" i="15" a="1"/>
  <c r="Q765" i="15" s="1"/>
  <c r="R765" i="15"/>
  <c r="U765" i="15" s="1"/>
  <c r="W765" i="15" s="1"/>
  <c r="X765" i="15" s="1"/>
  <c r="P766" i="15"/>
  <c r="R766" i="15" s="1"/>
  <c r="U766" i="15" s="1"/>
  <c r="W766" i="15" s="1"/>
  <c r="X766" i="15" s="1"/>
  <c r="Q766" i="15" a="1"/>
  <c r="Q766" i="15" s="1"/>
  <c r="P767" i="15"/>
  <c r="R767" i="15" s="1"/>
  <c r="U767" i="15" s="1"/>
  <c r="W767" i="15" s="1"/>
  <c r="X767" i="15" s="1"/>
  <c r="Q767" i="15" a="1"/>
  <c r="Q767" i="15"/>
  <c r="P768" i="15"/>
  <c r="Q768" i="15" a="1"/>
  <c r="Q768" i="15" s="1"/>
  <c r="R768" i="15"/>
  <c r="U768" i="15" s="1"/>
  <c r="W768" i="15" s="1"/>
  <c r="X768" i="15" s="1"/>
  <c r="P769" i="15"/>
  <c r="R769" i="15" s="1"/>
  <c r="U769" i="15" s="1"/>
  <c r="W769" i="15" s="1"/>
  <c r="X769" i="15" s="1"/>
  <c r="Q769" i="15" a="1"/>
  <c r="Q769" i="15"/>
  <c r="P770" i="15"/>
  <c r="R770" i="15" s="1"/>
  <c r="U770" i="15" s="1"/>
  <c r="W770" i="15" s="1"/>
  <c r="X770" i="15" s="1"/>
  <c r="Q770" i="15" a="1"/>
  <c r="Q770" i="15" s="1"/>
  <c r="P771" i="15"/>
  <c r="R771" i="15" s="1"/>
  <c r="U771" i="15" s="1"/>
  <c r="W771" i="15" s="1"/>
  <c r="X771" i="15" s="1"/>
  <c r="Q771" i="15" a="1"/>
  <c r="Q771" i="15"/>
  <c r="P772" i="15"/>
  <c r="Q772" i="15" a="1"/>
  <c r="Q772" i="15"/>
  <c r="R772" i="15"/>
  <c r="U772" i="15" s="1"/>
  <c r="W772" i="15" s="1"/>
  <c r="X772" i="15" s="1"/>
  <c r="P773" i="15"/>
  <c r="R773" i="15" s="1"/>
  <c r="U773" i="15" s="1"/>
  <c r="W773" i="15" s="1"/>
  <c r="X773" i="15" s="1"/>
  <c r="Q773" i="15" a="1"/>
  <c r="Q773" i="15" s="1"/>
  <c r="P774" i="15"/>
  <c r="R774" i="15" s="1"/>
  <c r="U774" i="15" s="1"/>
  <c r="W774" i="15" s="1"/>
  <c r="X774" i="15" s="1"/>
  <c r="Q774" i="15" a="1"/>
  <c r="Q774" i="15" s="1"/>
  <c r="P775" i="15"/>
  <c r="Q775" i="15" a="1"/>
  <c r="Q775" i="15"/>
  <c r="R775" i="15"/>
  <c r="U775" i="15" s="1"/>
  <c r="W775" i="15" s="1"/>
  <c r="X775" i="15" s="1"/>
  <c r="P776" i="15"/>
  <c r="R776" i="15" s="1"/>
  <c r="U776" i="15" s="1"/>
  <c r="W776" i="15" s="1"/>
  <c r="X776" i="15" s="1"/>
  <c r="Q776" i="15" a="1"/>
  <c r="Q776" i="15" s="1"/>
  <c r="P777" i="15"/>
  <c r="R777" i="15" s="1"/>
  <c r="U777" i="15" s="1"/>
  <c r="W777" i="15" s="1"/>
  <c r="X777" i="15" s="1"/>
  <c r="Q777" i="15" a="1"/>
  <c r="Q777" i="15" s="1"/>
  <c r="P778" i="15"/>
  <c r="Q778" i="15" a="1"/>
  <c r="Q778" i="15"/>
  <c r="R778" i="15"/>
  <c r="U778" i="15" s="1"/>
  <c r="W778" i="15" s="1"/>
  <c r="X778" i="15" s="1"/>
  <c r="P779" i="15"/>
  <c r="Q779" i="15" a="1"/>
  <c r="Q779" i="15" s="1"/>
  <c r="R779" i="15"/>
  <c r="U779" i="15" s="1"/>
  <c r="W779" i="15" s="1"/>
  <c r="X779" i="15" s="1"/>
  <c r="P780" i="15"/>
  <c r="R780" i="15" s="1"/>
  <c r="U780" i="15" s="1"/>
  <c r="W780" i="15" s="1"/>
  <c r="X780" i="15" s="1"/>
  <c r="Q780" i="15" a="1"/>
  <c r="Q780" i="15" s="1"/>
  <c r="P781" i="15"/>
  <c r="R781" i="15" s="1"/>
  <c r="U781" i="15" s="1"/>
  <c r="W781" i="15" s="1"/>
  <c r="X781" i="15" s="1"/>
  <c r="Q781" i="15" a="1"/>
  <c r="Q781" i="15"/>
  <c r="P782" i="15"/>
  <c r="R782" i="15" s="1"/>
  <c r="U782" i="15" s="1"/>
  <c r="W782" i="15" s="1"/>
  <c r="X782" i="15" s="1"/>
  <c r="Q782" i="15" a="1"/>
  <c r="Q782" i="15"/>
  <c r="P783" i="15"/>
  <c r="R783" i="15" s="1"/>
  <c r="U783" i="15" s="1"/>
  <c r="W783" i="15" s="1"/>
  <c r="X783" i="15" s="1"/>
  <c r="Q783" i="15" a="1"/>
  <c r="Q783" i="15" s="1"/>
  <c r="P784" i="15"/>
  <c r="R784" i="15" s="1"/>
  <c r="U784" i="15" s="1"/>
  <c r="W784" i="15" s="1"/>
  <c r="X784" i="15" s="1"/>
  <c r="Q784" i="15" a="1"/>
  <c r="Q784" i="15" s="1"/>
  <c r="P785" i="15"/>
  <c r="R785" i="15" s="1"/>
  <c r="U785" i="15" s="1"/>
  <c r="W785" i="15" s="1"/>
  <c r="X785" i="15" s="1"/>
  <c r="Q785" i="15" a="1"/>
  <c r="Q785" i="15" s="1"/>
  <c r="P786" i="15"/>
  <c r="R786" i="15" s="1"/>
  <c r="U786" i="15" s="1"/>
  <c r="W786" i="15" s="1"/>
  <c r="X786" i="15" s="1"/>
  <c r="Q786" i="15" a="1"/>
  <c r="Q786" i="15" s="1"/>
  <c r="P787" i="15"/>
  <c r="R787" i="15" s="1"/>
  <c r="U787" i="15" s="1"/>
  <c r="W787" i="15" s="1"/>
  <c r="X787" i="15" s="1"/>
  <c r="Q787" i="15" a="1"/>
  <c r="Q787" i="15" s="1"/>
  <c r="P788" i="15"/>
  <c r="R788" i="15" s="1"/>
  <c r="U788" i="15" s="1"/>
  <c r="W788" i="15" s="1"/>
  <c r="X788" i="15" s="1"/>
  <c r="Q788" i="15" a="1"/>
  <c r="Q788" i="15" s="1"/>
  <c r="P789" i="15"/>
  <c r="R789" i="15" s="1"/>
  <c r="Q789" i="15" a="1"/>
  <c r="Q789" i="15"/>
  <c r="P790" i="15"/>
  <c r="R790" i="15" s="1"/>
  <c r="Q790" i="15" a="1"/>
  <c r="Q790" i="15"/>
  <c r="P791" i="15"/>
  <c r="R791" i="15" s="1"/>
  <c r="U791" i="15" s="1"/>
  <c r="W791" i="15" s="1"/>
  <c r="X791" i="15" s="1"/>
  <c r="Q791" i="15" a="1"/>
  <c r="Q791" i="15" s="1"/>
  <c r="P792" i="15"/>
  <c r="Q792" i="15" a="1"/>
  <c r="Q792" i="15" s="1"/>
  <c r="R792" i="15"/>
  <c r="U792" i="15" s="1"/>
  <c r="W792" i="15" s="1"/>
  <c r="X792" i="15" s="1"/>
  <c r="P793" i="15"/>
  <c r="Q793" i="15" a="1"/>
  <c r="Q793" i="15" s="1"/>
  <c r="R793" i="15"/>
  <c r="U793" i="15" s="1"/>
  <c r="W793" i="15" s="1"/>
  <c r="X793" i="15" s="1"/>
  <c r="P794" i="15"/>
  <c r="R794" i="15" s="1"/>
  <c r="U794" i="15" s="1"/>
  <c r="W794" i="15" s="1"/>
  <c r="X794" i="15" s="1"/>
  <c r="Q794" i="15" a="1"/>
  <c r="Q794" i="15" s="1"/>
  <c r="P795" i="15"/>
  <c r="R795" i="15" s="1"/>
  <c r="U795" i="15" s="1"/>
  <c r="W795" i="15" s="1"/>
  <c r="X795" i="15" s="1"/>
  <c r="Q795" i="15" a="1"/>
  <c r="Q795" i="15" s="1"/>
  <c r="P796" i="15"/>
  <c r="R796" i="15" s="1"/>
  <c r="U796" i="15" s="1"/>
  <c r="W796" i="15" s="1"/>
  <c r="X796" i="15" s="1"/>
  <c r="Q796" i="15" a="1"/>
  <c r="Q796" i="15"/>
  <c r="P797" i="15"/>
  <c r="R797" i="15" s="1"/>
  <c r="U797" i="15" s="1"/>
  <c r="W797" i="15" s="1"/>
  <c r="X797" i="15" s="1"/>
  <c r="Q797" i="15" a="1"/>
  <c r="Q797" i="15" s="1"/>
  <c r="P798" i="15"/>
  <c r="R798" i="15" s="1"/>
  <c r="U798" i="15" s="1"/>
  <c r="W798" i="15" s="1"/>
  <c r="X798" i="15" s="1"/>
  <c r="Q798" i="15" a="1"/>
  <c r="Q798" i="15" s="1"/>
  <c r="P799" i="15"/>
  <c r="R799" i="15" s="1"/>
  <c r="U799" i="15" s="1"/>
  <c r="W799" i="15" s="1"/>
  <c r="X799" i="15" s="1"/>
  <c r="Q799" i="15" a="1"/>
  <c r="Q799" i="15" s="1"/>
  <c r="P800" i="15"/>
  <c r="R800" i="15" s="1"/>
  <c r="U800" i="15" s="1"/>
  <c r="W800" i="15" s="1"/>
  <c r="X800" i="15" s="1"/>
  <c r="Q800" i="15" a="1"/>
  <c r="Q800" i="15"/>
  <c r="P801" i="15"/>
  <c r="R801" i="15" s="1"/>
  <c r="U801" i="15" s="1"/>
  <c r="W801" i="15" s="1"/>
  <c r="X801" i="15" s="1"/>
  <c r="Q801" i="15" a="1"/>
  <c r="Q801" i="15"/>
  <c r="P802" i="15"/>
  <c r="R802" i="15" s="1"/>
  <c r="U802" i="15" s="1"/>
  <c r="W802" i="15" s="1"/>
  <c r="X802" i="15" s="1"/>
  <c r="Q802" i="15" a="1"/>
  <c r="Q802" i="15" s="1"/>
  <c r="P803" i="15"/>
  <c r="Q803" i="15" a="1"/>
  <c r="Q803" i="15" s="1"/>
  <c r="R803" i="15"/>
  <c r="U803" i="15" s="1"/>
  <c r="W803" i="15" s="1"/>
  <c r="X803" i="15" s="1"/>
  <c r="P804" i="15"/>
  <c r="Q804" i="15" a="1"/>
  <c r="Q804" i="15" s="1"/>
  <c r="R804" i="15"/>
  <c r="U804" i="15" s="1"/>
  <c r="W804" i="15" s="1"/>
  <c r="X804" i="15" s="1"/>
  <c r="P805" i="15"/>
  <c r="R805" i="15" s="1"/>
  <c r="U805" i="15" s="1"/>
  <c r="W805" i="15" s="1"/>
  <c r="X805" i="15" s="1"/>
  <c r="Q805" i="15" a="1"/>
  <c r="Q805" i="15" s="1"/>
  <c r="P806" i="15"/>
  <c r="R806" i="15" s="1"/>
  <c r="U806" i="15" s="1"/>
  <c r="W806" i="15" s="1"/>
  <c r="X806" i="15" s="1"/>
  <c r="Q806" i="15" a="1"/>
  <c r="Q806" i="15"/>
  <c r="P807" i="15"/>
  <c r="R807" i="15" s="1"/>
  <c r="U807" i="15" s="1"/>
  <c r="W807" i="15" s="1"/>
  <c r="X807" i="15" s="1"/>
  <c r="Q807" i="15" a="1"/>
  <c r="Q807" i="15"/>
  <c r="P808" i="15"/>
  <c r="R808" i="15" s="1"/>
  <c r="U808" i="15" s="1"/>
  <c r="W808" i="15" s="1"/>
  <c r="X808" i="15" s="1"/>
  <c r="Q808" i="15" a="1"/>
  <c r="Q808" i="15" s="1"/>
  <c r="P809" i="15"/>
  <c r="R809" i="15" s="1"/>
  <c r="U809" i="15" s="1"/>
  <c r="W809" i="15" s="1"/>
  <c r="X809" i="15" s="1"/>
  <c r="Q809" i="15" a="1"/>
  <c r="Q809" i="15" s="1"/>
  <c r="P810" i="15"/>
  <c r="R810" i="15" s="1"/>
  <c r="U810" i="15" s="1"/>
  <c r="W810" i="15" s="1"/>
  <c r="X810" i="15" s="1"/>
  <c r="Q810" i="15" a="1"/>
  <c r="Q810" i="15" s="1"/>
  <c r="P811" i="15"/>
  <c r="R811" i="15" s="1"/>
  <c r="U811" i="15" s="1"/>
  <c r="W811" i="15" s="1"/>
  <c r="X811" i="15" s="1"/>
  <c r="Q811" i="15" a="1"/>
  <c r="Q811" i="15"/>
  <c r="P812" i="15"/>
  <c r="R812" i="15" s="1"/>
  <c r="U812" i="15" s="1"/>
  <c r="W812" i="15" s="1"/>
  <c r="X812" i="15" s="1"/>
  <c r="Q812" i="15" a="1"/>
  <c r="Q812" i="15" s="1"/>
  <c r="P813" i="15"/>
  <c r="R813" i="15" s="1"/>
  <c r="U813" i="15" s="1"/>
  <c r="W813" i="15" s="1"/>
  <c r="X813" i="15" s="1"/>
  <c r="Q813" i="15" a="1"/>
  <c r="Q813" i="15" s="1"/>
  <c r="P814" i="15"/>
  <c r="R814" i="15" s="1"/>
  <c r="U814" i="15" s="1"/>
  <c r="W814" i="15" s="1"/>
  <c r="X814" i="15" s="1"/>
  <c r="Q814" i="15" a="1"/>
  <c r="Q814" i="15"/>
  <c r="P815" i="15"/>
  <c r="R815" i="15" s="1"/>
  <c r="U815" i="15" s="1"/>
  <c r="W815" i="15" s="1"/>
  <c r="X815" i="15" s="1"/>
  <c r="Q815" i="15" a="1"/>
  <c r="Q815" i="15" s="1"/>
  <c r="P816" i="15"/>
  <c r="R816" i="15" s="1"/>
  <c r="U816" i="15" s="1"/>
  <c r="W816" i="15" s="1"/>
  <c r="X816" i="15" s="1"/>
  <c r="Q816" i="15" a="1"/>
  <c r="Q816" i="15" s="1"/>
  <c r="P817" i="15"/>
  <c r="R817" i="15" s="1"/>
  <c r="U817" i="15" s="1"/>
  <c r="W817" i="15" s="1"/>
  <c r="X817" i="15" s="1"/>
  <c r="Q817" i="15" a="1"/>
  <c r="Q817" i="15"/>
  <c r="P818" i="15"/>
  <c r="R818" i="15" s="1"/>
  <c r="U818" i="15" s="1"/>
  <c r="W818" i="15" s="1"/>
  <c r="X818" i="15" s="1"/>
  <c r="Q818" i="15" a="1"/>
  <c r="Q818" i="15"/>
  <c r="P819" i="15"/>
  <c r="R819" i="15" s="1"/>
  <c r="U819" i="15" s="1"/>
  <c r="W819" i="15" s="1"/>
  <c r="X819" i="15" s="1"/>
  <c r="Q819" i="15" a="1"/>
  <c r="Q819" i="15" s="1"/>
  <c r="P820" i="15"/>
  <c r="R820" i="15" s="1"/>
  <c r="U820" i="15" s="1"/>
  <c r="W820" i="15" s="1"/>
  <c r="X820" i="15" s="1"/>
  <c r="Q820" i="15" a="1"/>
  <c r="Q820" i="15" s="1"/>
  <c r="P821" i="15"/>
  <c r="R821" i="15" s="1"/>
  <c r="U821" i="15" s="1"/>
  <c r="W821" i="15" s="1"/>
  <c r="X821" i="15" s="1"/>
  <c r="Q821" i="15" a="1"/>
  <c r="Q821" i="15" s="1"/>
  <c r="P822" i="15"/>
  <c r="R822" i="15" s="1"/>
  <c r="U822" i="15" s="1"/>
  <c r="W822" i="15" s="1"/>
  <c r="X822" i="15" s="1"/>
  <c r="Q822" i="15" a="1"/>
  <c r="Q822" i="15"/>
  <c r="P823" i="15"/>
  <c r="R823" i="15" s="1"/>
  <c r="U823" i="15" s="1"/>
  <c r="W823" i="15" s="1"/>
  <c r="X823" i="15" s="1"/>
  <c r="Q823" i="15" a="1"/>
  <c r="Q823" i="15" s="1"/>
  <c r="P824" i="15"/>
  <c r="R824" i="15" s="1"/>
  <c r="U824" i="15" s="1"/>
  <c r="W824" i="15" s="1"/>
  <c r="X824" i="15" s="1"/>
  <c r="Q824" i="15" a="1"/>
  <c r="Q824" i="15"/>
  <c r="P825" i="15"/>
  <c r="Q825" i="15" a="1"/>
  <c r="Q825" i="15"/>
  <c r="R825" i="15"/>
  <c r="U825" i="15" s="1"/>
  <c r="W825" i="15" s="1"/>
  <c r="X825" i="15" s="1"/>
  <c r="P826" i="15"/>
  <c r="R826" i="15" s="1"/>
  <c r="U826" i="15" s="1"/>
  <c r="W826" i="15" s="1"/>
  <c r="X826" i="15" s="1"/>
  <c r="Q826" i="15" a="1"/>
  <c r="Q826" i="15" s="1"/>
  <c r="P827" i="15"/>
  <c r="R827" i="15" s="1"/>
  <c r="U827" i="15" s="1"/>
  <c r="W827" i="15" s="1"/>
  <c r="X827" i="15" s="1"/>
  <c r="Q827" i="15" a="1"/>
  <c r="Q827" i="15" s="1"/>
  <c r="P828" i="15"/>
  <c r="R828" i="15" s="1"/>
  <c r="U828" i="15" s="1"/>
  <c r="W828" i="15" s="1"/>
  <c r="X828" i="15" s="1"/>
  <c r="Q828" i="15" a="1"/>
  <c r="Q828" i="15"/>
  <c r="P829" i="15"/>
  <c r="R829" i="15" s="1"/>
  <c r="U829" i="15" s="1"/>
  <c r="W829" i="15" s="1"/>
  <c r="X829" i="15" s="1"/>
  <c r="Q829" i="15" a="1"/>
  <c r="Q829" i="15"/>
  <c r="P830" i="15"/>
  <c r="R830" i="15" s="1"/>
  <c r="U830" i="15" s="1"/>
  <c r="W830" i="15" s="1"/>
  <c r="X830" i="15" s="1"/>
  <c r="Q830" i="15" a="1"/>
  <c r="Q830" i="15" s="1"/>
  <c r="P831" i="15"/>
  <c r="R831" i="15" s="1"/>
  <c r="U831" i="15" s="1"/>
  <c r="W831" i="15" s="1"/>
  <c r="X831" i="15" s="1"/>
  <c r="Q831" i="15" a="1"/>
  <c r="Q831" i="15" s="1"/>
  <c r="P832" i="15"/>
  <c r="Q832" i="15" a="1"/>
  <c r="Q832" i="15" s="1"/>
  <c r="R832" i="15"/>
  <c r="U832" i="15" s="1"/>
  <c r="W832" i="15" s="1"/>
  <c r="X832" i="15" s="1"/>
  <c r="P833" i="15"/>
  <c r="R833" i="15" s="1"/>
  <c r="U833" i="15" s="1"/>
  <c r="W833" i="15" s="1"/>
  <c r="X833" i="15" s="1"/>
  <c r="Q833" i="15" a="1"/>
  <c r="Q833" i="15"/>
  <c r="P834" i="15"/>
  <c r="R834" i="15" s="1"/>
  <c r="U834" i="15" s="1"/>
  <c r="W834" i="15" s="1"/>
  <c r="X834" i="15" s="1"/>
  <c r="Q834" i="15" a="1"/>
  <c r="Q834" i="15" s="1"/>
  <c r="P835" i="15"/>
  <c r="R835" i="15" s="1"/>
  <c r="U835" i="15" s="1"/>
  <c r="W835" i="15" s="1"/>
  <c r="X835" i="15" s="1"/>
  <c r="Q835" i="15" a="1"/>
  <c r="Q835" i="15" s="1"/>
  <c r="P836" i="15"/>
  <c r="Q836" i="15" a="1"/>
  <c r="Q836" i="15"/>
  <c r="R836" i="15"/>
  <c r="U836" i="15" s="1"/>
  <c r="W836" i="15" s="1"/>
  <c r="X836" i="15" s="1"/>
  <c r="P837" i="15"/>
  <c r="Q837" i="15" a="1"/>
  <c r="Q837" i="15" s="1"/>
  <c r="R837" i="15"/>
  <c r="U837" i="15" s="1"/>
  <c r="W837" i="15" s="1"/>
  <c r="X837" i="15" s="1"/>
  <c r="P838" i="15"/>
  <c r="R838" i="15" s="1"/>
  <c r="U838" i="15" s="1"/>
  <c r="W838" i="15" s="1"/>
  <c r="X838" i="15" s="1"/>
  <c r="Q838" i="15" a="1"/>
  <c r="Q838" i="15"/>
  <c r="P839" i="15"/>
  <c r="Q839" i="15" a="1"/>
  <c r="Q839" i="15"/>
  <c r="R839" i="15"/>
  <c r="U839" i="15" s="1"/>
  <c r="W839" i="15" s="1"/>
  <c r="X839" i="15" s="1"/>
  <c r="P840" i="15"/>
  <c r="R840" i="15" s="1"/>
  <c r="U840" i="15" s="1"/>
  <c r="W840" i="15" s="1"/>
  <c r="X840" i="15" s="1"/>
  <c r="Q840" i="15" a="1"/>
  <c r="Q840" i="15"/>
  <c r="P841" i="15"/>
  <c r="R841" i="15" s="1"/>
  <c r="U841" i="15" s="1"/>
  <c r="W841" i="15" s="1"/>
  <c r="X841" i="15" s="1"/>
  <c r="Q841" i="15" a="1"/>
  <c r="Q841" i="15" s="1"/>
  <c r="P842" i="15"/>
  <c r="R842" i="15" s="1"/>
  <c r="U842" i="15" s="1"/>
  <c r="W842" i="15" s="1"/>
  <c r="X842" i="15" s="1"/>
  <c r="Q842" i="15" a="1"/>
  <c r="Q842" i="15" s="1"/>
  <c r="P843" i="15"/>
  <c r="Q843" i="15" a="1"/>
  <c r="Q843" i="15" s="1"/>
  <c r="R843" i="15"/>
  <c r="U843" i="15" s="1"/>
  <c r="W843" i="15" s="1"/>
  <c r="X843" i="15" s="1"/>
  <c r="P844" i="15"/>
  <c r="R844" i="15" s="1"/>
  <c r="U844" i="15" s="1"/>
  <c r="W844" i="15" s="1"/>
  <c r="X844" i="15" s="1"/>
  <c r="Q844" i="15" a="1"/>
  <c r="Q844" i="15"/>
  <c r="P845" i="15"/>
  <c r="R845" i="15" s="1"/>
  <c r="U845" i="15" s="1"/>
  <c r="W845" i="15" s="1"/>
  <c r="X845" i="15" s="1"/>
  <c r="Q845" i="15" a="1"/>
  <c r="Q845" i="15" s="1"/>
  <c r="P846" i="15"/>
  <c r="R846" i="15" s="1"/>
  <c r="U846" i="15" s="1"/>
  <c r="W846" i="15" s="1"/>
  <c r="X846" i="15" s="1"/>
  <c r="Q846" i="15" a="1"/>
  <c r="Q846" i="15"/>
  <c r="P847" i="15"/>
  <c r="Q847" i="15" a="1"/>
  <c r="Q847" i="15"/>
  <c r="R847" i="15"/>
  <c r="U847" i="15" s="1"/>
  <c r="W847" i="15" s="1"/>
  <c r="X847" i="15" s="1"/>
  <c r="P848" i="15"/>
  <c r="R848" i="15" s="1"/>
  <c r="U848" i="15" s="1"/>
  <c r="W848" i="15" s="1"/>
  <c r="X848" i="15" s="1"/>
  <c r="Q848" i="15" a="1"/>
  <c r="Q848" i="15" s="1"/>
  <c r="P849" i="15"/>
  <c r="R849" i="15" s="1"/>
  <c r="Q849" i="15" a="1"/>
  <c r="Q849" i="15" s="1"/>
  <c r="P850" i="15"/>
  <c r="Q850" i="15" a="1"/>
  <c r="Q850" i="15"/>
  <c r="R850" i="15"/>
  <c r="U850" i="15" s="1"/>
  <c r="W850" i="15" s="1"/>
  <c r="X850" i="15" s="1"/>
  <c r="P851" i="15"/>
  <c r="R851" i="15" s="1"/>
  <c r="U851" i="15" s="1"/>
  <c r="W851" i="15" s="1"/>
  <c r="X851" i="15" s="1"/>
  <c r="Q851" i="15" a="1"/>
  <c r="Q851" i="15" s="1"/>
  <c r="P852" i="15"/>
  <c r="R852" i="15" s="1"/>
  <c r="U852" i="15" s="1"/>
  <c r="W852" i="15" s="1"/>
  <c r="X852" i="15" s="1"/>
  <c r="Q852" i="15" a="1"/>
  <c r="Q852" i="15" s="1"/>
  <c r="P853" i="15"/>
  <c r="R853" i="15" s="1"/>
  <c r="U853" i="15" s="1"/>
  <c r="W853" i="15" s="1"/>
  <c r="X853" i="15" s="1"/>
  <c r="Q853" i="15" a="1"/>
  <c r="Q853" i="15" s="1"/>
  <c r="P854" i="15"/>
  <c r="Q854" i="15" a="1"/>
  <c r="Q854" i="15" s="1"/>
  <c r="R854" i="15"/>
  <c r="U854" i="15" s="1"/>
  <c r="W854" i="15" s="1"/>
  <c r="X854" i="15" s="1"/>
  <c r="P855" i="15"/>
  <c r="R855" i="15" s="1"/>
  <c r="U855" i="15" s="1"/>
  <c r="W855" i="15" s="1"/>
  <c r="X855" i="15" s="1"/>
  <c r="Q855" i="15" a="1"/>
  <c r="Q855" i="15" s="1"/>
  <c r="P856" i="15"/>
  <c r="R856" i="15" s="1"/>
  <c r="U856" i="15" s="1"/>
  <c r="W856" i="15" s="1"/>
  <c r="X856" i="15" s="1"/>
  <c r="Q856" i="15" a="1"/>
  <c r="Q856" i="15" s="1"/>
  <c r="P857" i="15"/>
  <c r="R857" i="15" s="1"/>
  <c r="U857" i="15" s="1"/>
  <c r="W857" i="15" s="1"/>
  <c r="X857" i="15" s="1"/>
  <c r="Q857" i="15" a="1"/>
  <c r="Q857" i="15"/>
  <c r="P858" i="15"/>
  <c r="Q858" i="15" a="1"/>
  <c r="Q858" i="15"/>
  <c r="R858" i="15"/>
  <c r="U858" i="15" s="1"/>
  <c r="W858" i="15" s="1"/>
  <c r="X858" i="15" s="1"/>
  <c r="P859" i="15"/>
  <c r="R859" i="15" s="1"/>
  <c r="U859" i="15" s="1"/>
  <c r="W859" i="15" s="1"/>
  <c r="X859" i="15" s="1"/>
  <c r="Q859" i="15" a="1"/>
  <c r="Q859" i="15" s="1"/>
  <c r="P860" i="15"/>
  <c r="R860" i="15" s="1"/>
  <c r="U860" i="15" s="1"/>
  <c r="W860" i="15" s="1"/>
  <c r="X860" i="15" s="1"/>
  <c r="Q860" i="15" a="1"/>
  <c r="Q860" i="15"/>
  <c r="P861" i="15"/>
  <c r="Q861" i="15" a="1"/>
  <c r="Q861" i="15"/>
  <c r="R861" i="15"/>
  <c r="U861" i="15" s="1"/>
  <c r="W861" i="15" s="1"/>
  <c r="X861" i="15" s="1"/>
  <c r="P862" i="15"/>
  <c r="R862" i="15" s="1"/>
  <c r="U862" i="15" s="1"/>
  <c r="W862" i="15" s="1"/>
  <c r="X862" i="15" s="1"/>
  <c r="Q862" i="15" a="1"/>
  <c r="Q862" i="15" s="1"/>
  <c r="P863" i="15"/>
  <c r="R863" i="15" s="1"/>
  <c r="U863" i="15" s="1"/>
  <c r="W863" i="15" s="1"/>
  <c r="X863" i="15" s="1"/>
  <c r="Q863" i="15" a="1"/>
  <c r="Q863" i="15" s="1"/>
  <c r="P864" i="15"/>
  <c r="Q864" i="15" a="1"/>
  <c r="Q864" i="15"/>
  <c r="R864" i="15"/>
  <c r="U864" i="15" s="1"/>
  <c r="W864" i="15" s="1"/>
  <c r="X864" i="15" s="1"/>
  <c r="P865" i="15"/>
  <c r="Q865" i="15" a="1"/>
  <c r="Q865" i="15" s="1"/>
  <c r="R865" i="15"/>
  <c r="U865" i="15" s="1"/>
  <c r="W865" i="15" s="1"/>
  <c r="X865" i="15" s="1"/>
  <c r="P866" i="15"/>
  <c r="R866" i="15" s="1"/>
  <c r="U866" i="15" s="1"/>
  <c r="W866" i="15" s="1"/>
  <c r="X866" i="15" s="1"/>
  <c r="Q866" i="15" a="1"/>
  <c r="Q866" i="15" s="1"/>
  <c r="P867" i="15"/>
  <c r="R867" i="15" s="1"/>
  <c r="U867" i="15" s="1"/>
  <c r="W867" i="15" s="1"/>
  <c r="X867" i="15" s="1"/>
  <c r="Q867" i="15" a="1"/>
  <c r="Q867" i="15"/>
  <c r="P868" i="15"/>
  <c r="R868" i="15" s="1"/>
  <c r="U868" i="15" s="1"/>
  <c r="W868" i="15" s="1"/>
  <c r="X868" i="15" s="1"/>
  <c r="Q868" i="15" a="1"/>
  <c r="Q868" i="15"/>
  <c r="P869" i="15"/>
  <c r="R869" i="15" s="1"/>
  <c r="U869" i="15" s="1"/>
  <c r="W869" i="15" s="1"/>
  <c r="X869" i="15" s="1"/>
  <c r="Q869" i="15" a="1"/>
  <c r="Q869" i="15" s="1"/>
  <c r="P870" i="15"/>
  <c r="R870" i="15" s="1"/>
  <c r="U870" i="15" s="1"/>
  <c r="W870" i="15" s="1"/>
  <c r="X870" i="15" s="1"/>
  <c r="Q870" i="15" a="1"/>
  <c r="Q870" i="15" s="1"/>
  <c r="P871" i="15"/>
  <c r="R871" i="15" s="1"/>
  <c r="U871" i="15" s="1"/>
  <c r="W871" i="15" s="1"/>
  <c r="X871" i="15" s="1"/>
  <c r="Q871" i="15" a="1"/>
  <c r="Q871" i="15"/>
  <c r="P872" i="15"/>
  <c r="R872" i="15" s="1"/>
  <c r="U872" i="15" s="1"/>
  <c r="W872" i="15" s="1"/>
  <c r="X872" i="15" s="1"/>
  <c r="Q872" i="15" a="1"/>
  <c r="Q872" i="15" s="1"/>
  <c r="P873" i="15"/>
  <c r="R873" i="15" s="1"/>
  <c r="U873" i="15" s="1"/>
  <c r="W873" i="15" s="1"/>
  <c r="X873" i="15" s="1"/>
  <c r="Q873" i="15" a="1"/>
  <c r="Q873" i="15" s="1"/>
  <c r="P874" i="15"/>
  <c r="R874" i="15" s="1"/>
  <c r="U874" i="15" s="1"/>
  <c r="W874" i="15" s="1"/>
  <c r="X874" i="15" s="1"/>
  <c r="Q874" i="15" a="1"/>
  <c r="Q874" i="15" s="1"/>
  <c r="P875" i="15"/>
  <c r="R875" i="15" s="1"/>
  <c r="U875" i="15" s="1"/>
  <c r="W875" i="15" s="1"/>
  <c r="X875" i="15" s="1"/>
  <c r="Q875" i="15" a="1"/>
  <c r="Q875" i="15" s="1"/>
  <c r="P876" i="15"/>
  <c r="Q876" i="15" a="1"/>
  <c r="Q876" i="15" s="1"/>
  <c r="R876" i="15"/>
  <c r="U876" i="15" s="1"/>
  <c r="W876" i="15" s="1"/>
  <c r="X876" i="15" s="1"/>
  <c r="P877" i="15"/>
  <c r="R877" i="15" s="1"/>
  <c r="U877" i="15" s="1"/>
  <c r="W877" i="15" s="1"/>
  <c r="X877" i="15" s="1"/>
  <c r="Q877" i="15" a="1"/>
  <c r="Q877" i="15"/>
  <c r="P878" i="15"/>
  <c r="R878" i="15" s="1"/>
  <c r="U878" i="15" s="1"/>
  <c r="W878" i="15" s="1"/>
  <c r="X878" i="15" s="1"/>
  <c r="Q878" i="15" a="1"/>
  <c r="Q878" i="15" s="1"/>
  <c r="P879" i="15"/>
  <c r="Q879" i="15" a="1"/>
  <c r="Q879" i="15"/>
  <c r="R879" i="15"/>
  <c r="U879" i="15" s="1"/>
  <c r="W879" i="15" s="1"/>
  <c r="X879" i="15" s="1"/>
  <c r="P880" i="15"/>
  <c r="R880" i="15" s="1"/>
  <c r="U880" i="15" s="1"/>
  <c r="W880" i="15" s="1"/>
  <c r="X880" i="15" s="1"/>
  <c r="Q880" i="15" a="1"/>
  <c r="Q880" i="15" s="1"/>
  <c r="P881" i="15"/>
  <c r="R881" i="15" s="1"/>
  <c r="U881" i="15" s="1"/>
  <c r="W881" i="15" s="1"/>
  <c r="X881" i="15" s="1"/>
  <c r="Q881" i="15" a="1"/>
  <c r="Q881" i="15" s="1"/>
  <c r="P882" i="15"/>
  <c r="R882" i="15" s="1"/>
  <c r="U882" i="15" s="1"/>
  <c r="W882" i="15" s="1"/>
  <c r="X882" i="15" s="1"/>
  <c r="Q882" i="15" a="1"/>
  <c r="Q882" i="15" s="1"/>
  <c r="P883" i="15"/>
  <c r="Q883" i="15" a="1"/>
  <c r="Q883" i="15"/>
  <c r="R883" i="15"/>
  <c r="U883" i="15" s="1"/>
  <c r="W883" i="15" s="1"/>
  <c r="X883" i="15" s="1"/>
  <c r="P884" i="15"/>
  <c r="R884" i="15" s="1"/>
  <c r="U884" i="15" s="1"/>
  <c r="W884" i="15" s="1"/>
  <c r="X884" i="15" s="1"/>
  <c r="Q884" i="15" a="1"/>
  <c r="Q884" i="15"/>
  <c r="P885" i="15"/>
  <c r="R885" i="15" s="1"/>
  <c r="U885" i="15" s="1"/>
  <c r="W885" i="15" s="1"/>
  <c r="X885" i="15" s="1"/>
  <c r="Q885" i="15" a="1"/>
  <c r="Q885" i="15" s="1"/>
  <c r="P886" i="15"/>
  <c r="Q886" i="15" a="1"/>
  <c r="Q886" i="15"/>
  <c r="R886" i="15"/>
  <c r="U886" i="15" s="1"/>
  <c r="W886" i="15" s="1"/>
  <c r="X886" i="15" s="1"/>
  <c r="P887" i="15"/>
  <c r="R887" i="15" s="1"/>
  <c r="U887" i="15" s="1"/>
  <c r="W887" i="15" s="1"/>
  <c r="X887" i="15" s="1"/>
  <c r="Q887" i="15" a="1"/>
  <c r="Q887" i="15" s="1"/>
  <c r="P888" i="15"/>
  <c r="R888" i="15" s="1"/>
  <c r="U888" i="15" s="1"/>
  <c r="W888" i="15" s="1"/>
  <c r="X888" i="15" s="1"/>
  <c r="Q888" i="15" a="1"/>
  <c r="Q888" i="15" s="1"/>
  <c r="P889" i="15"/>
  <c r="R889" i="15" s="1"/>
  <c r="U889" i="15" s="1"/>
  <c r="W889" i="15" s="1"/>
  <c r="X889" i="15" s="1"/>
  <c r="Q889" i="15" a="1"/>
  <c r="Q889" i="15"/>
  <c r="P890" i="15"/>
  <c r="Q890" i="15" a="1"/>
  <c r="Q890" i="15"/>
  <c r="R890" i="15"/>
  <c r="U890" i="15" s="1"/>
  <c r="W890" i="15" s="1"/>
  <c r="X890" i="15" s="1"/>
  <c r="P891" i="15"/>
  <c r="R891" i="15" s="1"/>
  <c r="U891" i="15" s="1"/>
  <c r="W891" i="15" s="1"/>
  <c r="X891" i="15" s="1"/>
  <c r="Q891" i="15" a="1"/>
  <c r="Q891" i="15"/>
  <c r="P892" i="15"/>
  <c r="Q892" i="15" a="1"/>
  <c r="Q892" i="15" s="1"/>
  <c r="R892" i="15"/>
  <c r="U892" i="15" s="1"/>
  <c r="W892" i="15" s="1"/>
  <c r="X892" i="15" s="1"/>
  <c r="P893" i="15"/>
  <c r="R893" i="15" s="1"/>
  <c r="U893" i="15" s="1"/>
  <c r="W893" i="15" s="1"/>
  <c r="X893" i="15" s="1"/>
  <c r="Q893" i="15" a="1"/>
  <c r="Q893" i="15"/>
  <c r="P894" i="15"/>
  <c r="R894" i="15" s="1"/>
  <c r="U894" i="15" s="1"/>
  <c r="W894" i="15" s="1"/>
  <c r="X894" i="15" s="1"/>
  <c r="Q894" i="15" a="1"/>
  <c r="Q894" i="15" s="1"/>
  <c r="P895" i="15"/>
  <c r="R895" i="15" s="1"/>
  <c r="U895" i="15" s="1"/>
  <c r="W895" i="15" s="1"/>
  <c r="X895" i="15" s="1"/>
  <c r="Q895" i="15" a="1"/>
  <c r="Q895" i="15"/>
  <c r="P896" i="15"/>
  <c r="R896" i="15" s="1"/>
  <c r="U896" i="15" s="1"/>
  <c r="W896" i="15" s="1"/>
  <c r="X896" i="15" s="1"/>
  <c r="Q896" i="15" a="1"/>
  <c r="Q896" i="15" s="1"/>
  <c r="P897" i="15"/>
  <c r="Q897" i="15" a="1"/>
  <c r="Q897" i="15" s="1"/>
  <c r="R897" i="15"/>
  <c r="U897" i="15" s="1"/>
  <c r="W897" i="15" s="1"/>
  <c r="X897" i="15" s="1"/>
  <c r="P898" i="15"/>
  <c r="R898" i="15" s="1"/>
  <c r="U898" i="15" s="1"/>
  <c r="W898" i="15" s="1"/>
  <c r="X898" i="15" s="1"/>
  <c r="Q898" i="15" a="1"/>
  <c r="Q898" i="15" s="1"/>
  <c r="P899" i="15"/>
  <c r="Q899" i="15" a="1"/>
  <c r="Q899" i="15"/>
  <c r="R899" i="15"/>
  <c r="U899" i="15" s="1"/>
  <c r="W899" i="15" s="1"/>
  <c r="X899" i="15" s="1"/>
  <c r="P900" i="15"/>
  <c r="R900" i="15" s="1"/>
  <c r="U900" i="15" s="1"/>
  <c r="W900" i="15" s="1"/>
  <c r="X900" i="15" s="1"/>
  <c r="Q900" i="15" a="1"/>
  <c r="Q900" i="15" s="1"/>
  <c r="P901" i="15"/>
  <c r="R901" i="15" s="1"/>
  <c r="U901" i="15" s="1"/>
  <c r="W901" i="15" s="1"/>
  <c r="X901" i="15" s="1"/>
  <c r="Q901" i="15" a="1"/>
  <c r="Q901" i="15" s="1"/>
  <c r="P902" i="15"/>
  <c r="Q902" i="15" a="1"/>
  <c r="Q902" i="15" s="1"/>
  <c r="R902" i="15"/>
  <c r="U902" i="15" s="1"/>
  <c r="W902" i="15" s="1"/>
  <c r="X902" i="15" s="1"/>
  <c r="P903" i="15"/>
  <c r="Q903" i="15" a="1"/>
  <c r="Q903" i="15" s="1"/>
  <c r="R903" i="15"/>
  <c r="U903" i="15" s="1"/>
  <c r="W903" i="15" s="1"/>
  <c r="X903" i="15" s="1"/>
  <c r="P904" i="15"/>
  <c r="R904" i="15" s="1"/>
  <c r="U904" i="15" s="1"/>
  <c r="W904" i="15" s="1"/>
  <c r="X904" i="15" s="1"/>
  <c r="Q904" i="15" a="1"/>
  <c r="Q904" i="15" s="1"/>
  <c r="P905" i="15"/>
  <c r="R905" i="15" s="1"/>
  <c r="U905" i="15" s="1"/>
  <c r="W905" i="15" s="1"/>
  <c r="X905" i="15" s="1"/>
  <c r="Q905" i="15" a="1"/>
  <c r="Q905" i="15" s="1"/>
  <c r="P906" i="15"/>
  <c r="R906" i="15" s="1"/>
  <c r="U906" i="15" s="1"/>
  <c r="W906" i="15" s="1"/>
  <c r="X906" i="15" s="1"/>
  <c r="Q906" i="15" a="1"/>
  <c r="Q906" i="15"/>
  <c r="P907" i="15"/>
  <c r="R907" i="15" s="1"/>
  <c r="U907" i="15" s="1"/>
  <c r="W907" i="15" s="1"/>
  <c r="X907" i="15" s="1"/>
  <c r="Q907" i="15" a="1"/>
  <c r="Q907" i="15" s="1"/>
  <c r="P908" i="15"/>
  <c r="R908" i="15" s="1"/>
  <c r="U908" i="15" s="1"/>
  <c r="W908" i="15" s="1"/>
  <c r="X908" i="15" s="1"/>
  <c r="Q908" i="15" a="1"/>
  <c r="Q908" i="15" s="1"/>
  <c r="P909" i="15"/>
  <c r="R909" i="15" s="1"/>
  <c r="U909" i="15" s="1"/>
  <c r="W909" i="15" s="1"/>
  <c r="X909" i="15" s="1"/>
  <c r="Q909" i="15" a="1"/>
  <c r="Q909" i="15" s="1"/>
  <c r="P910" i="15"/>
  <c r="Q910" i="15" a="1"/>
  <c r="Q910" i="15" s="1"/>
  <c r="R910" i="15"/>
  <c r="U910" i="15" s="1"/>
  <c r="W910" i="15" s="1"/>
  <c r="X910" i="15" s="1"/>
  <c r="P911" i="15"/>
  <c r="R911" i="15" s="1"/>
  <c r="U911" i="15" s="1"/>
  <c r="W911" i="15" s="1"/>
  <c r="X911" i="15" s="1"/>
  <c r="Q911" i="15" a="1"/>
  <c r="Q911" i="15" s="1"/>
  <c r="P912" i="15"/>
  <c r="Q912" i="15" a="1"/>
  <c r="Q912" i="15"/>
  <c r="R912" i="15"/>
  <c r="U912" i="15" s="1"/>
  <c r="W912" i="15" s="1"/>
  <c r="X912" i="15" s="1"/>
  <c r="P913" i="15"/>
  <c r="R913" i="15" s="1"/>
  <c r="U913" i="15" s="1"/>
  <c r="W913" i="15" s="1"/>
  <c r="X913" i="15" s="1"/>
  <c r="Q913" i="15" a="1"/>
  <c r="Q913" i="15"/>
  <c r="P914" i="15"/>
  <c r="R914" i="15" s="1"/>
  <c r="U914" i="15" s="1"/>
  <c r="W914" i="15" s="1"/>
  <c r="X914" i="15" s="1"/>
  <c r="Q914" i="15" a="1"/>
  <c r="Q914" i="15" s="1"/>
  <c r="P915" i="15"/>
  <c r="R915" i="15" s="1"/>
  <c r="U915" i="15" s="1"/>
  <c r="W915" i="15" s="1"/>
  <c r="X915" i="15" s="1"/>
  <c r="Q915" i="15" a="1"/>
  <c r="Q915" i="15"/>
  <c r="P916" i="15"/>
  <c r="R916" i="15" s="1"/>
  <c r="U916" i="15" s="1"/>
  <c r="W916" i="15" s="1"/>
  <c r="X916" i="15" s="1"/>
  <c r="Q916" i="15" a="1"/>
  <c r="Q916" i="15" s="1"/>
  <c r="P917" i="15"/>
  <c r="R917" i="15" s="1"/>
  <c r="U917" i="15" s="1"/>
  <c r="W917" i="15" s="1"/>
  <c r="X917" i="15" s="1"/>
  <c r="Q917" i="15" a="1"/>
  <c r="Q917" i="15"/>
  <c r="P918" i="15"/>
  <c r="R918" i="15" s="1"/>
  <c r="U918" i="15" s="1"/>
  <c r="W918" i="15" s="1"/>
  <c r="X918" i="15" s="1"/>
  <c r="Q918" i="15" a="1"/>
  <c r="Q918" i="15" s="1"/>
  <c r="P919" i="15"/>
  <c r="Q919" i="15" a="1"/>
  <c r="Q919" i="15"/>
  <c r="R919" i="15"/>
  <c r="U919" i="15" s="1"/>
  <c r="W919" i="15" s="1"/>
  <c r="X919" i="15" s="1"/>
  <c r="P920" i="15"/>
  <c r="R920" i="15" s="1"/>
  <c r="U920" i="15" s="1"/>
  <c r="W920" i="15" s="1"/>
  <c r="X920" i="15" s="1"/>
  <c r="Q920" i="15" a="1"/>
  <c r="Q920" i="15" s="1"/>
  <c r="P921" i="15"/>
  <c r="R921" i="15" s="1"/>
  <c r="U921" i="15" s="1"/>
  <c r="W921" i="15" s="1"/>
  <c r="X921" i="15" s="1"/>
  <c r="Q921" i="15" a="1"/>
  <c r="Q921" i="15"/>
  <c r="P922" i="15"/>
  <c r="R922" i="15" s="1"/>
  <c r="U922" i="15" s="1"/>
  <c r="W922" i="15" s="1"/>
  <c r="X922" i="15" s="1"/>
  <c r="Q922" i="15" a="1"/>
  <c r="Q922" i="15"/>
  <c r="P923" i="15"/>
  <c r="R923" i="15" s="1"/>
  <c r="U923" i="15" s="1"/>
  <c r="W923" i="15" s="1"/>
  <c r="X923" i="15" s="1"/>
  <c r="Q923" i="15" a="1"/>
  <c r="Q923" i="15" s="1"/>
  <c r="P924" i="15"/>
  <c r="R924" i="15" s="1"/>
  <c r="U924" i="15" s="1"/>
  <c r="W924" i="15" s="1"/>
  <c r="X924" i="15" s="1"/>
  <c r="Q924" i="15" a="1"/>
  <c r="Q924" i="15"/>
  <c r="P925" i="15"/>
  <c r="Q925" i="15" a="1"/>
  <c r="Q925" i="15" s="1"/>
  <c r="R925" i="15"/>
  <c r="U925" i="15" s="1"/>
  <c r="W925" i="15" s="1"/>
  <c r="X925" i="15" s="1"/>
  <c r="P926" i="15"/>
  <c r="R926" i="15" s="1"/>
  <c r="U926" i="15" s="1"/>
  <c r="W926" i="15" s="1"/>
  <c r="X926" i="15" s="1"/>
  <c r="Q926" i="15" a="1"/>
  <c r="Q926" i="15" s="1"/>
  <c r="P927" i="15"/>
  <c r="R927" i="15" s="1"/>
  <c r="U927" i="15" s="1"/>
  <c r="W927" i="15" s="1"/>
  <c r="X927" i="15" s="1"/>
  <c r="Q927" i="15" a="1"/>
  <c r="Q927" i="15" s="1"/>
  <c r="P928" i="15"/>
  <c r="R928" i="15" s="1"/>
  <c r="U928" i="15" s="1"/>
  <c r="W928" i="15" s="1"/>
  <c r="X928" i="15" s="1"/>
  <c r="Q928" i="15" a="1"/>
  <c r="Q928" i="15"/>
  <c r="P929" i="15"/>
  <c r="R929" i="15" s="1"/>
  <c r="U929" i="15" s="1"/>
  <c r="W929" i="15" s="1"/>
  <c r="X929" i="15" s="1"/>
  <c r="Q929" i="15" a="1"/>
  <c r="Q929" i="15" s="1"/>
  <c r="P930" i="15"/>
  <c r="R930" i="15" s="1"/>
  <c r="U930" i="15" s="1"/>
  <c r="W930" i="15" s="1"/>
  <c r="X930" i="15" s="1"/>
  <c r="Q930" i="15" a="1"/>
  <c r="Q930" i="15" s="1"/>
  <c r="P931" i="15"/>
  <c r="R931" i="15" s="1"/>
  <c r="U931" i="15" s="1"/>
  <c r="W931" i="15" s="1"/>
  <c r="X931" i="15" s="1"/>
  <c r="Q931" i="15" a="1"/>
  <c r="Q931" i="15" s="1"/>
  <c r="P932" i="15"/>
  <c r="Q932" i="15" a="1"/>
  <c r="Q932" i="15"/>
  <c r="R932" i="15"/>
  <c r="U932" i="15" s="1"/>
  <c r="W932" i="15" s="1"/>
  <c r="X932" i="15" s="1"/>
  <c r="P933" i="15"/>
  <c r="R933" i="15" s="1"/>
  <c r="U933" i="15" s="1"/>
  <c r="W933" i="15" s="1"/>
  <c r="X933" i="15" s="1"/>
  <c r="Q933" i="15" a="1"/>
  <c r="Q933" i="15" s="1"/>
  <c r="P934" i="15"/>
  <c r="R934" i="15" s="1"/>
  <c r="U934" i="15" s="1"/>
  <c r="W934" i="15" s="1"/>
  <c r="X934" i="15" s="1"/>
  <c r="Q934" i="15" a="1"/>
  <c r="Q934" i="15" s="1"/>
  <c r="P935" i="15"/>
  <c r="Q935" i="15" a="1"/>
  <c r="Q935" i="15"/>
  <c r="R935" i="15"/>
  <c r="P936" i="15"/>
  <c r="Q936" i="15" a="1"/>
  <c r="Q936" i="15" s="1"/>
  <c r="R936" i="15"/>
  <c r="U936" i="15" s="1"/>
  <c r="W936" i="15" s="1"/>
  <c r="X936" i="15" s="1"/>
  <c r="P937" i="15"/>
  <c r="R937" i="15" s="1"/>
  <c r="U937" i="15" s="1"/>
  <c r="W937" i="15" s="1"/>
  <c r="X937" i="15" s="1"/>
  <c r="Q937" i="15" a="1"/>
  <c r="Q937" i="15" s="1"/>
  <c r="P938" i="15"/>
  <c r="R938" i="15" s="1"/>
  <c r="U938" i="15" s="1"/>
  <c r="W938" i="15" s="1"/>
  <c r="X938" i="15" s="1"/>
  <c r="Q938" i="15" a="1"/>
  <c r="Q938" i="15"/>
  <c r="P939" i="15"/>
  <c r="R939" i="15" s="1"/>
  <c r="U939" i="15" s="1"/>
  <c r="W939" i="15" s="1"/>
  <c r="X939" i="15" s="1"/>
  <c r="Q939" i="15" a="1"/>
  <c r="Q939" i="15"/>
  <c r="P940" i="15"/>
  <c r="R940" i="15" s="1"/>
  <c r="U940" i="15" s="1"/>
  <c r="W940" i="15" s="1"/>
  <c r="X940" i="15" s="1"/>
  <c r="Q940" i="15" a="1"/>
  <c r="Q940" i="15" s="1"/>
  <c r="P941" i="15"/>
  <c r="R941" i="15" s="1"/>
  <c r="U941" i="15" s="1"/>
  <c r="W941" i="15" s="1"/>
  <c r="X941" i="15" s="1"/>
  <c r="Q941" i="15" a="1"/>
  <c r="Q941" i="15"/>
  <c r="P942" i="15"/>
  <c r="Q942" i="15" a="1"/>
  <c r="Q942" i="15" s="1"/>
  <c r="R942" i="15"/>
  <c r="U942" i="15" s="1"/>
  <c r="W942" i="15" s="1"/>
  <c r="X942" i="15" s="1"/>
  <c r="P943" i="15"/>
  <c r="Q943" i="15" a="1"/>
  <c r="Q943" i="15"/>
  <c r="R943" i="15"/>
  <c r="U943" i="15" s="1"/>
  <c r="W943" i="15" s="1"/>
  <c r="X943" i="15" s="1"/>
  <c r="P944" i="15"/>
  <c r="R944" i="15" s="1"/>
  <c r="U944" i="15" s="1"/>
  <c r="W944" i="15" s="1"/>
  <c r="X944" i="15" s="1"/>
  <c r="Q944" i="15" a="1"/>
  <c r="Q944" i="15" s="1"/>
  <c r="P945" i="15"/>
  <c r="R945" i="15" s="1"/>
  <c r="U945" i="15" s="1"/>
  <c r="W945" i="15" s="1"/>
  <c r="X945" i="15" s="1"/>
  <c r="Q945" i="15" a="1"/>
  <c r="Q945" i="15"/>
  <c r="P946" i="15"/>
  <c r="Q946" i="15" a="1"/>
  <c r="Q946" i="15"/>
  <c r="R946" i="15"/>
  <c r="U946" i="15" s="1"/>
  <c r="W946" i="15" s="1"/>
  <c r="X946" i="15" s="1"/>
  <c r="P947" i="15"/>
  <c r="R947" i="15" s="1"/>
  <c r="U947" i="15" s="1"/>
  <c r="W947" i="15" s="1"/>
  <c r="X947" i="15" s="1"/>
  <c r="Q947" i="15" a="1"/>
  <c r="Q947" i="15" s="1"/>
  <c r="P948" i="15"/>
  <c r="R948" i="15" s="1"/>
  <c r="U948" i="15" s="1"/>
  <c r="W948" i="15" s="1"/>
  <c r="X948" i="15" s="1"/>
  <c r="Q948" i="15" a="1"/>
  <c r="Q948" i="15" s="1"/>
  <c r="P949" i="15"/>
  <c r="Q949" i="15" a="1"/>
  <c r="Q949" i="15"/>
  <c r="R949" i="15"/>
  <c r="U949" i="15" s="1"/>
  <c r="W949" i="15" s="1"/>
  <c r="X949" i="15" s="1"/>
  <c r="P950" i="15"/>
  <c r="R950" i="15" s="1"/>
  <c r="U950" i="15" s="1"/>
  <c r="W950" i="15" s="1"/>
  <c r="X950" i="15" s="1"/>
  <c r="Q950" i="15" a="1"/>
  <c r="Q950" i="15" s="1"/>
  <c r="P951" i="15"/>
  <c r="R951" i="15" s="1"/>
  <c r="U951" i="15" s="1"/>
  <c r="W951" i="15" s="1"/>
  <c r="X951" i="15" s="1"/>
  <c r="Q951" i="15" a="1"/>
  <c r="Q951" i="15" s="1"/>
  <c r="P952" i="15"/>
  <c r="R952" i="15" s="1"/>
  <c r="U952" i="15" s="1"/>
  <c r="W952" i="15" s="1"/>
  <c r="X952" i="15" s="1"/>
  <c r="Q952" i="15" a="1"/>
  <c r="Q952" i="15"/>
  <c r="P953" i="15"/>
  <c r="Q953" i="15" a="1"/>
  <c r="Q953" i="15"/>
  <c r="R953" i="15"/>
  <c r="U953" i="15" s="1"/>
  <c r="W953" i="15" s="1"/>
  <c r="X953" i="15" s="1"/>
  <c r="P954" i="15"/>
  <c r="R954" i="15" s="1"/>
  <c r="U954" i="15" s="1"/>
  <c r="W954" i="15" s="1"/>
  <c r="X954" i="15" s="1"/>
  <c r="Q954" i="15" a="1"/>
  <c r="Q954" i="15" s="1"/>
  <c r="P955" i="15"/>
  <c r="R955" i="15" s="1"/>
  <c r="U955" i="15" s="1"/>
  <c r="W955" i="15" s="1"/>
  <c r="X955" i="15" s="1"/>
  <c r="Q955" i="15" a="1"/>
  <c r="Q955" i="15"/>
  <c r="P956" i="15"/>
  <c r="R956" i="15" s="1"/>
  <c r="U956" i="15" s="1"/>
  <c r="W956" i="15" s="1"/>
  <c r="X956" i="15" s="1"/>
  <c r="Q956" i="15" a="1"/>
  <c r="Q956" i="15"/>
  <c r="P957" i="15"/>
  <c r="R957" i="15" s="1"/>
  <c r="U957" i="15" s="1"/>
  <c r="W957" i="15" s="1"/>
  <c r="X957" i="15" s="1"/>
  <c r="Q957" i="15" a="1"/>
  <c r="Q957" i="15" s="1"/>
  <c r="P958" i="15"/>
  <c r="R958" i="15" s="1"/>
  <c r="U958" i="15" s="1"/>
  <c r="W958" i="15" s="1"/>
  <c r="X958" i="15" s="1"/>
  <c r="Q958" i="15" a="1"/>
  <c r="Q958" i="15" s="1"/>
  <c r="P959" i="15"/>
  <c r="R959" i="15" s="1"/>
  <c r="U959" i="15" s="1"/>
  <c r="W959" i="15" s="1"/>
  <c r="X959" i="15" s="1"/>
  <c r="Q959" i="15" a="1"/>
  <c r="Q959" i="15"/>
  <c r="P960" i="15"/>
  <c r="Q960" i="15" a="1"/>
  <c r="Q960" i="15" s="1"/>
  <c r="R960" i="15"/>
  <c r="U960" i="15" s="1"/>
  <c r="W960" i="15" s="1"/>
  <c r="X960" i="15" s="1"/>
  <c r="P961" i="15"/>
  <c r="Q961" i="15" a="1"/>
  <c r="Q961" i="15" s="1"/>
  <c r="R961" i="15"/>
  <c r="U961" i="15" s="1"/>
  <c r="W961" i="15" s="1"/>
  <c r="X961" i="15" s="1"/>
  <c r="P962" i="15"/>
  <c r="R962" i="15" s="1"/>
  <c r="U962" i="15" s="1"/>
  <c r="W962" i="15" s="1"/>
  <c r="X962" i="15" s="1"/>
  <c r="Q962" i="15" a="1"/>
  <c r="Q962" i="15" s="1"/>
  <c r="P963" i="15"/>
  <c r="R963" i="15" s="1"/>
  <c r="U963" i="15" s="1"/>
  <c r="W963" i="15" s="1"/>
  <c r="X963" i="15" s="1"/>
  <c r="Q963" i="15" a="1"/>
  <c r="Q963" i="15" s="1"/>
  <c r="P964" i="15"/>
  <c r="R964" i="15" s="1"/>
  <c r="U964" i="15" s="1"/>
  <c r="W964" i="15" s="1"/>
  <c r="X964" i="15" s="1"/>
  <c r="Q964" i="15" a="1"/>
  <c r="Q964" i="15" s="1"/>
  <c r="P965" i="15"/>
  <c r="R965" i="15" s="1"/>
  <c r="U965" i="15" s="1"/>
  <c r="W965" i="15" s="1"/>
  <c r="X965" i="15" s="1"/>
  <c r="Q965" i="15" a="1"/>
  <c r="Q965" i="15"/>
  <c r="P966" i="15"/>
  <c r="R966" i="15" s="1"/>
  <c r="U966" i="15" s="1"/>
  <c r="W966" i="15" s="1"/>
  <c r="X966" i="15" s="1"/>
  <c r="Q966" i="15" a="1"/>
  <c r="Q966" i="15"/>
  <c r="P967" i="15"/>
  <c r="R967" i="15" s="1"/>
  <c r="U967" i="15" s="1"/>
  <c r="W967" i="15" s="1"/>
  <c r="X967" i="15" s="1"/>
  <c r="Q967" i="15" a="1"/>
  <c r="Q967" i="15" s="1"/>
  <c r="P968" i="15"/>
  <c r="R968" i="15" s="1"/>
  <c r="U968" i="15" s="1"/>
  <c r="W968" i="15" s="1"/>
  <c r="X968" i="15" s="1"/>
  <c r="Q968" i="15" a="1"/>
  <c r="Q968" i="15"/>
  <c r="P969" i="15"/>
  <c r="R969" i="15" s="1"/>
  <c r="U969" i="15" s="1"/>
  <c r="W969" i="15" s="1"/>
  <c r="X969" i="15" s="1"/>
  <c r="Q969" i="15" a="1"/>
  <c r="Q969" i="15" s="1"/>
  <c r="P970" i="15"/>
  <c r="R970" i="15" s="1"/>
  <c r="U970" i="15" s="1"/>
  <c r="W970" i="15" s="1"/>
  <c r="X970" i="15" s="1"/>
  <c r="Q970" i="15" a="1"/>
  <c r="Q970" i="15" s="1"/>
  <c r="P971" i="15"/>
  <c r="R971" i="15" s="1"/>
  <c r="U971" i="15" s="1"/>
  <c r="W971" i="15" s="1"/>
  <c r="X971" i="15" s="1"/>
  <c r="Q971" i="15" a="1"/>
  <c r="Q971" i="15"/>
  <c r="P972" i="15"/>
  <c r="R972" i="15" s="1"/>
  <c r="U972" i="15" s="1"/>
  <c r="W972" i="15" s="1"/>
  <c r="X972" i="15" s="1"/>
  <c r="Q972" i="15" a="1"/>
  <c r="Q972" i="15"/>
  <c r="P973" i="15"/>
  <c r="R973" i="15" s="1"/>
  <c r="U973" i="15" s="1"/>
  <c r="W973" i="15" s="1"/>
  <c r="X973" i="15" s="1"/>
  <c r="Q973" i="15" a="1"/>
  <c r="Q973" i="15" s="1"/>
  <c r="P974" i="15"/>
  <c r="R974" i="15" s="1"/>
  <c r="U974" i="15" s="1"/>
  <c r="W974" i="15" s="1"/>
  <c r="X974" i="15" s="1"/>
  <c r="Q974" i="15" a="1"/>
  <c r="Q974" i="15" s="1"/>
  <c r="P975" i="15"/>
  <c r="R975" i="15" s="1"/>
  <c r="U975" i="15" s="1"/>
  <c r="W975" i="15" s="1"/>
  <c r="X975" i="15" s="1"/>
  <c r="Q975" i="15" a="1"/>
  <c r="Q975" i="15" s="1"/>
  <c r="P976" i="15"/>
  <c r="Q976" i="15" a="1"/>
  <c r="Q976" i="15"/>
  <c r="R976" i="15"/>
  <c r="U976" i="15" s="1"/>
  <c r="W976" i="15" s="1"/>
  <c r="X976" i="15" s="1"/>
  <c r="P977" i="15"/>
  <c r="R977" i="15" s="1"/>
  <c r="U977" i="15" s="1"/>
  <c r="W977" i="15" s="1"/>
  <c r="X977" i="15" s="1"/>
  <c r="Q977" i="15" a="1"/>
  <c r="Q977" i="15" s="1"/>
  <c r="P978" i="15"/>
  <c r="R978" i="15" s="1"/>
  <c r="U978" i="15" s="1"/>
  <c r="W978" i="15" s="1"/>
  <c r="X978" i="15" s="1"/>
  <c r="Q978" i="15" a="1"/>
  <c r="Q978" i="15" s="1"/>
  <c r="P979" i="15"/>
  <c r="Q979" i="15" a="1"/>
  <c r="Q979" i="15"/>
  <c r="R979" i="15"/>
  <c r="U979" i="15" s="1"/>
  <c r="W979" i="15" s="1"/>
  <c r="X979" i="15" s="1"/>
  <c r="P980" i="15"/>
  <c r="Q980" i="15" a="1"/>
  <c r="Q980" i="15" s="1"/>
  <c r="R980" i="15"/>
  <c r="U980" i="15" s="1"/>
  <c r="W980" i="15" s="1"/>
  <c r="X980" i="15" s="1"/>
  <c r="P981" i="15"/>
  <c r="R981" i="15" s="1"/>
  <c r="U981" i="15" s="1"/>
  <c r="W981" i="15" s="1"/>
  <c r="X981" i="15" s="1"/>
  <c r="Q981" i="15" a="1"/>
  <c r="Q981" i="15" s="1"/>
  <c r="P982" i="15"/>
  <c r="Q982" i="15" a="1"/>
  <c r="Q982" i="15" s="1"/>
  <c r="R982" i="15"/>
  <c r="U982" i="15" s="1"/>
  <c r="W982" i="15" s="1"/>
  <c r="X982" i="15" s="1"/>
  <c r="P983" i="15"/>
  <c r="Q983" i="15" a="1"/>
  <c r="Q983" i="15"/>
  <c r="R983" i="15"/>
  <c r="U983" i="15" s="1"/>
  <c r="W983" i="15" s="1"/>
  <c r="X983" i="15" s="1"/>
  <c r="P984" i="15"/>
  <c r="R984" i="15" s="1"/>
  <c r="U984" i="15" s="1"/>
  <c r="W984" i="15" s="1"/>
  <c r="X984" i="15" s="1"/>
  <c r="Q984" i="15" a="1"/>
  <c r="Q984" i="15" s="1"/>
  <c r="P985" i="15"/>
  <c r="R985" i="15" s="1"/>
  <c r="U985" i="15" s="1"/>
  <c r="W985" i="15" s="1"/>
  <c r="X985" i="15" s="1"/>
  <c r="Q985" i="15" a="1"/>
  <c r="Q985" i="15"/>
  <c r="P986" i="15"/>
  <c r="Q986" i="15" a="1"/>
  <c r="Q986" i="15"/>
  <c r="R986" i="15"/>
  <c r="U986" i="15" s="1"/>
  <c r="W986" i="15" s="1"/>
  <c r="X986" i="15" s="1"/>
  <c r="P987" i="15"/>
  <c r="R987" i="15" s="1"/>
  <c r="U987" i="15" s="1"/>
  <c r="W987" i="15" s="1"/>
  <c r="X987" i="15" s="1"/>
  <c r="Q987" i="15" a="1"/>
  <c r="Q987" i="15" s="1"/>
  <c r="P988" i="15"/>
  <c r="R988" i="15" s="1"/>
  <c r="U988" i="15" s="1"/>
  <c r="W988" i="15" s="1"/>
  <c r="X988" i="15" s="1"/>
  <c r="Q988" i="15" a="1"/>
  <c r="Q988" i="15"/>
  <c r="P989" i="15"/>
  <c r="Q989" i="15" a="1"/>
  <c r="Q989" i="15"/>
  <c r="R989" i="15"/>
  <c r="U989" i="15" s="1"/>
  <c r="W989" i="15" s="1"/>
  <c r="X989" i="15" s="1"/>
  <c r="P990" i="15"/>
  <c r="Q990" i="15" a="1"/>
  <c r="Q990" i="15"/>
  <c r="R990" i="15"/>
  <c r="U990" i="15" s="1"/>
  <c r="W990" i="15" s="1"/>
  <c r="X990" i="15" s="1"/>
  <c r="P991" i="15"/>
  <c r="R991" i="15" s="1"/>
  <c r="U991" i="15" s="1"/>
  <c r="W991" i="15" s="1"/>
  <c r="X991" i="15" s="1"/>
  <c r="Q991" i="15" a="1"/>
  <c r="Q991" i="15" s="1"/>
  <c r="P992" i="15"/>
  <c r="R992" i="15" s="1"/>
  <c r="U992" i="15" s="1"/>
  <c r="W992" i="15" s="1"/>
  <c r="X992" i="15" s="1"/>
  <c r="Q992" i="15" a="1"/>
  <c r="Q992" i="15"/>
  <c r="P993" i="15"/>
  <c r="Q993" i="15" a="1"/>
  <c r="Q993" i="15"/>
  <c r="R993" i="15"/>
  <c r="U993" i="15" s="1"/>
  <c r="W993" i="15" s="1"/>
  <c r="X993" i="15" s="1"/>
  <c r="P994" i="15"/>
  <c r="R994" i="15" s="1"/>
  <c r="U994" i="15" s="1"/>
  <c r="W994" i="15" s="1"/>
  <c r="X994" i="15" s="1"/>
  <c r="Q994" i="15" a="1"/>
  <c r="Q994" i="15" s="1"/>
  <c r="P995" i="15"/>
  <c r="R995" i="15" s="1"/>
  <c r="U995" i="15" s="1"/>
  <c r="W995" i="15" s="1"/>
  <c r="X995" i="15" s="1"/>
  <c r="Q995" i="15" a="1"/>
  <c r="Q995" i="15" s="1"/>
  <c r="P996" i="15"/>
  <c r="Q996" i="15" a="1"/>
  <c r="Q996" i="15"/>
  <c r="R996" i="15"/>
  <c r="U996" i="15" s="1"/>
  <c r="W996" i="15" s="1"/>
  <c r="X996" i="15" s="1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2" i="15"/>
  <c r="A3" i="15"/>
  <c r="A4" i="15"/>
  <c r="G6" i="27" l="1" a="1"/>
  <c r="G6" i="27" s="1"/>
  <c r="G5" i="27" a="1"/>
  <c r="G5" i="27" s="1"/>
  <c r="C7" i="27"/>
  <c r="C6" i="27"/>
  <c r="G7" i="27" l="1"/>
  <c r="F16" i="27" a="1"/>
  <c r="F16" i="27" s="1"/>
  <c r="E16" i="27" a="1"/>
  <c r="E16" i="27" s="1"/>
  <c r="N27" i="27" a="1"/>
  <c r="N27" i="27" s="1"/>
  <c r="D27" i="27" a="1"/>
  <c r="D27" i="27" s="1"/>
  <c r="N26" i="27" a="1"/>
  <c r="N26" i="27" s="1"/>
  <c r="D26" i="27" a="1"/>
  <c r="D26" i="27" s="1"/>
  <c r="N25" i="27" a="1"/>
  <c r="N25" i="27" s="1"/>
  <c r="D25" i="27" a="1"/>
  <c r="D25" i="27" s="1"/>
  <c r="G25" i="27" s="1"/>
  <c r="N24" i="27" a="1"/>
  <c r="N24" i="27" s="1"/>
  <c r="D24" i="27" a="1"/>
  <c r="D24" i="27" s="1"/>
  <c r="G24" i="27" s="1"/>
  <c r="N23" i="27" a="1"/>
  <c r="N23" i="27" s="1"/>
  <c r="D23" i="27" a="1"/>
  <c r="D23" i="27" s="1"/>
  <c r="G23" i="27" s="1"/>
  <c r="C18" i="27" a="1"/>
  <c r="B18" i="27" a="1"/>
  <c r="G26" i="27" l="1"/>
  <c r="G27" i="27"/>
  <c r="C18" i="27"/>
  <c r="B18" i="27"/>
  <c r="L2" i="12" a="1"/>
  <c r="L2" i="12" s="1"/>
  <c r="B26" i="23" l="1" a="1"/>
  <c r="B26" i="23" s="1"/>
  <c r="E26" i="23" l="1" a="1"/>
  <c r="E26" i="23" s="1"/>
  <c r="F26" i="23" s="1"/>
  <c r="C26" i="23"/>
  <c r="N18" i="27" a="1"/>
  <c r="N18" i="27" s="1"/>
  <c r="E6" i="23"/>
  <c r="N19" i="27" a="1"/>
  <c r="N19" i="27" s="1"/>
  <c r="N20" i="27" a="1"/>
  <c r="N20" i="27" s="1"/>
  <c r="N21" i="27" a="1"/>
  <c r="N21" i="27" s="1"/>
  <c r="N22" i="27" a="1"/>
  <c r="N22" i="27" s="1"/>
  <c r="N15" i="27" l="1"/>
  <c r="N14" i="27"/>
  <c r="N13" i="27"/>
  <c r="N12" i="27"/>
  <c r="N11" i="27"/>
  <c r="N6" i="27"/>
  <c r="N5" i="27"/>
  <c r="N7" i="27"/>
  <c r="D21" i="27" a="1"/>
  <c r="D21" i="27" s="1"/>
  <c r="G21" i="27" s="1"/>
  <c r="D20" i="27" a="1"/>
  <c r="D20" i="27" s="1"/>
  <c r="G20" i="27" s="1"/>
  <c r="D19" i="27" a="1"/>
  <c r="D19" i="27" s="1"/>
  <c r="G19" i="27" s="1"/>
  <c r="D18" i="27" a="1"/>
  <c r="D18" i="27" s="1"/>
  <c r="G18" i="27" s="1"/>
  <c r="D22" i="27" a="1"/>
  <c r="D22" i="27" s="1"/>
  <c r="G22" i="27" s="1"/>
  <c r="N28" i="27" a="1"/>
  <c r="N28" i="27" s="1"/>
  <c r="H18" i="23"/>
  <c r="E18" i="23"/>
  <c r="B18" i="23"/>
  <c r="E12" i="23"/>
  <c r="K18" i="23"/>
  <c r="G28" i="27" l="1"/>
  <c r="F7" i="27" s="1"/>
  <c r="B12" i="23"/>
  <c r="K12" i="23"/>
  <c r="D28" i="27"/>
  <c r="H12" i="23"/>
  <c r="E49" i="23" a="1"/>
  <c r="E49" i="23" s="1"/>
  <c r="D49" i="23" a="1"/>
  <c r="D49" i="23" s="1"/>
  <c r="D41" i="23" a="1"/>
  <c r="D41" i="23" s="1"/>
  <c r="B49" i="23" a="1"/>
  <c r="B49" i="23" s="1"/>
  <c r="C49" i="23" a="1"/>
  <c r="C49" i="23" s="1"/>
  <c r="E41" i="23" a="1"/>
  <c r="E41" i="23" s="1"/>
  <c r="B41" i="23" a="1"/>
  <c r="B41" i="23" s="1"/>
  <c r="C41" i="23" a="1"/>
  <c r="C41" i="23" s="1"/>
  <c r="F6" i="27" l="1"/>
  <c r="H6" i="27" s="1"/>
  <c r="F5" i="27"/>
  <c r="H5" i="27" s="1"/>
  <c r="H7" i="27"/>
  <c r="K2" i="12" a="1"/>
  <c r="K2" i="12" s="1"/>
  <c r="C8" i="14"/>
  <c r="I3" i="12" l="1"/>
  <c r="I4" i="12" s="1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I54" i="12" s="1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I81" i="12" s="1"/>
  <c r="I82" i="12" s="1"/>
  <c r="I83" i="12" s="1"/>
  <c r="I84" i="12" s="1"/>
  <c r="I85" i="12" s="1"/>
  <c r="I86" i="12" s="1"/>
  <c r="I87" i="12" s="1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K6" i="23" l="1"/>
  <c r="B6" i="23"/>
  <c r="D8" i="14"/>
  <c r="J12" i="17"/>
  <c r="J11" i="17"/>
  <c r="J10" i="17"/>
  <c r="J9" i="17"/>
  <c r="J8" i="17"/>
  <c r="E8" i="17" a="1"/>
  <c r="E8" i="17" s="1"/>
  <c r="D49" i="11"/>
  <c r="D50" i="11"/>
  <c r="D51" i="11"/>
  <c r="D52" i="11"/>
  <c r="D53" i="11"/>
  <c r="D54" i="11"/>
  <c r="D55" i="11"/>
  <c r="D56" i="11"/>
  <c r="D57" i="11"/>
  <c r="D58" i="11"/>
  <c r="D59" i="11"/>
  <c r="D48" i="11"/>
  <c r="D47" i="11"/>
  <c r="D46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" i="11"/>
  <c r="B8" i="11"/>
  <c r="B11" i="11" s="1"/>
  <c r="B14" i="11" s="1"/>
  <c r="B17" i="11" s="1"/>
  <c r="B20" i="11" s="1"/>
  <c r="B23" i="11" s="1"/>
  <c r="B26" i="11" s="1"/>
  <c r="B29" i="11" s="1"/>
  <c r="B32" i="11" s="1"/>
  <c r="B35" i="11" s="1"/>
  <c r="B38" i="11" s="1"/>
  <c r="B41" i="11" s="1"/>
  <c r="B44" i="11" s="1"/>
  <c r="B9" i="11"/>
  <c r="B12" i="11" s="1"/>
  <c r="B15" i="11" s="1"/>
  <c r="B18" i="11" s="1"/>
  <c r="B21" i="11" s="1"/>
  <c r="B24" i="11" s="1"/>
  <c r="B27" i="11" s="1"/>
  <c r="B30" i="11" s="1"/>
  <c r="B33" i="11" s="1"/>
  <c r="B36" i="11" s="1"/>
  <c r="B39" i="11" s="1"/>
  <c r="B42" i="11" s="1"/>
  <c r="B45" i="11" s="1"/>
  <c r="B7" i="11"/>
  <c r="B10" i="11" s="1"/>
  <c r="B13" i="11" s="1"/>
  <c r="B16" i="11" s="1"/>
  <c r="B19" i="11" s="1"/>
  <c r="B22" i="11" s="1"/>
  <c r="B25" i="11" s="1"/>
  <c r="B28" i="11" s="1"/>
  <c r="B31" i="11" s="1"/>
  <c r="B34" i="11" s="1"/>
  <c r="B37" i="11" s="1"/>
  <c r="B40" i="11" s="1"/>
  <c r="B43" i="11" s="1"/>
  <c r="K16" i="1"/>
  <c r="E36" i="1"/>
  <c r="N29" i="1"/>
  <c r="N28" i="1"/>
  <c r="N27" i="1"/>
  <c r="N26" i="1"/>
  <c r="F37" i="1"/>
  <c r="F38" i="1" s="1"/>
  <c r="F39" i="1" s="1"/>
  <c r="F40" i="1" s="1"/>
  <c r="C32" i="1"/>
  <c r="D37" i="1"/>
  <c r="D38" i="1"/>
  <c r="D39" i="1"/>
  <c r="D40" i="1"/>
  <c r="D36" i="1"/>
  <c r="D49" i="1"/>
  <c r="D50" i="1"/>
  <c r="D51" i="1"/>
  <c r="D52" i="1"/>
  <c r="D53" i="1"/>
  <c r="D54" i="1"/>
  <c r="A37" i="1"/>
  <c r="A38" i="1" s="1"/>
  <c r="A39" i="1" s="1"/>
  <c r="A40" i="1" s="1"/>
  <c r="F41" i="1"/>
  <c r="F21" i="1"/>
  <c r="E21" i="1"/>
  <c r="E20" i="1"/>
  <c r="E19" i="1"/>
  <c r="E18" i="1"/>
  <c r="H18" i="1" s="1"/>
  <c r="I17" i="1"/>
  <c r="I18" i="1" s="1"/>
  <c r="I19" i="1" s="1"/>
  <c r="I20" i="1" s="1"/>
  <c r="E17" i="1"/>
  <c r="E16" i="1"/>
  <c r="H16" i="1" s="1"/>
  <c r="D16" i="1"/>
  <c r="D17" i="1" s="1"/>
  <c r="D18" i="1" s="1"/>
  <c r="C12" i="1"/>
  <c r="I10" i="1"/>
  <c r="C10" i="1"/>
  <c r="F52" i="1"/>
  <c r="F51" i="1"/>
  <c r="F50" i="1"/>
  <c r="F49" i="1"/>
  <c r="C16" i="5"/>
  <c r="C17" i="5" s="1"/>
  <c r="P13" i="5"/>
  <c r="E16" i="5" s="1"/>
  <c r="D13" i="5"/>
  <c r="D7" i="5"/>
  <c r="D6" i="5" s="1"/>
  <c r="C7" i="5"/>
  <c r="C6" i="5" s="1"/>
  <c r="E4" i="5"/>
  <c r="F7" i="5" s="1"/>
  <c r="D4" i="5"/>
  <c r="H6" i="23" l="1"/>
  <c r="D41" i="1"/>
  <c r="S26" i="1"/>
  <c r="R26" i="1"/>
  <c r="H21" i="1"/>
  <c r="F22" i="1" s="1"/>
  <c r="K49" i="1" s="1"/>
  <c r="D19" i="1"/>
  <c r="D20" i="1" s="1"/>
  <c r="D21" i="1"/>
  <c r="I21" i="1"/>
  <c r="F8" i="5"/>
  <c r="F6" i="5"/>
  <c r="E17" i="5"/>
  <c r="E15" i="5"/>
  <c r="C8" i="5"/>
  <c r="E13" i="5"/>
  <c r="D8" i="5"/>
  <c r="F4" i="5"/>
  <c r="D16" i="5"/>
  <c r="E7" i="5"/>
  <c r="C15" i="5"/>
  <c r="D22" i="1" l="1"/>
  <c r="E22" i="1"/>
  <c r="J49" i="1"/>
  <c r="F16" i="5"/>
  <c r="F13" i="5"/>
  <c r="E8" i="5"/>
  <c r="E6" i="5"/>
  <c r="G4" i="5"/>
  <c r="G7" i="5"/>
  <c r="D15" i="5"/>
  <c r="D17" i="5"/>
  <c r="H4" i="5" l="1"/>
  <c r="H7" i="5"/>
  <c r="G13" i="5"/>
  <c r="G16" i="5"/>
  <c r="G6" i="5"/>
  <c r="G8" i="5"/>
  <c r="F15" i="5"/>
  <c r="F17" i="5"/>
  <c r="G17" i="5" l="1"/>
  <c r="G15" i="5"/>
  <c r="H13" i="5"/>
  <c r="H16" i="5"/>
  <c r="H8" i="5"/>
  <c r="H6" i="5"/>
  <c r="I4" i="5"/>
  <c r="I7" i="5"/>
  <c r="J4" i="5" l="1"/>
  <c r="J7" i="5"/>
  <c r="I8" i="5"/>
  <c r="I6" i="5"/>
  <c r="H15" i="5"/>
  <c r="H17" i="5"/>
  <c r="I13" i="5"/>
  <c r="I16" i="5"/>
  <c r="I17" i="5" l="1"/>
  <c r="I15" i="5"/>
  <c r="J13" i="5"/>
  <c r="J16" i="5"/>
  <c r="J8" i="5"/>
  <c r="J6" i="5"/>
  <c r="K4" i="5"/>
  <c r="K7" i="5"/>
  <c r="L4" i="5" l="1"/>
  <c r="L7" i="5"/>
  <c r="K13" i="5"/>
  <c r="K16" i="5"/>
  <c r="K8" i="5"/>
  <c r="K6" i="5"/>
  <c r="J15" i="5"/>
  <c r="J17" i="5"/>
  <c r="L13" i="5" l="1"/>
  <c r="L16" i="5"/>
  <c r="K15" i="5"/>
  <c r="K17" i="5"/>
  <c r="L6" i="5"/>
  <c r="L8" i="5"/>
  <c r="M4" i="5"/>
  <c r="M7" i="5"/>
  <c r="M6" i="5" l="1"/>
  <c r="M8" i="5"/>
  <c r="L15" i="5"/>
  <c r="L17" i="5"/>
  <c r="N4" i="5"/>
  <c r="N7" i="5"/>
  <c r="M13" i="5"/>
  <c r="M16" i="5"/>
  <c r="N13" i="5" l="1"/>
  <c r="N16" i="5"/>
  <c r="N6" i="5"/>
  <c r="N8" i="5"/>
  <c r="M17" i="5"/>
  <c r="M15" i="5"/>
  <c r="O4" i="5"/>
  <c r="P7" i="5" s="1"/>
  <c r="O7" i="5"/>
  <c r="P8" i="5" l="1"/>
  <c r="P6" i="5"/>
  <c r="O6" i="5"/>
  <c r="O8" i="5"/>
  <c r="N17" i="5"/>
  <c r="N15" i="5"/>
  <c r="O13" i="5"/>
  <c r="P16" i="5" s="1"/>
  <c r="O16" i="5"/>
  <c r="P17" i="5" l="1"/>
  <c r="P15" i="5"/>
  <c r="O15" i="5"/>
  <c r="O17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<sst xmlns="http://schemas.openxmlformats.org/spreadsheetml/2006/main" count="898" uniqueCount="404">
  <si>
    <t>RESERVA</t>
  </si>
  <si>
    <t>- mail</t>
  </si>
  <si>
    <t>- telefono</t>
  </si>
  <si>
    <t>- nombre contacto</t>
  </si>
  <si>
    <t>- check in</t>
  </si>
  <si>
    <t>- check out</t>
  </si>
  <si>
    <t>ENVIO</t>
  </si>
  <si>
    <t>MONTO</t>
  </si>
  <si>
    <t>ADEUDADO</t>
  </si>
  <si>
    <t>- valor bruto programa</t>
  </si>
  <si>
    <t>GRUPO</t>
  </si>
  <si>
    <t>ABONO</t>
  </si>
  <si>
    <t>PAGO</t>
  </si>
  <si>
    <t>RESPUESTA</t>
  </si>
  <si>
    <t>Mail / Celular</t>
  </si>
  <si>
    <t>Noches</t>
  </si>
  <si>
    <t>FECHA</t>
  </si>
  <si>
    <t>BRUTO</t>
  </si>
  <si>
    <t>PASAJEROS</t>
  </si>
  <si>
    <t>- fecha reserva</t>
  </si>
  <si>
    <t>OBSERVACIONES</t>
  </si>
  <si>
    <t>reserva - 30</t>
  </si>
  <si>
    <t>reserva - 45</t>
  </si>
  <si>
    <t>reserva - 60</t>
  </si>
  <si>
    <t>reserva - 75</t>
  </si>
  <si>
    <t>reserva - 90</t>
  </si>
  <si>
    <t>reserva - 105</t>
  </si>
  <si>
    <t>llamar</t>
  </si>
  <si>
    <t>PLAZO</t>
  </si>
  <si>
    <t>check in - 45</t>
  </si>
  <si>
    <t>check in - 30</t>
  </si>
  <si>
    <t>check in - 15</t>
  </si>
  <si>
    <t>check in - 7</t>
  </si>
  <si>
    <t>MEDIO</t>
  </si>
  <si>
    <t>PAGO RESERVA (50%)</t>
  </si>
  <si>
    <t>PAGO SALDO (50%)</t>
  </si>
  <si>
    <t>TRANSACCIONES</t>
  </si>
  <si>
    <t>GREEN BAKER LODGE</t>
  </si>
  <si>
    <t>AREA PESCA</t>
  </si>
  <si>
    <t>V°B°</t>
  </si>
  <si>
    <t>Jorge Icaza Perez</t>
  </si>
  <si>
    <t>jicaza@vecta.cl</t>
  </si>
  <si>
    <t>9 9318 3704</t>
  </si>
  <si>
    <t>Alejandra Icaza Gana</t>
  </si>
  <si>
    <t>Javier Icaza Gana</t>
  </si>
  <si>
    <t>Anibal Icaza Gana</t>
  </si>
  <si>
    <t>FSN</t>
  </si>
  <si>
    <t>- numero de dias</t>
  </si>
  <si>
    <t>transbank</t>
  </si>
  <si>
    <t>TOTAL</t>
  </si>
  <si>
    <t>sin pago Alejandra Icaza. Es HOSTED</t>
  </si>
  <si>
    <t>TARIFA x PERSONA</t>
  </si>
  <si>
    <t>$</t>
  </si>
  <si>
    <t>Dia 1 traslado</t>
  </si>
  <si>
    <t>Dia 1 mediodia</t>
  </si>
  <si>
    <t>Día 2 full</t>
  </si>
  <si>
    <t>Día 3 full</t>
  </si>
  <si>
    <t>Día 4 full</t>
  </si>
  <si>
    <t>Día 5 full</t>
  </si>
  <si>
    <t>Día 6 full</t>
  </si>
  <si>
    <t>Día 7 full</t>
  </si>
  <si>
    <t>Día 8 full</t>
  </si>
  <si>
    <t>Día 9 full</t>
  </si>
  <si>
    <t>Día 10 full</t>
  </si>
  <si>
    <t>Día 11 full</t>
  </si>
  <si>
    <t>Día 12 full</t>
  </si>
  <si>
    <t>Día 13 full</t>
  </si>
  <si>
    <t>Día 14 full</t>
  </si>
  <si>
    <t>Día 15 traslado</t>
  </si>
  <si>
    <t>1 noche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</si>
  <si>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</si>
  <si>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</si>
  <si>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</si>
  <si>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</si>
  <si>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</si>
  <si>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</si>
  <si>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</si>
  <si>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</si>
  <si>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</si>
  <si>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</si>
  <si>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</si>
  <si>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</si>
  <si>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</si>
  <si>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Base single</t>
  </si>
  <si>
    <t>Base doble</t>
  </si>
  <si>
    <t>Non angler nacional</t>
  </si>
  <si>
    <t>USD</t>
  </si>
  <si>
    <t>Día 1 traslado</t>
  </si>
  <si>
    <t xml:space="preserve">Día 1; 1/2  dia </t>
  </si>
  <si>
    <t>Non angler</t>
  </si>
  <si>
    <t>TARIFAS DÍA DE PESCA (BASE DOBLE)</t>
  </si>
  <si>
    <t>1/2 DÍA</t>
  </si>
  <si>
    <t>* 4 HORAS DE PESCA. INCLUYE AGUA Y BEBIDAS NO ALCOHÓLICAS.</t>
  </si>
  <si>
    <t>DIA COMPLETO</t>
  </si>
  <si>
    <t>* 8 HORAS DE PESCA. INCLUYE BOX LUNCH.</t>
  </si>
  <si>
    <t>20% Comisión Venta Nacional</t>
  </si>
  <si>
    <t>20% Comisión Venta Internacional</t>
  </si>
  <si>
    <t>Hosted Trips</t>
  </si>
  <si>
    <t>Sobre 5 Clientes</t>
  </si>
  <si>
    <t>precio</t>
  </si>
  <si>
    <t>dcto</t>
  </si>
  <si>
    <t>a pagar</t>
  </si>
  <si>
    <t>Madi Vega</t>
  </si>
  <si>
    <t>Coni Osorio</t>
  </si>
  <si>
    <t>Madi Vega es non angler</t>
  </si>
  <si>
    <t>Total Cañas</t>
  </si>
  <si>
    <t>Non Angler</t>
  </si>
  <si>
    <t>NN</t>
  </si>
  <si>
    <t>NA</t>
  </si>
  <si>
    <t>VALOR DEL PROGRAMA NACIONAL</t>
  </si>
  <si>
    <t>CELDAS</t>
  </si>
  <si>
    <t>DEBEN SER LLENADAS MANUALMENTE</t>
  </si>
  <si>
    <t>Grupo</t>
  </si>
  <si>
    <t>Jose luis Rodriguez casanueva</t>
  </si>
  <si>
    <t>rafael.loyoladominguez@gmail.com</t>
  </si>
  <si>
    <t>Borja Rodriguez Rios</t>
  </si>
  <si>
    <t>Ignacio Rodiguez Rios</t>
  </si>
  <si>
    <t>Cristian Fabres Ruiz</t>
  </si>
  <si>
    <t>Rafael Loyola Dominguez</t>
  </si>
  <si>
    <t>Martin Icaza Gana</t>
  </si>
  <si>
    <t>nombre</t>
  </si>
  <si>
    <t>identificar NON ANGLER al final de lista de pasajeros</t>
  </si>
  <si>
    <t>Total</t>
  </si>
  <si>
    <t>dcto %</t>
  </si>
  <si>
    <t>VALOR DEL PROGRAMA NACIONAL (CON IVA)</t>
  </si>
  <si>
    <t>reserva + 30</t>
  </si>
  <si>
    <t>reserva + 45</t>
  </si>
  <si>
    <t>reserva + 60</t>
  </si>
  <si>
    <t>reserva + 75</t>
  </si>
  <si>
    <t>reserva + 90</t>
  </si>
  <si>
    <t>reserva + 105</t>
  </si>
  <si>
    <t>comision %</t>
  </si>
  <si>
    <t>precio lista</t>
  </si>
  <si>
    <r>
      <t xml:space="preserve">CODIGO                   </t>
    </r>
    <r>
      <rPr>
        <b/>
        <sz val="11"/>
        <color theme="1"/>
        <rFont val="Aptos Narrow"/>
        <family val="2"/>
        <scheme val="minor"/>
      </rPr>
      <t xml:space="preserve"> AA</t>
    </r>
  </si>
  <si>
    <t>Código interno</t>
  </si>
  <si>
    <t>Contacto</t>
  </si>
  <si>
    <t>Mail</t>
  </si>
  <si>
    <t>Tipo</t>
  </si>
  <si>
    <t>Base</t>
  </si>
  <si>
    <t>Pasajero</t>
  </si>
  <si>
    <t>Si</t>
  </si>
  <si>
    <t>No</t>
  </si>
  <si>
    <t>Pescador</t>
  </si>
  <si>
    <t>Single</t>
  </si>
  <si>
    <t>Doble</t>
  </si>
  <si>
    <t>N° Cliente</t>
  </si>
  <si>
    <t>Texto</t>
  </si>
  <si>
    <t>Host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</si>
  <si>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</si>
  <si>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</si>
  <si>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</si>
  <si>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</si>
  <si>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</si>
  <si>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</si>
  <si>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</si>
  <si>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</si>
  <si>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</si>
  <si>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</si>
  <si>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</si>
  <si>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</si>
  <si>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</si>
  <si>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Nombre completo</t>
  </si>
  <si>
    <t>Número de contacto</t>
  </si>
  <si>
    <t>Información de Grupo</t>
  </si>
  <si>
    <t>Pasajero N˚1</t>
  </si>
  <si>
    <t>Pasajero N˚2</t>
  </si>
  <si>
    <t>Pasajero N˚3</t>
  </si>
  <si>
    <t>Pasajero N˚4</t>
  </si>
  <si>
    <t>Pasajero N˚5</t>
  </si>
  <si>
    <t>Pasajero N˚6</t>
  </si>
  <si>
    <t>Pasajero N˚7</t>
  </si>
  <si>
    <t>Pasajero N˚8</t>
  </si>
  <si>
    <t>Pasajero N˚9</t>
  </si>
  <si>
    <t>Pasajero N˚10</t>
  </si>
  <si>
    <t>N° Días / Pasajero</t>
  </si>
  <si>
    <t>N˚ Noches</t>
  </si>
  <si>
    <t>Pescador/Non Angles</t>
  </si>
  <si>
    <t>Extranjero</t>
  </si>
  <si>
    <t>N˚ Pasajero</t>
  </si>
  <si>
    <t>Francisco frias</t>
  </si>
  <si>
    <t>Check-In</t>
  </si>
  <si>
    <t>Check-Out</t>
  </si>
  <si>
    <t>Género</t>
  </si>
  <si>
    <t>Información del Programa</t>
  </si>
  <si>
    <t>Información Personal</t>
  </si>
  <si>
    <t>N˚ Grupo</t>
  </si>
  <si>
    <t>N° Noches</t>
  </si>
  <si>
    <t>Encargado</t>
  </si>
  <si>
    <t>GESTION DE  COBRANZA</t>
  </si>
  <si>
    <t>GESTION DE RESERVA</t>
  </si>
  <si>
    <t>Descuento</t>
  </si>
  <si>
    <t>Nombre Completo</t>
  </si>
  <si>
    <t>Fecha de Reserva</t>
  </si>
  <si>
    <t>Valor Bruto Programa</t>
  </si>
  <si>
    <t>Observaciones</t>
  </si>
  <si>
    <t>¿Viene por primera vez?</t>
  </si>
  <si>
    <t>Grupo 1</t>
  </si>
  <si>
    <t>N˚ Contacto</t>
  </si>
  <si>
    <t>FECHA DE RESERVA</t>
  </si>
  <si>
    <t>CHECK-IN</t>
  </si>
  <si>
    <t>N˚ NOCHES</t>
  </si>
  <si>
    <t>CHECK-OUT</t>
  </si>
  <si>
    <t>NACIONAL/EXTRANJERO</t>
  </si>
  <si>
    <t>INFORMACIÓN PERSONAL</t>
  </si>
  <si>
    <t>INFORMACIÓN DE GRUPO</t>
  </si>
  <si>
    <t>INFORMACIÓN DE ESTADÍA</t>
  </si>
  <si>
    <t>INFORMACIÓN DE PROGRAMA (X PASAJERO)</t>
  </si>
  <si>
    <t>PASAJERO</t>
  </si>
  <si>
    <t>¿VIENE POR PRIMERA VEZ?</t>
  </si>
  <si>
    <t>NOMBRE COMPLETO</t>
  </si>
  <si>
    <t>MAIL</t>
  </si>
  <si>
    <t>N˚ CONTACTO</t>
  </si>
  <si>
    <t>GÉNERO</t>
  </si>
  <si>
    <t>BASE</t>
  </si>
  <si>
    <t>TIPO</t>
  </si>
  <si>
    <t>SÍ</t>
  </si>
  <si>
    <t>NO</t>
  </si>
  <si>
    <t>PESCADOR</t>
  </si>
  <si>
    <t>NON ANGLER</t>
  </si>
  <si>
    <t>SINGLE</t>
  </si>
  <si>
    <t>DOBLE</t>
  </si>
  <si>
    <t>HOST</t>
  </si>
  <si>
    <t>NACIONAL</t>
  </si>
  <si>
    <t>EXTRANJERO</t>
  </si>
  <si>
    <t>MASCULINO</t>
  </si>
  <si>
    <t>FEMENINO</t>
  </si>
  <si>
    <t>N˚ DÍAS</t>
  </si>
  <si>
    <t>TEXTO</t>
  </si>
  <si>
    <t>VALOR BRUTO (CLP)</t>
  </si>
  <si>
    <t>VALOR BRUTO (USD)</t>
  </si>
  <si>
    <t>Base single 1 noche</t>
  </si>
  <si>
    <t>Base doble 1 noche</t>
  </si>
  <si>
    <t>Non angler nacional 1 noche</t>
  </si>
  <si>
    <t>Base single 2 noches</t>
  </si>
  <si>
    <t>Base doble 2 noches</t>
  </si>
  <si>
    <t>Non angler nacional 2 noches</t>
  </si>
  <si>
    <t>Base single 3 noches</t>
  </si>
  <si>
    <t>Base doble 3 noches</t>
  </si>
  <si>
    <t>Non angler nacional 3 noches</t>
  </si>
  <si>
    <t>Base single 4 noches</t>
  </si>
  <si>
    <t>Base doble 4 noches</t>
  </si>
  <si>
    <t>Non angler nacional 4 noches</t>
  </si>
  <si>
    <t>Base single 5 noches</t>
  </si>
  <si>
    <t>Base doble 5 noches</t>
  </si>
  <si>
    <t>Non angler nacional 5 noches</t>
  </si>
  <si>
    <t>Base single 6 noches</t>
  </si>
  <si>
    <t>Base doble 6 noches</t>
  </si>
  <si>
    <t>Non angler nacional 6 noches</t>
  </si>
  <si>
    <t>Base single 7 noches</t>
  </si>
  <si>
    <t>Base doble 7 noches</t>
  </si>
  <si>
    <t>Non angler nacional 7 noches</t>
  </si>
  <si>
    <t>Base single 8 noches</t>
  </si>
  <si>
    <t>Base doble 8 noches</t>
  </si>
  <si>
    <t>Non angler nacional 8 noches</t>
  </si>
  <si>
    <t>Base single 9 noches</t>
  </si>
  <si>
    <t>Base doble 9 noches</t>
  </si>
  <si>
    <t>Non angler nacional 9 noches</t>
  </si>
  <si>
    <t>Base single 10 noches</t>
  </si>
  <si>
    <t>Base doble 10 noches</t>
  </si>
  <si>
    <t>Non angler nacional 10 noches</t>
  </si>
  <si>
    <t>Base single 11 noches</t>
  </si>
  <si>
    <t>Base doble 11 noches</t>
  </si>
  <si>
    <t>Non angler nacional 11 noches</t>
  </si>
  <si>
    <t>Base single 12 noches</t>
  </si>
  <si>
    <t>Base doble 12 noches</t>
  </si>
  <si>
    <t>Non angler nacional 12 noches</t>
  </si>
  <si>
    <t>Base single 13 noches</t>
  </si>
  <si>
    <t>Base doble 13 noches</t>
  </si>
  <si>
    <t>Non angler nacional 13 noches</t>
  </si>
  <si>
    <t>Base single 14 noches</t>
  </si>
  <si>
    <t>Base doble 14 noches</t>
  </si>
  <si>
    <t>Non angler nacional 14 noches</t>
  </si>
  <si>
    <t>Host 1 noche</t>
  </si>
  <si>
    <t>Host 2 Noches</t>
  </si>
  <si>
    <t>Host 3 Noches</t>
  </si>
  <si>
    <t>Host 4 Noches</t>
  </si>
  <si>
    <t>Host 5 Noches</t>
  </si>
  <si>
    <t>Host 6 Noches</t>
  </si>
  <si>
    <t>Host 7 Noches</t>
  </si>
  <si>
    <t>Host 8 Noches</t>
  </si>
  <si>
    <t>Host 9 Noches</t>
  </si>
  <si>
    <t>Host 10 Noches</t>
  </si>
  <si>
    <t>Host 11 Noches</t>
  </si>
  <si>
    <t>Host 12 Noches</t>
  </si>
  <si>
    <t>Host 13 Noches</t>
  </si>
  <si>
    <t>Host 14 Noches</t>
  </si>
  <si>
    <t>PRICING PESCA: NACIONAL</t>
  </si>
  <si>
    <t>PRICING PESCA: EXTRANJERO</t>
  </si>
  <si>
    <t>Moneda</t>
  </si>
  <si>
    <t>Valor Bruto Final</t>
  </si>
  <si>
    <t>VALOR BRUTO PROGRAMA</t>
  </si>
  <si>
    <t>VALOR BRUTO FINAL</t>
  </si>
  <si>
    <t>N˚4</t>
  </si>
  <si>
    <t>Aprobado por</t>
  </si>
  <si>
    <t>Aprobador por</t>
  </si>
  <si>
    <t>Estado de pago</t>
  </si>
  <si>
    <t>Sin pagar</t>
  </si>
  <si>
    <t>Reserva pagada</t>
  </si>
  <si>
    <t>Saldo pagado</t>
  </si>
  <si>
    <t>Grupos</t>
  </si>
  <si>
    <t>N˚ GRUPO</t>
  </si>
  <si>
    <t>APROBADO POR</t>
  </si>
  <si>
    <t>INFORMACIÓN DE PAGO</t>
  </si>
  <si>
    <t>SALDO</t>
  </si>
  <si>
    <t>FECHA DE PAGO</t>
  </si>
  <si>
    <t>MEDIO DE PAGO</t>
  </si>
  <si>
    <t>N˚2</t>
  </si>
  <si>
    <t>N˚3</t>
  </si>
  <si>
    <t>N˚5</t>
  </si>
  <si>
    <t>Rene Acklin</t>
  </si>
  <si>
    <t>Francisca Pualuan</t>
  </si>
  <si>
    <t>Agregar si es HOST</t>
  </si>
  <si>
    <t>Agregar si es Angler o no Angler</t>
  </si>
  <si>
    <t>Grupo 2</t>
  </si>
  <si>
    <t>Grupo 3</t>
  </si>
  <si>
    <t>Grupo 4</t>
  </si>
  <si>
    <t>Grupo 5</t>
  </si>
  <si>
    <t>Grupo 6</t>
  </si>
  <si>
    <t>Jorge Icaza</t>
  </si>
  <si>
    <t>Transferencia</t>
  </si>
  <si>
    <t>Grupo Nacional/
Extranjero</t>
  </si>
  <si>
    <t>CLP</t>
  </si>
  <si>
    <t>% Reserva</t>
  </si>
  <si>
    <t>% Saldo</t>
  </si>
  <si>
    <t>TC:</t>
  </si>
  <si>
    <t>Fecha:</t>
  </si>
  <si>
    <t>2.2 Flujo de caja (calendario)</t>
  </si>
  <si>
    <t>a) Flujo de Reservas (fechas compromiso)</t>
  </si>
  <si>
    <t>b) Flujo de Saldos</t>
  </si>
  <si>
    <t>3) Tablas de Alertas (listas accionables)</t>
  </si>
  <si>
    <t>Reserva</t>
  </si>
  <si>
    <t>3.1 Alertas de Reserva</t>
  </si>
  <si>
    <t xml:space="preserve">	•	Aplica Formato condicional según Alerta_Reserva:
	•	“Código ROJO &gt;90” → rojo
	•	“Reserva +60” → naranja
	•	“Reserva +45/+30/+10” → amarillo</t>
  </si>
  <si>
    <t>3.2 Alertas de Saldo</t>
  </si>
  <si>
    <t xml:space="preserve">	•	Formato condicional:
	•	“Código ROJO &lt; -10” → rojo
	•	“Saldo &lt;=15/25/30/45” → gradiente amarillo-naranja</t>
  </si>
  <si>
    <t>Si quieres agrupar por grupo en vez de por pasajero, crea primero una tabla auxiliar única por grupo (UNIQUE) y usa SUMAR.SI.CONJUNTO para sumar %Reserva/%Saldo pendientes y MIN/ MAX de fechas.</t>
  </si>
  <si>
    <t>4) Vista por Grupo (hoja opcional “Grupos”)</t>
  </si>
  <si>
    <t>Útil para la administración diaria:</t>
  </si>
  <si>
    <t>UNIQUE(tblBBDD[Grupo])</t>
  </si>
  <si>
    <t>Fecha de reserva (mín):</t>
  </si>
  <si>
    <r>
      <t>Check-in (mín)</t>
    </r>
    <r>
      <rPr>
        <sz val="11"/>
        <color theme="1"/>
        <rFont val="Aptos Narrow"/>
        <family val="2"/>
        <scheme val="minor"/>
      </rPr>
      <t>: </t>
    </r>
  </si>
  <si>
    <t>Vendido</t>
  </si>
  <si>
    <r>
      <t>Recaudado</t>
    </r>
    <r>
      <rPr>
        <sz val="11"/>
        <color theme="1"/>
        <rFont val="Aptos Narrow"/>
        <family val="2"/>
        <scheme val="minor"/>
      </rPr>
      <t>:</t>
    </r>
  </si>
  <si>
    <t>Por cobrar</t>
  </si>
  <si>
    <r>
      <t>Semáforo</t>
    </r>
    <r>
      <rPr>
        <sz val="11"/>
        <color theme="1"/>
        <rFont val="Aptos Narrow"/>
        <family val="2"/>
        <scheme val="minor"/>
      </rPr>
      <t>:</t>
    </r>
  </si>
  <si>
    <r>
      <t xml:space="preserve">Esta tabla puede alimentar </t>
    </r>
    <r>
      <rPr>
        <b/>
        <sz val="11"/>
        <color theme="1"/>
        <rFont val="Aptos Narrow"/>
        <family val="2"/>
        <scheme val="minor"/>
      </rPr>
      <t>gráficos de barras</t>
    </r>
    <r>
      <rPr>
        <sz val="11"/>
        <color theme="1"/>
        <rFont val="Aptos Narrow"/>
        <family val="2"/>
        <scheme val="minor"/>
      </rPr>
      <t xml:space="preserve"> por “Por Cobrar” y un </t>
    </r>
    <r>
      <rPr>
        <b/>
        <sz val="11"/>
        <color theme="1"/>
        <rFont val="Aptos Narrow"/>
        <family val="2"/>
        <scheme val="minor"/>
      </rPr>
      <t>mapa de calor</t>
    </r>
    <r>
      <rPr>
        <sz val="11"/>
        <color theme="1"/>
        <rFont val="Aptos Narrow"/>
        <family val="2"/>
        <scheme val="minor"/>
      </rPr>
      <t xml:space="preserve"> por color de alerta.</t>
    </r>
  </si>
  <si>
    <t>(monto por fecha):</t>
  </si>
  <si>
    <t>(fechas únicas):</t>
  </si>
  <si>
    <t>2.3 Alertas accionables</t>
  </si>
  <si>
    <t>Reserva (no pagadas y con alerta)</t>
  </si>
  <si>
    <t>“Código ROJO &gt;90” rojo; “Reserva +60” naranja; “Reserva +45/+30/+10” amarillo.</t>
  </si>
  <si>
    <t>Saldo (no pagados y con alerta)</t>
  </si>
  <si>
    <t>Días desde reserva</t>
  </si>
  <si>
    <t>Alerta</t>
  </si>
  <si>
    <t>Días para check in</t>
  </si>
  <si>
    <t>“Código ROJO &lt; -10” rojo; “Saldo &lt;=15/25/30/45” escala amarillo→naranja.</t>
  </si>
  <si>
    <t>a10</t>
  </si>
  <si>
    <t>d10</t>
  </si>
  <si>
    <t>% COBRADO</t>
  </si>
  <si>
    <t>*Total comprometido</t>
  </si>
  <si>
    <t>*Reserva y Saldo pagado</t>
  </si>
  <si>
    <t>*Pendiente de pago</t>
  </si>
  <si>
    <t>VENDIDO A LA FECHA</t>
  </si>
  <si>
    <t>RECAUDADO A LA FECHA</t>
  </si>
  <si>
    <t>POR COBRAR</t>
  </si>
  <si>
    <t>RECAUDADO</t>
  </si>
  <si>
    <r>
      <t xml:space="preserve">Esto lista </t>
    </r>
    <r>
      <rPr>
        <b/>
        <sz val="11"/>
        <color theme="1"/>
        <rFont val="Avenir Book"/>
        <family val="2"/>
      </rPr>
      <t>fechas futuras</t>
    </r>
    <r>
      <rPr>
        <sz val="11"/>
        <color theme="1"/>
        <rFont val="Avenir Book"/>
        <family val="2"/>
      </rPr>
      <t xml:space="preserve"> de reservas no pagadas aún y el monto esperado.</t>
    </r>
  </si>
  <si>
    <r>
      <t xml:space="preserve">Con A10:B y D10:E puedes crear </t>
    </r>
    <r>
      <rPr>
        <b/>
        <sz val="14"/>
        <color rgb="FF0E0E0E"/>
        <rFont val="Avenir Book"/>
        <family val="2"/>
      </rPr>
      <t>gráficos por mes/semana</t>
    </r>
    <r>
      <rPr>
        <sz val="14"/>
        <color rgb="FF0E0E0E"/>
        <rFont val="Avenir Book"/>
        <family val="2"/>
      </rPr>
      <t xml:space="preserve"> (columna o área) para ver el pipeline.</t>
    </r>
  </si>
  <si>
    <r>
      <t xml:space="preserve">Con estas dos tablas puedes crear </t>
    </r>
    <r>
      <rPr>
        <b/>
        <sz val="14"/>
        <color rgb="FF0E0E0E"/>
        <rFont val="Avenir Book"/>
        <family val="2"/>
      </rPr>
      <t>gráficos de columnas por mes</t>
    </r>
    <r>
      <rPr>
        <sz val="14"/>
        <color rgb="FF0E0E0E"/>
        <rFont val="Avenir Book"/>
        <family val="2"/>
      </rPr>
      <t xml:space="preserve"> (agrupa fechas a mes) para ver el </t>
    </r>
    <r>
      <rPr>
        <b/>
        <sz val="14"/>
        <color rgb="FF0E0E0E"/>
        <rFont val="Avenir Book"/>
        <family val="2"/>
      </rPr>
      <t>pipeline</t>
    </r>
    <r>
      <rPr>
        <sz val="14"/>
        <color rgb="FF0E0E0E"/>
        <rFont val="Avenir Book"/>
        <family val="2"/>
      </rPr>
      <t>.</t>
    </r>
  </si>
  <si>
    <r>
      <t>Formato condicional</t>
    </r>
    <r>
      <rPr>
        <sz val="14"/>
        <color rgb="FF0E0E0E"/>
        <rFont val="Avenir Book"/>
        <family val="2"/>
      </rPr>
      <t xml:space="preserve"> en D31:D para colorear:</t>
    </r>
  </si>
  <si>
    <r>
      <t>Formato condicional</t>
    </r>
    <r>
      <rPr>
        <sz val="14"/>
        <color rgb="FF0E0E0E"/>
        <rFont val="Avenir Book"/>
        <family val="2"/>
      </rPr>
      <t xml:space="preserve"> en I31:I:</t>
    </r>
  </si>
  <si>
    <t>KPI´S PRINCIPALES</t>
  </si>
  <si>
    <t>Monto</t>
  </si>
  <si>
    <t>Medio de pago</t>
  </si>
  <si>
    <t>MONEDA</t>
  </si>
  <si>
    <t>Saldo</t>
  </si>
  <si>
    <t>Tipo | Cobranza</t>
  </si>
  <si>
    <t>Tarjeta de crédito</t>
  </si>
  <si>
    <t>OBS.</t>
  </si>
  <si>
    <t>Grupo/</t>
  </si>
  <si>
    <t xml:space="preserve">Moneda </t>
  </si>
  <si>
    <t>TOTAL A PAGAR</t>
  </si>
  <si>
    <t>POR PAGAR</t>
  </si>
  <si>
    <t>PAGO N˚</t>
  </si>
  <si>
    <t>PAGADO</t>
  </si>
  <si>
    <t>Tipo (RESERVA/SALDO)</t>
  </si>
  <si>
    <t>Moneda (CLP/USD)</t>
  </si>
  <si>
    <t>Fecha de registro</t>
  </si>
  <si>
    <t>DESCUENTO</t>
  </si>
  <si>
    <t>% Pago Reserva/Saldo</t>
  </si>
  <si>
    <t>Marcelo Coria</t>
  </si>
  <si>
    <t>Rodrigo Cosmelli</t>
  </si>
  <si>
    <t>José Vallejos</t>
  </si>
  <si>
    <t>Diego Garcia</t>
  </si>
  <si>
    <t>Juango Dominguez</t>
  </si>
  <si>
    <t>Patricio Rojas</t>
  </si>
  <si>
    <t>Pasajero N˚3 - Grupo Dieguez/Dominguez</t>
  </si>
  <si>
    <t>Pasajero N˚4 - Grupo Dieguez/Dominguez</t>
  </si>
  <si>
    <t>Pasajero N˚5 - Grupo Dieguez/Dominguez</t>
  </si>
  <si>
    <t>Pasajero N˚1 - Grupo Kaufmann</t>
  </si>
  <si>
    <t>Pasajero N˚2 - Grupo Kaufmann</t>
  </si>
  <si>
    <t>Pasajero N˚3 - Grupo Kaufmann</t>
  </si>
  <si>
    <t>Pasajero N˚4 - Grupo Kaufmann</t>
  </si>
  <si>
    <t>Leonardo 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</si>
</sst>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164" formatCode="_-&quot;$&quot;* #,##0_-;\-&quot;$&quot;* #,##0_-;_-&quot;$&quot;* &quot;-&quot;??_-;_-@_-"/>
    <numFmt numFmtId="165" formatCode="0.0%"/>
    <numFmt numFmtId="166" formatCode="[$USD]\ #,##0"/>
    <numFmt numFmtId="167" formatCode="_ [$USD]\ * #,##0_ ;_ [$USD]\ * \-#,##0_ ;_ [$USD]\ * &quot;-&quot;_ ;_ @_ "/>
    <numFmt numFmtId="169" formatCode="_-&quot;USD&quot;\ * #,##0_-;\ \-&quot;USD&quot;\ * #,##0\-;\ _-&quot;USD&quot;\ * &quot;-&quot;??_-;_-@_-"/>
    <numFmt numFmtId="176" formatCode="_-&quot;USD&quot;\ * #.##0_-;\ \-&quot;USD&quot;\ * #.##0\-;\ _-&quot;USD&quot;\ * &quot;-&quot;??_-;_-@_-"/>
    <numFmt numFmtId="181" formatCode="_ [$CLP]\ * #,##0_ ;_ [$CLP]\ * \-#,##0_ ;_ [$CLP]\ * &quot;-&quot;_ ;_ @_ "/>
    <numFmt numFmtId="183" formatCode="&quot;$&quot;#,##0"/>
    <numFmt numFmtId="185" formatCode="dd\-mm\-yy"/>
    <numFmt numFmtId="186" formatCode="#,##0.0"/>
    <numFmt numFmtId="187" formatCode="dd/mm/\a\a"/>
    <numFmt numFmtId="188" formatCode="_-&quot;USD&quot;\ * #,##0_-;\ \-&quot;USD&quot;\ * #.##0\-;\ _-&quot;USD&quot;\ * &quot;-&quot;??_-;_-@_-"/>
  </numFmts>
  <fonts count="4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2"/>
      <color theme="1"/>
      <name val="Aptos Narrow"/>
      <scheme val="minor"/>
    </font>
    <font>
      <b/>
      <sz val="36"/>
      <color theme="1"/>
      <name val="MS Reference Sans Serif"/>
      <family val="2"/>
    </font>
    <font>
      <b/>
      <sz val="16"/>
      <color theme="1"/>
      <name val="Aptos Narrow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2"/>
      <color theme="1"/>
      <name val="Avenir Book"/>
      <family val="2"/>
    </font>
    <font>
      <sz val="11"/>
      <color theme="1"/>
      <name val="Avenir Book"/>
      <family val="2"/>
    </font>
    <font>
      <b/>
      <sz val="36"/>
      <color theme="1"/>
      <name val="Avenir Book"/>
      <family val="2"/>
    </font>
    <font>
      <b/>
      <sz val="20"/>
      <color theme="1"/>
      <name val="Avenir Book"/>
      <family val="2"/>
    </font>
    <font>
      <b/>
      <sz val="12"/>
      <color theme="1"/>
      <name val="Avenir Book"/>
      <family val="2"/>
    </font>
    <font>
      <b/>
      <sz val="16"/>
      <color theme="1"/>
      <name val="Avenir Book"/>
      <family val="2"/>
    </font>
    <font>
      <u/>
      <sz val="11"/>
      <color theme="10"/>
      <name val="Avenir Book"/>
      <family val="2"/>
    </font>
    <font>
      <sz val="12"/>
      <color rgb="FF2454A9"/>
      <name val="Avenir Heavy"/>
      <family val="2"/>
    </font>
    <font>
      <b/>
      <sz val="16"/>
      <color rgb="FF2454A9"/>
      <name val="Avenir Book"/>
      <family val="2"/>
    </font>
    <font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b/>
      <sz val="24"/>
      <color theme="1"/>
      <name val="Avenir Book"/>
      <family val="2"/>
    </font>
    <font>
      <b/>
      <sz val="11"/>
      <color theme="1"/>
      <name val="Avenir Book"/>
      <family val="2"/>
    </font>
    <font>
      <b/>
      <sz val="16"/>
      <color theme="5"/>
      <name val="Avenir Book"/>
      <family val="2"/>
    </font>
    <font>
      <b/>
      <sz val="12"/>
      <color theme="5"/>
      <name val="Avenir Heavy"/>
      <family val="2"/>
    </font>
    <font>
      <sz val="11"/>
      <color theme="5"/>
      <name val="Avenir Heavy"/>
      <family val="2"/>
    </font>
    <font>
      <b/>
      <sz val="11"/>
      <color theme="5"/>
      <name val="Avenir Heavy"/>
      <family val="2"/>
    </font>
    <font>
      <sz val="11"/>
      <color theme="1"/>
      <name val="Avenir Heavy"/>
      <family val="2"/>
    </font>
    <font>
      <b/>
      <sz val="12"/>
      <color theme="1"/>
      <name val="Avenir Heavy"/>
      <family val="2"/>
    </font>
    <font>
      <sz val="12"/>
      <color theme="1"/>
      <name val="Avenir Heavy"/>
      <family val="2"/>
    </font>
    <font>
      <b/>
      <sz val="18"/>
      <color theme="1"/>
      <name val="Avenir Book"/>
      <family val="2"/>
    </font>
    <font>
      <sz val="14"/>
      <color rgb="FF0E0E0E"/>
      <name val="Avenir Book"/>
      <family val="2"/>
    </font>
    <font>
      <b/>
      <sz val="14"/>
      <color rgb="FF0E0E0E"/>
      <name val="Avenir Book"/>
      <family val="2"/>
    </font>
    <font>
      <sz val="9"/>
      <color theme="1"/>
      <name val="Avenir Heavy"/>
      <family val="2"/>
    </font>
    <font>
      <sz val="20"/>
      <color theme="1"/>
      <name val="Avenir Book"/>
      <family val="2"/>
    </font>
    <font>
      <b/>
      <sz val="22"/>
      <color theme="1"/>
      <name val="Avenir Book"/>
      <family val="2"/>
    </font>
    <font>
      <sz val="20"/>
      <color rgb="FF207346"/>
      <name val="Avenir Heavy"/>
      <family val="2"/>
    </font>
    <font>
      <sz val="20"/>
      <color theme="5"/>
      <name val="Avenir Heavy"/>
      <family val="2"/>
    </font>
    <font>
      <sz val="20"/>
      <color rgb="FF2454A9"/>
      <name val="Avenir Heavy"/>
      <family val="2"/>
    </font>
    <font>
      <sz val="12"/>
      <color theme="1"/>
      <name val="Avenir Heavy Oblique"/>
    </font>
    <font>
      <sz val="12"/>
      <color theme="1"/>
      <name val="Avenir Medium"/>
      <family val="2"/>
    </font>
    <font>
      <b/>
      <sz val="11"/>
      <color theme="3"/>
      <name val="Avenir Book"/>
      <family val="2"/>
    </font>
    <font>
      <b/>
      <sz val="11"/>
      <color theme="1"/>
      <name val="Avenir Heavy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0C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07346"/>
        <bgColor indexed="64"/>
      </patternFill>
    </fill>
    <fill>
      <patternFill patternType="solid">
        <fgColor rgb="FF2454A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medium">
        <color rgb="FF2454A9"/>
      </left>
      <right/>
      <top style="medium">
        <color rgb="FF2454A9"/>
      </top>
      <bottom/>
      <diagonal/>
    </border>
    <border>
      <left/>
      <right style="medium">
        <color rgb="FF2454A9"/>
      </right>
      <top style="medium">
        <color rgb="FF2454A9"/>
      </top>
      <bottom/>
      <diagonal/>
    </border>
    <border>
      <left style="medium">
        <color rgb="FF2454A9"/>
      </left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rgb="FF2454A9"/>
      </left>
      <right/>
      <top/>
      <bottom style="medium">
        <color rgb="FF2454A9"/>
      </bottom>
      <diagonal/>
    </border>
    <border>
      <left/>
      <right style="medium">
        <color rgb="FF2454A9"/>
      </right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 style="medium">
        <color rgb="FF2454A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/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/>
      <bottom style="medium">
        <color rgb="FF2454A9"/>
      </bottom>
      <diagonal/>
    </border>
    <border>
      <left/>
      <right style="medium">
        <color rgb="FF2454A9"/>
      </right>
      <top/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/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thin">
        <color theme="0" tint="-0.14999847407452621"/>
      </bottom>
      <diagonal/>
    </border>
    <border>
      <left/>
      <right/>
      <top style="medium">
        <color rgb="FF2454A9"/>
      </top>
      <bottom/>
      <diagonal/>
    </border>
    <border>
      <left style="medium">
        <color rgb="FF2454A9"/>
      </left>
      <right/>
      <top/>
      <bottom/>
      <diagonal/>
    </border>
    <border>
      <left/>
      <right style="medium">
        <color rgb="FF2454A9"/>
      </right>
      <top/>
      <bottom/>
      <diagonal/>
    </border>
    <border>
      <left/>
      <right/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/>
      <bottom style="medium">
        <color rgb="FF2454A9"/>
      </bottom>
      <diagonal/>
    </border>
    <border>
      <left style="medium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theme="1"/>
      </bottom>
      <diagonal/>
    </border>
    <border>
      <left/>
      <right/>
      <top style="thin">
        <color theme="4" tint="0.39997558519241921"/>
      </top>
      <bottom style="medium">
        <color theme="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/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thin">
        <color theme="0" tint="-0.14999847407452621"/>
      </left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41" fontId="5" fillId="0" borderId="0" applyFont="0" applyFill="0" applyBorder="0" applyAlignment="0" applyProtection="0"/>
  </cellStyleXfs>
  <cellXfs count="461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5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quotePrefix="1" applyBorder="1"/>
    <xf numFmtId="0" fontId="0" fillId="0" borderId="1" xfId="0" applyBorder="1"/>
    <xf numFmtId="0" fontId="0" fillId="0" borderId="22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/>
    <xf numFmtId="0" fontId="0" fillId="0" borderId="12" xfId="0" applyBorder="1"/>
    <xf numFmtId="0" fontId="0" fillId="0" borderId="28" xfId="0" applyBorder="1"/>
    <xf numFmtId="0" fontId="0" fillId="0" borderId="30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1" xfId="0" applyBorder="1"/>
    <xf numFmtId="0" fontId="0" fillId="0" borderId="37" xfId="0" applyBorder="1" applyAlignment="1">
      <alignment horizontal="center"/>
    </xf>
    <xf numFmtId="0" fontId="1" fillId="0" borderId="0" xfId="0" applyFont="1"/>
    <xf numFmtId="0" fontId="0" fillId="0" borderId="28" xfId="0" applyBorder="1" applyAlignment="1">
      <alignment horizontal="center"/>
    </xf>
    <xf numFmtId="0" fontId="0" fillId="0" borderId="25" xfId="0" quotePrefix="1" applyBorder="1"/>
    <xf numFmtId="0" fontId="0" fillId="0" borderId="1" xfId="0" applyBorder="1" applyAlignment="1">
      <alignment horizontal="center"/>
    </xf>
    <xf numFmtId="0" fontId="0" fillId="0" borderId="2" xfId="0" quotePrefix="1" applyBorder="1"/>
    <xf numFmtId="0" fontId="1" fillId="0" borderId="1" xfId="0" applyFont="1" applyBorder="1" applyAlignment="1">
      <alignment horizontal="center"/>
    </xf>
    <xf numFmtId="3" fontId="0" fillId="0" borderId="5" xfId="0" quotePrefix="1" applyNumberFormat="1" applyBorder="1"/>
    <xf numFmtId="3" fontId="0" fillId="0" borderId="5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1" xfId="0" quotePrefix="1" applyBorder="1"/>
    <xf numFmtId="0" fontId="0" fillId="0" borderId="40" xfId="0" applyBorder="1"/>
    <xf numFmtId="14" fontId="0" fillId="0" borderId="5" xfId="0" quotePrefix="1" applyNumberFormat="1" applyBorder="1"/>
    <xf numFmtId="0" fontId="0" fillId="2" borderId="5" xfId="0" quotePrefix="1" applyFill="1" applyBorder="1"/>
    <xf numFmtId="0" fontId="4" fillId="2" borderId="5" xfId="1" quotePrefix="1" applyFill="1" applyBorder="1"/>
    <xf numFmtId="14" fontId="0" fillId="2" borderId="16" xfId="0" quotePrefix="1" applyNumberFormat="1" applyFill="1" applyBorder="1"/>
    <xf numFmtId="0" fontId="0" fillId="2" borderId="11" xfId="0" applyFill="1" applyBorder="1"/>
    <xf numFmtId="3" fontId="0" fillId="2" borderId="5" xfId="0" quotePrefix="1" applyNumberFormat="1" applyFill="1" applyBorder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29" xfId="0" applyFill="1" applyBorder="1"/>
    <xf numFmtId="0" fontId="0" fillId="2" borderId="14" xfId="0" applyFill="1" applyBorder="1"/>
    <xf numFmtId="0" fontId="0" fillId="2" borderId="10" xfId="0" applyFill="1" applyBorder="1"/>
    <xf numFmtId="14" fontId="0" fillId="2" borderId="39" xfId="0" quotePrefix="1" applyNumberFormat="1" applyFill="1" applyBorder="1"/>
    <xf numFmtId="0" fontId="0" fillId="0" borderId="8" xfId="0" quotePrefix="1" applyBorder="1"/>
    <xf numFmtId="0" fontId="0" fillId="0" borderId="9" xfId="0" quotePrefix="1" applyBorder="1"/>
    <xf numFmtId="9" fontId="0" fillId="0" borderId="11" xfId="0" applyNumberFormat="1" applyBorder="1" applyAlignment="1">
      <alignment horizontal="center"/>
    </xf>
    <xf numFmtId="0" fontId="0" fillId="2" borderId="22" xfId="0" quotePrefix="1" applyFill="1" applyBorder="1"/>
    <xf numFmtId="14" fontId="0" fillId="2" borderId="31" xfId="0" applyNumberFormat="1" applyFill="1" applyBorder="1"/>
    <xf numFmtId="3" fontId="0" fillId="0" borderId="32" xfId="0" applyNumberFormat="1" applyBorder="1"/>
    <xf numFmtId="3" fontId="0" fillId="2" borderId="15" xfId="0" applyNumberFormat="1" applyFill="1" applyBorder="1"/>
    <xf numFmtId="3" fontId="0" fillId="2" borderId="5" xfId="0" applyNumberFormat="1" applyFill="1" applyBorder="1"/>
    <xf numFmtId="3" fontId="0" fillId="2" borderId="14" xfId="0" applyNumberFormat="1" applyFill="1" applyBorder="1"/>
    <xf numFmtId="3" fontId="0" fillId="2" borderId="11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38" xfId="0" applyFill="1" applyBorder="1"/>
    <xf numFmtId="3" fontId="0" fillId="3" borderId="18" xfId="0" applyNumberFormat="1" applyFill="1" applyBorder="1"/>
    <xf numFmtId="3" fontId="0" fillId="3" borderId="17" xfId="0" applyNumberFormat="1" applyFill="1" applyBorder="1"/>
    <xf numFmtId="3" fontId="0" fillId="0" borderId="23" xfId="0" applyNumberFormat="1" applyBorder="1"/>
    <xf numFmtId="3" fontId="0" fillId="3" borderId="19" xfId="0" applyNumberFormat="1" applyFill="1" applyBorder="1"/>
    <xf numFmtId="3" fontId="0" fillId="0" borderId="30" xfId="0" applyNumberFormat="1" applyBorder="1"/>
    <xf numFmtId="3" fontId="0" fillId="3" borderId="28" xfId="0" applyNumberFormat="1" applyFill="1" applyBorder="1"/>
    <xf numFmtId="3" fontId="0" fillId="0" borderId="12" xfId="0" applyNumberFormat="1" applyBorder="1"/>
    <xf numFmtId="0" fontId="0" fillId="0" borderId="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8" xfId="0" applyBorder="1" applyAlignment="1">
      <alignment horizontal="center"/>
    </xf>
    <xf numFmtId="14" fontId="0" fillId="0" borderId="4" xfId="0" quotePrefix="1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0" fillId="4" borderId="32" xfId="0" applyNumberForma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5" xfId="2" applyNumberFormat="1" applyFont="1" applyBorder="1"/>
    <xf numFmtId="164" fontId="5" fillId="0" borderId="5" xfId="2" applyNumberFormat="1" applyFont="1" applyBorder="1"/>
    <xf numFmtId="164" fontId="0" fillId="0" borderId="5" xfId="2" applyNumberFormat="1" applyFont="1" applyFill="1" applyBorder="1"/>
    <xf numFmtId="164" fontId="1" fillId="0" borderId="5" xfId="2" applyNumberFormat="1" applyFont="1" applyFill="1" applyBorder="1"/>
    <xf numFmtId="164" fontId="5" fillId="0" borderId="5" xfId="2" applyNumberFormat="1" applyFont="1" applyFill="1" applyBorder="1"/>
    <xf numFmtId="164" fontId="0" fillId="0" borderId="0" xfId="2" applyNumberFormat="1" applyFont="1"/>
    <xf numFmtId="165" fontId="1" fillId="0" borderId="0" xfId="3" applyNumberFormat="1" applyFont="1" applyFill="1"/>
    <xf numFmtId="164" fontId="1" fillId="0" borderId="0" xfId="2" applyNumberFormat="1" applyFont="1"/>
    <xf numFmtId="164" fontId="0" fillId="0" borderId="5" xfId="2" applyNumberFormat="1" applyFont="1" applyFill="1" applyBorder="1" applyAlignment="1">
      <alignment horizontal="center"/>
    </xf>
    <xf numFmtId="166" fontId="0" fillId="0" borderId="5" xfId="2" applyNumberFormat="1" applyFont="1" applyFill="1" applyBorder="1"/>
    <xf numFmtId="166" fontId="5" fillId="0" borderId="5" xfId="2" applyNumberFormat="1" applyFont="1" applyFill="1" applyBorder="1"/>
    <xf numFmtId="166" fontId="1" fillId="0" borderId="5" xfId="2" applyNumberFormat="1" applyFont="1" applyFill="1" applyBorder="1"/>
    <xf numFmtId="164" fontId="1" fillId="0" borderId="0" xfId="2" applyNumberFormat="1" applyFont="1" applyAlignment="1">
      <alignment horizontal="center"/>
    </xf>
    <xf numFmtId="166" fontId="0" fillId="0" borderId="0" xfId="2" applyNumberFormat="1" applyFont="1" applyFill="1"/>
    <xf numFmtId="164" fontId="1" fillId="0" borderId="0" xfId="2" applyNumberFormat="1" applyFont="1" applyFill="1"/>
    <xf numFmtId="166" fontId="1" fillId="0" borderId="0" xfId="2" applyNumberFormat="1" applyFont="1" applyFill="1"/>
    <xf numFmtId="166" fontId="0" fillId="0" borderId="0" xfId="2" applyNumberFormat="1" applyFont="1"/>
    <xf numFmtId="166" fontId="1" fillId="0" borderId="0" xfId="2" applyNumberFormat="1" applyFont="1"/>
    <xf numFmtId="0" fontId="0" fillId="5" borderId="22" xfId="0" quotePrefix="1" applyFill="1" applyBorder="1"/>
    <xf numFmtId="0" fontId="0" fillId="5" borderId="5" xfId="0" quotePrefix="1" applyFill="1" applyBorder="1"/>
    <xf numFmtId="3" fontId="0" fillId="5" borderId="5" xfId="0" applyNumberFormat="1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4" xfId="0" applyFill="1" applyBorder="1"/>
    <xf numFmtId="0" fontId="0" fillId="6" borderId="22" xfId="0" quotePrefix="1" applyFill="1" applyBorder="1"/>
    <xf numFmtId="0" fontId="0" fillId="6" borderId="5" xfId="0" quotePrefix="1" applyFill="1" applyBorder="1"/>
    <xf numFmtId="3" fontId="0" fillId="6" borderId="5" xfId="0" applyNumberFormat="1" applyFill="1" applyBorder="1" applyAlignment="1">
      <alignment horizontal="center"/>
    </xf>
    <xf numFmtId="9" fontId="0" fillId="6" borderId="5" xfId="0" applyNumberFormat="1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17" xfId="0" quotePrefix="1" applyFill="1" applyBorder="1"/>
    <xf numFmtId="0" fontId="0" fillId="5" borderId="41" xfId="0" quotePrefix="1" applyFill="1" applyBorder="1"/>
    <xf numFmtId="0" fontId="0" fillId="5" borderId="42" xfId="0" applyFill="1" applyBorder="1"/>
    <xf numFmtId="14" fontId="1" fillId="7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  <xf numFmtId="0" fontId="8" fillId="0" borderId="43" xfId="0" applyFont="1" applyBorder="1" applyAlignment="1">
      <alignment wrapText="1"/>
    </xf>
    <xf numFmtId="0" fontId="7" fillId="8" borderId="43" xfId="0" applyFont="1" applyFill="1" applyBorder="1" applyAlignment="1">
      <alignment wrapText="1"/>
    </xf>
    <xf numFmtId="0" fontId="6" fillId="0" borderId="43" xfId="0" applyFont="1" applyBorder="1" applyAlignment="1">
      <alignment horizontal="center" wrapText="1"/>
    </xf>
    <xf numFmtId="14" fontId="6" fillId="8" borderId="43" xfId="0" applyNumberFormat="1" applyFont="1" applyFill="1" applyBorder="1" applyAlignment="1">
      <alignment horizontal="center" wrapText="1"/>
    </xf>
    <xf numFmtId="0" fontId="0" fillId="5" borderId="41" xfId="0" quotePrefix="1" applyFill="1" applyBorder="1" applyAlignment="1">
      <alignment horizontal="center"/>
    </xf>
    <xf numFmtId="0" fontId="0" fillId="5" borderId="0" xfId="0" quotePrefix="1" applyFill="1"/>
    <xf numFmtId="0" fontId="0" fillId="5" borderId="2" xfId="0" quotePrefix="1" applyFill="1" applyBorder="1"/>
    <xf numFmtId="0" fontId="0" fillId="5" borderId="5" xfId="0" applyFill="1" applyBorder="1" applyAlignment="1">
      <alignment horizontal="right" indent="1"/>
    </xf>
    <xf numFmtId="14" fontId="0" fillId="0" borderId="3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0" borderId="29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4" fontId="0" fillId="0" borderId="5" xfId="0" quotePrefix="1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5" borderId="48" xfId="0" quotePrefix="1" applyFont="1" applyFill="1" applyBorder="1" applyAlignment="1">
      <alignment horizontal="center"/>
    </xf>
    <xf numFmtId="0" fontId="0" fillId="5" borderId="23" xfId="0" applyFill="1" applyBorder="1"/>
    <xf numFmtId="0" fontId="8" fillId="0" borderId="49" xfId="0" applyFont="1" applyBorder="1" applyAlignment="1">
      <alignment wrapText="1"/>
    </xf>
    <xf numFmtId="0" fontId="8" fillId="0" borderId="50" xfId="0" applyFont="1" applyBorder="1" applyAlignment="1">
      <alignment wrapText="1"/>
    </xf>
    <xf numFmtId="0" fontId="0" fillId="3" borderId="36" xfId="0" applyFill="1" applyBorder="1" applyAlignment="1">
      <alignment horizontal="left"/>
    </xf>
    <xf numFmtId="14" fontId="0" fillId="2" borderId="4" xfId="0" quotePrefix="1" applyNumberFormat="1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0" fillId="11" borderId="13" xfId="0" applyFill="1" applyBorder="1"/>
    <xf numFmtId="0" fontId="0" fillId="11" borderId="24" xfId="0" applyFill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0" fillId="11" borderId="1" xfId="0" applyFill="1" applyBorder="1"/>
    <xf numFmtId="0" fontId="0" fillId="11" borderId="0" xfId="0" applyFill="1"/>
    <xf numFmtId="0" fontId="0" fillId="10" borderId="0" xfId="0" applyFill="1"/>
    <xf numFmtId="0" fontId="0" fillId="10" borderId="2" xfId="0" applyFill="1" applyBorder="1"/>
    <xf numFmtId="0" fontId="0" fillId="10" borderId="13" xfId="0" applyFill="1" applyBorder="1"/>
    <xf numFmtId="0" fontId="0" fillId="10" borderId="38" xfId="0" applyFill="1" applyBorder="1"/>
    <xf numFmtId="0" fontId="0" fillId="10" borderId="1" xfId="0" applyFill="1" applyBorder="1"/>
    <xf numFmtId="0" fontId="0" fillId="10" borderId="24" xfId="0" applyFill="1" applyBorder="1"/>
    <xf numFmtId="0" fontId="12" fillId="11" borderId="1" xfId="0" applyFont="1" applyFill="1" applyBorder="1"/>
    <xf numFmtId="0" fontId="9" fillId="11" borderId="0" xfId="0" applyFont="1" applyFill="1"/>
    <xf numFmtId="0" fontId="0" fillId="11" borderId="7" xfId="0" applyFill="1" applyBorder="1"/>
    <xf numFmtId="0" fontId="0" fillId="11" borderId="8" xfId="0" applyFill="1" applyBorder="1"/>
    <xf numFmtId="0" fontId="9" fillId="10" borderId="1" xfId="0" applyFont="1" applyFill="1" applyBorder="1"/>
    <xf numFmtId="0" fontId="9" fillId="10" borderId="0" xfId="0" applyFont="1" applyFill="1"/>
    <xf numFmtId="0" fontId="9" fillId="10" borderId="2" xfId="0" applyFont="1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13" fillId="0" borderId="0" xfId="0" applyFont="1" applyAlignment="1">
      <alignment horizontal="left" vertical="center"/>
    </xf>
    <xf numFmtId="0" fontId="0" fillId="3" borderId="10" xfId="0" applyFill="1" applyBorder="1" applyAlignment="1">
      <alignment horizontal="left"/>
    </xf>
    <xf numFmtId="0" fontId="15" fillId="0" borderId="0" xfId="0" applyFont="1"/>
    <xf numFmtId="0" fontId="14" fillId="0" borderId="0" xfId="0" applyFont="1"/>
    <xf numFmtId="0" fontId="15" fillId="0" borderId="0" xfId="0" applyFont="1" applyAlignment="1">
      <alignment vertical="center"/>
    </xf>
    <xf numFmtId="0" fontId="17" fillId="15" borderId="0" xfId="0" applyFont="1" applyFill="1"/>
    <xf numFmtId="0" fontId="14" fillId="15" borderId="0" xfId="0" applyFont="1" applyFill="1"/>
    <xf numFmtId="14" fontId="18" fillId="15" borderId="0" xfId="0" applyNumberFormat="1" applyFont="1" applyFill="1"/>
    <xf numFmtId="0" fontId="18" fillId="15" borderId="0" xfId="0" applyFont="1" applyFill="1"/>
    <xf numFmtId="0" fontId="19" fillId="15" borderId="0" xfId="0" applyFont="1" applyFill="1" applyAlignment="1">
      <alignment vertical="center"/>
    </xf>
    <xf numFmtId="0" fontId="15" fillId="15" borderId="0" xfId="0" applyFont="1" applyFill="1" applyAlignment="1">
      <alignment vertical="center"/>
    </xf>
    <xf numFmtId="0" fontId="15" fillId="3" borderId="0" xfId="0" applyFont="1" applyFill="1"/>
    <xf numFmtId="0" fontId="17" fillId="3" borderId="55" xfId="0" applyFont="1" applyFill="1" applyBorder="1"/>
    <xf numFmtId="0" fontId="19" fillId="3" borderId="55" xfId="0" applyFont="1" applyFill="1" applyBorder="1" applyAlignment="1">
      <alignment vertical="center"/>
    </xf>
    <xf numFmtId="0" fontId="15" fillId="15" borderId="0" xfId="0" applyFont="1" applyFill="1"/>
    <xf numFmtId="0" fontId="14" fillId="9" borderId="58" xfId="0" applyFont="1" applyFill="1" applyBorder="1"/>
    <xf numFmtId="14" fontId="14" fillId="9" borderId="58" xfId="0" applyNumberFormat="1" applyFont="1" applyFill="1" applyBorder="1"/>
    <xf numFmtId="14" fontId="14" fillId="9" borderId="62" xfId="0" applyNumberFormat="1" applyFont="1" applyFill="1" applyBorder="1"/>
    <xf numFmtId="0" fontId="14" fillId="9" borderId="62" xfId="0" applyFont="1" applyFill="1" applyBorder="1"/>
    <xf numFmtId="0" fontId="14" fillId="13" borderId="59" xfId="0" applyFont="1" applyFill="1" applyBorder="1"/>
    <xf numFmtId="0" fontId="14" fillId="13" borderId="61" xfId="0" applyFont="1" applyFill="1" applyBorder="1"/>
    <xf numFmtId="0" fontId="18" fillId="13" borderId="64" xfId="0" applyFont="1" applyFill="1" applyBorder="1"/>
    <xf numFmtId="14" fontId="14" fillId="9" borderId="65" xfId="0" applyNumberFormat="1" applyFont="1" applyFill="1" applyBorder="1"/>
    <xf numFmtId="0" fontId="14" fillId="9" borderId="65" xfId="0" applyFont="1" applyFill="1" applyBorder="1"/>
    <xf numFmtId="0" fontId="14" fillId="3" borderId="69" xfId="0" applyFont="1" applyFill="1" applyBorder="1"/>
    <xf numFmtId="14" fontId="14" fillId="3" borderId="70" xfId="0" applyNumberFormat="1" applyFont="1" applyFill="1" applyBorder="1"/>
    <xf numFmtId="0" fontId="14" fillId="3" borderId="72" xfId="0" applyFont="1" applyFill="1" applyBorder="1"/>
    <xf numFmtId="0" fontId="14" fillId="3" borderId="70" xfId="0" applyFont="1" applyFill="1" applyBorder="1"/>
    <xf numFmtId="0" fontId="15" fillId="3" borderId="52" xfId="0" applyFont="1" applyFill="1" applyBorder="1"/>
    <xf numFmtId="0" fontId="15" fillId="3" borderId="73" xfId="0" applyFont="1" applyFill="1" applyBorder="1"/>
    <xf numFmtId="0" fontId="16" fillId="3" borderId="73" xfId="0" applyFont="1" applyFill="1" applyBorder="1" applyAlignment="1">
      <alignment horizontal="center" vertical="center"/>
    </xf>
    <xf numFmtId="0" fontId="16" fillId="3" borderId="73" xfId="0" applyFont="1" applyFill="1" applyBorder="1" applyAlignment="1">
      <alignment vertical="center"/>
    </xf>
    <xf numFmtId="0" fontId="15" fillId="3" borderId="53" xfId="0" applyFont="1" applyFill="1" applyBorder="1"/>
    <xf numFmtId="0" fontId="15" fillId="15" borderId="74" xfId="0" applyFont="1" applyFill="1" applyBorder="1"/>
    <xf numFmtId="0" fontId="15" fillId="15" borderId="75" xfId="0" applyFont="1" applyFill="1" applyBorder="1"/>
    <xf numFmtId="0" fontId="14" fillId="15" borderId="74" xfId="0" applyFont="1" applyFill="1" applyBorder="1"/>
    <xf numFmtId="0" fontId="14" fillId="15" borderId="75" xfId="0" applyFont="1" applyFill="1" applyBorder="1"/>
    <xf numFmtId="0" fontId="15" fillId="15" borderId="74" xfId="0" applyFont="1" applyFill="1" applyBorder="1" applyAlignment="1">
      <alignment vertical="center"/>
    </xf>
    <xf numFmtId="0" fontId="15" fillId="15" borderId="75" xfId="0" applyFont="1" applyFill="1" applyBorder="1" applyAlignment="1">
      <alignment vertical="center"/>
    </xf>
    <xf numFmtId="0" fontId="15" fillId="15" borderId="56" xfId="0" applyFont="1" applyFill="1" applyBorder="1"/>
    <xf numFmtId="0" fontId="15" fillId="15" borderId="76" xfId="0" applyFont="1" applyFill="1" applyBorder="1"/>
    <xf numFmtId="0" fontId="15" fillId="15" borderId="57" xfId="0" applyFont="1" applyFill="1" applyBorder="1"/>
    <xf numFmtId="0" fontId="15" fillId="16" borderId="56" xfId="0" applyFont="1" applyFill="1" applyBorder="1"/>
    <xf numFmtId="0" fontId="15" fillId="16" borderId="76" xfId="0" applyFont="1" applyFill="1" applyBorder="1"/>
    <xf numFmtId="0" fontId="15" fillId="16" borderId="57" xfId="0" applyFont="1" applyFill="1" applyBorder="1"/>
    <xf numFmtId="0" fontId="15" fillId="16" borderId="0" xfId="0" applyFont="1" applyFill="1"/>
    <xf numFmtId="0" fontId="14" fillId="16" borderId="0" xfId="0" applyFont="1" applyFill="1"/>
    <xf numFmtId="0" fontId="22" fillId="3" borderId="71" xfId="0" applyFont="1" applyFill="1" applyBorder="1"/>
    <xf numFmtId="0" fontId="22" fillId="3" borderId="54" xfId="0" applyFont="1" applyFill="1" applyBorder="1" applyAlignment="1">
      <alignment vertical="center"/>
    </xf>
    <xf numFmtId="0" fontId="21" fillId="13" borderId="67" xfId="0" applyFont="1" applyFill="1" applyBorder="1"/>
    <xf numFmtId="0" fontId="21" fillId="13" borderId="77" xfId="0" applyFont="1" applyFill="1" applyBorder="1"/>
    <xf numFmtId="0" fontId="21" fillId="13" borderId="78" xfId="0" applyFont="1" applyFill="1" applyBorder="1"/>
    <xf numFmtId="0" fontId="21" fillId="9" borderId="67" xfId="0" applyFont="1" applyFill="1" applyBorder="1"/>
    <xf numFmtId="0" fontId="21" fillId="9" borderId="77" xfId="0" applyFont="1" applyFill="1" applyBorder="1"/>
    <xf numFmtId="0" fontId="21" fillId="9" borderId="78" xfId="0" applyFont="1" applyFill="1" applyBorder="1"/>
    <xf numFmtId="0" fontId="0" fillId="0" borderId="74" xfId="0" applyBorder="1"/>
    <xf numFmtId="42" fontId="0" fillId="0" borderId="0" xfId="4" applyFont="1" applyBorder="1"/>
    <xf numFmtId="42" fontId="0" fillId="0" borderId="75" xfId="4" applyFont="1" applyBorder="1"/>
    <xf numFmtId="0" fontId="0" fillId="0" borderId="56" xfId="0" applyBorder="1"/>
    <xf numFmtId="0" fontId="0" fillId="0" borderId="76" xfId="0" applyBorder="1" applyAlignment="1">
      <alignment horizontal="center"/>
    </xf>
    <xf numFmtId="42" fontId="0" fillId="0" borderId="76" xfId="4" applyFont="1" applyBorder="1"/>
    <xf numFmtId="42" fontId="0" fillId="0" borderId="57" xfId="4" applyFont="1" applyBorder="1"/>
    <xf numFmtId="167" fontId="23" fillId="0" borderId="75" xfId="2" applyNumberFormat="1" applyFont="1" applyFill="1" applyBorder="1"/>
    <xf numFmtId="0" fontId="0" fillId="0" borderId="76" xfId="0" applyBorder="1"/>
    <xf numFmtId="167" fontId="23" fillId="0" borderId="57" xfId="2" applyNumberFormat="1" applyFont="1" applyFill="1" applyBorder="1"/>
    <xf numFmtId="0" fontId="1" fillId="0" borderId="57" xfId="0" applyFont="1" applyBorder="1"/>
    <xf numFmtId="0" fontId="1" fillId="0" borderId="56" xfId="0" applyFont="1" applyBorder="1"/>
    <xf numFmtId="0" fontId="1" fillId="0" borderId="76" xfId="0" applyFont="1" applyBorder="1"/>
    <xf numFmtId="9" fontId="0" fillId="0" borderId="0" xfId="3" applyFont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6" fillId="3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6" fillId="15" borderId="0" xfId="0" applyFont="1" applyFill="1" applyAlignment="1">
      <alignment horizontal="left" vertical="center"/>
    </xf>
    <xf numFmtId="14" fontId="15" fillId="0" borderId="0" xfId="0" applyNumberFormat="1" applyFont="1"/>
    <xf numFmtId="0" fontId="14" fillId="3" borderId="67" xfId="0" applyFont="1" applyFill="1" applyBorder="1" applyAlignment="1">
      <alignment vertical="center"/>
    </xf>
    <xf numFmtId="9" fontId="0" fillId="0" borderId="0" xfId="0" applyNumberFormat="1"/>
    <xf numFmtId="14" fontId="14" fillId="3" borderId="68" xfId="0" applyNumberFormat="1" applyFont="1" applyFill="1" applyBorder="1" applyProtection="1">
      <protection locked="0"/>
    </xf>
    <xf numFmtId="14" fontId="14" fillId="3" borderId="69" xfId="0" applyNumberFormat="1" applyFont="1" applyFill="1" applyBorder="1" applyProtection="1">
      <protection locked="0"/>
    </xf>
    <xf numFmtId="0" fontId="14" fillId="3" borderId="69" xfId="0" applyFont="1" applyFill="1" applyBorder="1" applyProtection="1">
      <protection locked="0"/>
    </xf>
    <xf numFmtId="0" fontId="14" fillId="3" borderId="57" xfId="0" applyFont="1" applyFill="1" applyBorder="1" applyAlignment="1" applyProtection="1">
      <alignment horizontal="center" vertical="center"/>
      <protection locked="0"/>
    </xf>
    <xf numFmtId="0" fontId="14" fillId="13" borderId="65" xfId="0" applyFont="1" applyFill="1" applyBorder="1" applyProtection="1">
      <protection locked="0"/>
    </xf>
    <xf numFmtId="0" fontId="4" fillId="13" borderId="65" xfId="1" applyFill="1" applyBorder="1" applyProtection="1">
      <protection locked="0"/>
    </xf>
    <xf numFmtId="0" fontId="14" fillId="13" borderId="66" xfId="0" applyFont="1" applyFill="1" applyBorder="1" applyProtection="1">
      <protection locked="0"/>
    </xf>
    <xf numFmtId="0" fontId="14" fillId="9" borderId="64" xfId="0" applyFont="1" applyFill="1" applyBorder="1" applyProtection="1">
      <protection locked="0"/>
    </xf>
    <xf numFmtId="0" fontId="14" fillId="13" borderId="58" xfId="0" applyFont="1" applyFill="1" applyBorder="1" applyProtection="1">
      <protection locked="0"/>
    </xf>
    <xf numFmtId="0" fontId="4" fillId="13" borderId="58" xfId="1" applyFill="1" applyBorder="1" applyProtection="1">
      <protection locked="0"/>
    </xf>
    <xf numFmtId="0" fontId="14" fillId="13" borderId="60" xfId="0" applyFont="1" applyFill="1" applyBorder="1" applyProtection="1">
      <protection locked="0"/>
    </xf>
    <xf numFmtId="0" fontId="14" fillId="9" borderId="59" xfId="0" applyFont="1" applyFill="1" applyBorder="1" applyProtection="1">
      <protection locked="0"/>
    </xf>
    <xf numFmtId="0" fontId="20" fillId="13" borderId="58" xfId="1" applyFont="1" applyFill="1" applyBorder="1" applyProtection="1">
      <protection locked="0"/>
    </xf>
    <xf numFmtId="0" fontId="14" fillId="13" borderId="62" xfId="0" applyFont="1" applyFill="1" applyBorder="1" applyProtection="1">
      <protection locked="0"/>
    </xf>
    <xf numFmtId="0" fontId="14" fillId="13" borderId="63" xfId="0" applyFont="1" applyFill="1" applyBorder="1" applyProtection="1">
      <protection locked="0"/>
    </xf>
    <xf numFmtId="0" fontId="14" fillId="9" borderId="61" xfId="0" applyFont="1" applyFill="1" applyBorder="1" applyProtection="1">
      <protection locked="0"/>
    </xf>
    <xf numFmtId="0" fontId="14" fillId="9" borderId="65" xfId="0" applyFont="1" applyFill="1" applyBorder="1" applyProtection="1">
      <protection locked="0"/>
    </xf>
    <xf numFmtId="0" fontId="14" fillId="9" borderId="58" xfId="0" applyFont="1" applyFill="1" applyBorder="1" applyProtection="1">
      <protection locked="0"/>
    </xf>
    <xf numFmtId="0" fontId="14" fillId="9" borderId="62" xfId="0" applyFont="1" applyFill="1" applyBorder="1" applyProtection="1">
      <protection locked="0"/>
    </xf>
    <xf numFmtId="0" fontId="14" fillId="9" borderId="66" xfId="0" applyFont="1" applyFill="1" applyBorder="1" applyProtection="1">
      <protection locked="0"/>
    </xf>
    <xf numFmtId="0" fontId="14" fillId="9" borderId="60" xfId="0" applyFont="1" applyFill="1" applyBorder="1" applyProtection="1">
      <protection locked="0"/>
    </xf>
    <xf numFmtId="0" fontId="14" fillId="9" borderId="63" xfId="0" applyFont="1" applyFill="1" applyBorder="1" applyProtection="1">
      <protection locked="0"/>
    </xf>
    <xf numFmtId="0" fontId="22" fillId="13" borderId="79" xfId="0" applyFont="1" applyFill="1" applyBorder="1" applyAlignment="1">
      <alignment horizontal="center"/>
    </xf>
    <xf numFmtId="0" fontId="22" fillId="13" borderId="80" xfId="0" applyFont="1" applyFill="1" applyBorder="1" applyAlignment="1">
      <alignment horizontal="center"/>
    </xf>
    <xf numFmtId="0" fontId="22" fillId="13" borderId="81" xfId="0" applyFont="1" applyFill="1" applyBorder="1" applyAlignment="1">
      <alignment horizontal="center"/>
    </xf>
    <xf numFmtId="0" fontId="22" fillId="9" borderId="79" xfId="0" applyFont="1" applyFill="1" applyBorder="1" applyAlignment="1">
      <alignment horizontal="center"/>
    </xf>
    <xf numFmtId="0" fontId="22" fillId="9" borderId="80" xfId="0" applyFont="1" applyFill="1" applyBorder="1" applyAlignment="1">
      <alignment horizontal="center"/>
    </xf>
    <xf numFmtId="0" fontId="22" fillId="9" borderId="81" xfId="0" applyFont="1" applyFill="1" applyBorder="1" applyAlignment="1">
      <alignment horizontal="center"/>
    </xf>
    <xf numFmtId="0" fontId="16" fillId="3" borderId="73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1" fillId="0" borderId="9" xfId="0" applyFont="1" applyBorder="1" applyAlignment="1">
      <alignment horizontal="left"/>
    </xf>
    <xf numFmtId="0" fontId="11" fillId="11" borderId="1" xfId="0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11" fillId="10" borderId="7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24" fillId="0" borderId="52" xfId="0" applyFont="1" applyBorder="1" applyAlignment="1">
      <alignment horizontal="center"/>
    </xf>
    <xf numFmtId="0" fontId="24" fillId="0" borderId="73" xfId="0" applyFont="1" applyBorder="1" applyAlignment="1">
      <alignment horizontal="center"/>
    </xf>
    <xf numFmtId="0" fontId="24" fillId="0" borderId="53" xfId="0" applyFont="1" applyBorder="1" applyAlignment="1">
      <alignment horizont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24" xfId="0" applyFont="1" applyBorder="1"/>
    <xf numFmtId="14" fontId="15" fillId="0" borderId="38" xfId="0" applyNumberFormat="1" applyFont="1" applyBorder="1"/>
    <xf numFmtId="0" fontId="34" fillId="0" borderId="0" xfId="0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horizontal="center" vertical="center"/>
    </xf>
    <xf numFmtId="183" fontId="38" fillId="0" borderId="0" xfId="5" applyNumberFormat="1" applyFont="1" applyAlignment="1">
      <alignment horizontal="center" vertical="center"/>
    </xf>
    <xf numFmtId="0" fontId="38" fillId="0" borderId="0" xfId="0" applyFont="1"/>
    <xf numFmtId="9" fontId="38" fillId="0" borderId="0" xfId="3" applyFont="1" applyAlignment="1">
      <alignment horizontal="center" vertical="center" wrapText="1"/>
    </xf>
    <xf numFmtId="181" fontId="38" fillId="0" borderId="0" xfId="0" applyNumberFormat="1" applyFont="1" applyAlignment="1">
      <alignment horizontal="center" vertical="center"/>
    </xf>
    <xf numFmtId="181" fontId="38" fillId="0" borderId="0" xfId="0" applyNumberFormat="1" applyFont="1" applyAlignment="1">
      <alignment horizontal="center" vertical="center" wrapText="1"/>
    </xf>
    <xf numFmtId="167" fontId="38" fillId="0" borderId="0" xfId="0" applyNumberFormat="1" applyFont="1" applyAlignment="1">
      <alignment horizontal="center" vertical="center"/>
    </xf>
    <xf numFmtId="167" fontId="38" fillId="0" borderId="0" xfId="0" applyNumberFormat="1" applyFont="1" applyAlignment="1">
      <alignment horizontal="center" vertical="center" wrapText="1"/>
    </xf>
    <xf numFmtId="0" fontId="39" fillId="0" borderId="0" xfId="0" applyFont="1"/>
    <xf numFmtId="0" fontId="40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14" fontId="14" fillId="0" borderId="0" xfId="0" applyNumberFormat="1" applyFont="1" applyFill="1" applyBorder="1" applyAlignment="1">
      <alignment horizontal="center" vertical="center"/>
    </xf>
    <xf numFmtId="0" fontId="32" fillId="15" borderId="0" xfId="1" applyFont="1" applyFill="1" applyBorder="1" applyAlignment="1">
      <alignment vertical="center"/>
    </xf>
    <xf numFmtId="0" fontId="32" fillId="15" borderId="0" xfId="0" applyFont="1" applyFill="1" applyBorder="1" applyAlignment="1">
      <alignment horizontal="center" vertical="center"/>
    </xf>
    <xf numFmtId="0" fontId="32" fillId="0" borderId="100" xfId="1" applyFont="1" applyFill="1" applyBorder="1" applyAlignment="1">
      <alignment horizontal="center" vertical="center"/>
    </xf>
    <xf numFmtId="14" fontId="14" fillId="0" borderId="0" xfId="4" applyNumberFormat="1" applyFont="1" applyFill="1" applyBorder="1" applyAlignment="1">
      <alignment horizontal="center" vertical="center"/>
    </xf>
    <xf numFmtId="14" fontId="14" fillId="0" borderId="0" xfId="1" applyNumberFormat="1" applyFont="1" applyFill="1" applyBorder="1" applyAlignment="1">
      <alignment horizontal="center" vertical="center"/>
    </xf>
    <xf numFmtId="0" fontId="32" fillId="0" borderId="117" xfId="1" applyFont="1" applyFill="1" applyBorder="1" applyAlignment="1">
      <alignment horizontal="center" vertical="center"/>
    </xf>
    <xf numFmtId="0" fontId="32" fillId="0" borderId="99" xfId="1" applyFont="1" applyFill="1" applyBorder="1" applyAlignment="1">
      <alignment horizontal="center" vertical="center"/>
    </xf>
    <xf numFmtId="41" fontId="19" fillId="3" borderId="100" xfId="5" applyFont="1" applyFill="1" applyBorder="1" applyAlignment="1">
      <alignment horizontal="center" vertical="center"/>
    </xf>
    <xf numFmtId="41" fontId="19" fillId="3" borderId="99" xfId="5" applyFont="1" applyFill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15" fillId="15" borderId="0" xfId="0" applyFont="1" applyFill="1" applyBorder="1" applyAlignment="1">
      <alignment horizontal="center" vertical="center"/>
    </xf>
    <xf numFmtId="14" fontId="32" fillId="15" borderId="0" xfId="1" applyNumberFormat="1" applyFont="1" applyFill="1" applyBorder="1" applyAlignment="1">
      <alignment horizontal="center" vertical="center"/>
    </xf>
    <xf numFmtId="41" fontId="32" fillId="15" borderId="0" xfId="5" applyFont="1" applyFill="1" applyBorder="1" applyAlignment="1">
      <alignment horizontal="center" vertical="center"/>
    </xf>
    <xf numFmtId="0" fontId="32" fillId="15" borderId="0" xfId="1" applyFont="1" applyFill="1" applyBorder="1" applyAlignment="1">
      <alignment horizontal="center" vertical="center"/>
    </xf>
    <xf numFmtId="41" fontId="43" fillId="3" borderId="90" xfId="5" applyFont="1" applyFill="1" applyBorder="1" applyAlignment="1">
      <alignment horizontal="center" vertical="center"/>
    </xf>
    <xf numFmtId="41" fontId="18" fillId="3" borderId="112" xfId="5" applyFont="1" applyFill="1" applyBorder="1" applyAlignment="1">
      <alignment horizontal="center" vertical="center"/>
    </xf>
    <xf numFmtId="41" fontId="18" fillId="3" borderId="97" xfId="5" applyFont="1" applyFill="1" applyBorder="1" applyAlignment="1">
      <alignment horizontal="center" vertical="center"/>
    </xf>
    <xf numFmtId="41" fontId="18" fillId="3" borderId="101" xfId="5" applyFont="1" applyFill="1" applyBorder="1" applyAlignment="1">
      <alignment horizontal="center" vertical="center"/>
    </xf>
    <xf numFmtId="41" fontId="18" fillId="3" borderId="126" xfId="5" applyFont="1" applyFill="1" applyBorder="1" applyAlignment="1">
      <alignment horizontal="center" vertical="center"/>
    </xf>
    <xf numFmtId="41" fontId="18" fillId="3" borderId="105" xfId="5" applyFont="1" applyFill="1" applyBorder="1" applyAlignment="1">
      <alignment horizontal="center" vertical="center"/>
    </xf>
    <xf numFmtId="41" fontId="18" fillId="3" borderId="106" xfId="5" applyFont="1" applyFill="1" applyBorder="1" applyAlignment="1">
      <alignment horizontal="center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14" fillId="18" borderId="91" xfId="0" applyFont="1" applyFill="1" applyBorder="1" applyAlignment="1">
      <alignment horizontal="center" vertical="center"/>
    </xf>
    <xf numFmtId="41" fontId="14" fillId="18" borderId="92" xfId="5" applyFont="1" applyFill="1" applyBorder="1" applyAlignment="1">
      <alignment horizontal="center" vertical="center"/>
    </xf>
    <xf numFmtId="9" fontId="14" fillId="18" borderId="92" xfId="3" applyFont="1" applyFill="1" applyBorder="1" applyAlignment="1">
      <alignment horizontal="center" vertical="center"/>
    </xf>
    <xf numFmtId="41" fontId="14" fillId="18" borderId="93" xfId="5" applyFont="1" applyFill="1" applyBorder="1" applyAlignment="1">
      <alignment horizontal="center" vertical="center"/>
    </xf>
    <xf numFmtId="0" fontId="14" fillId="18" borderId="94" xfId="0" applyFont="1" applyFill="1" applyBorder="1" applyAlignment="1">
      <alignment horizontal="center" vertical="center"/>
    </xf>
    <xf numFmtId="41" fontId="14" fillId="18" borderId="58" xfId="5" applyFont="1" applyFill="1" applyBorder="1" applyAlignment="1">
      <alignment horizontal="center" vertical="center"/>
    </xf>
    <xf numFmtId="9" fontId="14" fillId="18" borderId="58" xfId="3" applyFont="1" applyFill="1" applyBorder="1" applyAlignment="1">
      <alignment horizontal="center" vertical="center"/>
    </xf>
    <xf numFmtId="41" fontId="14" fillId="18" borderId="87" xfId="5" applyFont="1" applyFill="1" applyBorder="1" applyAlignment="1">
      <alignment horizontal="center" vertical="center"/>
    </xf>
    <xf numFmtId="0" fontId="14" fillId="18" borderId="116" xfId="0" applyFont="1" applyFill="1" applyBorder="1" applyAlignment="1">
      <alignment horizontal="center" vertical="center"/>
    </xf>
    <xf numFmtId="41" fontId="14" fillId="18" borderId="88" xfId="5" applyFont="1" applyFill="1" applyBorder="1" applyAlignment="1">
      <alignment horizontal="center" vertical="center"/>
    </xf>
    <xf numFmtId="9" fontId="14" fillId="18" borderId="88" xfId="3" applyFont="1" applyFill="1" applyBorder="1" applyAlignment="1">
      <alignment horizontal="center" vertical="center"/>
    </xf>
    <xf numFmtId="41" fontId="14" fillId="18" borderId="89" xfId="5" applyFont="1" applyFill="1" applyBorder="1" applyAlignment="1">
      <alignment horizontal="center" vertical="center"/>
    </xf>
    <xf numFmtId="0" fontId="33" fillId="18" borderId="100" xfId="0" applyFont="1" applyFill="1" applyBorder="1" applyAlignment="1">
      <alignment horizontal="center" vertical="center"/>
    </xf>
    <xf numFmtId="0" fontId="32" fillId="18" borderId="117" xfId="0" applyFont="1" applyFill="1" applyBorder="1" applyAlignment="1">
      <alignment horizontal="center" vertical="center"/>
    </xf>
    <xf numFmtId="41" fontId="32" fillId="18" borderId="117" xfId="5" applyFont="1" applyFill="1" applyBorder="1" applyAlignment="1">
      <alignment horizontal="center" vertical="center"/>
    </xf>
    <xf numFmtId="0" fontId="33" fillId="18" borderId="117" xfId="0" applyFont="1" applyFill="1" applyBorder="1" applyAlignment="1">
      <alignment horizontal="center" vertical="center"/>
    </xf>
    <xf numFmtId="41" fontId="44" fillId="3" borderId="115" xfId="5" applyFont="1" applyFill="1" applyBorder="1" applyAlignment="1">
      <alignment horizontal="center" vertical="center"/>
    </xf>
    <xf numFmtId="41" fontId="44" fillId="3" borderId="108" xfId="5" applyFont="1" applyFill="1" applyBorder="1" applyAlignment="1">
      <alignment horizontal="center" vertical="center"/>
    </xf>
    <xf numFmtId="41" fontId="32" fillId="3" borderId="109" xfId="5" applyFont="1" applyFill="1" applyBorder="1" applyAlignment="1">
      <alignment horizontal="center" vertical="center"/>
    </xf>
    <xf numFmtId="0" fontId="27" fillId="0" borderId="102" xfId="0" applyFont="1" applyFill="1" applyBorder="1" applyAlignment="1">
      <alignment horizontal="left" vertical="center"/>
    </xf>
    <xf numFmtId="0" fontId="27" fillId="0" borderId="110" xfId="0" applyFont="1" applyFill="1" applyBorder="1" applyAlignment="1">
      <alignment horizontal="left" vertical="center"/>
    </xf>
    <xf numFmtId="0" fontId="27" fillId="0" borderId="103" xfId="0" applyFont="1" applyFill="1" applyBorder="1" applyAlignment="1">
      <alignment horizontal="left" vertical="center"/>
    </xf>
    <xf numFmtId="0" fontId="45" fillId="9" borderId="85" xfId="0" applyFont="1" applyFill="1" applyBorder="1" applyAlignment="1" applyProtection="1">
      <alignment horizontal="center" vertical="center"/>
    </xf>
    <xf numFmtId="0" fontId="31" fillId="14" borderId="21" xfId="0" applyFont="1" applyFill="1" applyBorder="1" applyAlignment="1" applyProtection="1">
      <alignment vertical="center"/>
    </xf>
    <xf numFmtId="0" fontId="31" fillId="0" borderId="0" xfId="0" applyFont="1" applyProtection="1"/>
    <xf numFmtId="3" fontId="44" fillId="3" borderId="65" xfId="5" applyNumberFormat="1" applyFont="1" applyFill="1" applyBorder="1" applyAlignment="1">
      <alignment horizontal="center" vertical="center"/>
    </xf>
    <xf numFmtId="3" fontId="44" fillId="3" borderId="111" xfId="5" applyNumberFormat="1" applyFont="1" applyFill="1" applyBorder="1" applyAlignment="1">
      <alignment horizontal="center" vertical="center"/>
    </xf>
    <xf numFmtId="3" fontId="44" fillId="3" borderId="125" xfId="5" applyNumberFormat="1" applyFont="1" applyFill="1" applyBorder="1" applyAlignment="1">
      <alignment horizontal="center" vertical="center"/>
    </xf>
    <xf numFmtId="3" fontId="44" fillId="3" borderId="58" xfId="5" applyNumberFormat="1" applyFont="1" applyFill="1" applyBorder="1" applyAlignment="1">
      <alignment horizontal="center" vertical="center"/>
    </xf>
    <xf numFmtId="3" fontId="44" fillId="3" borderId="124" xfId="5" applyNumberFormat="1" applyFont="1" applyFill="1" applyBorder="1" applyAlignment="1">
      <alignment horizontal="center" vertical="center"/>
    </xf>
    <xf numFmtId="3" fontId="32" fillId="3" borderId="114" xfId="5" applyNumberFormat="1" applyFont="1" applyFill="1" applyBorder="1" applyAlignment="1">
      <alignment horizontal="center" vertical="center"/>
    </xf>
    <xf numFmtId="3" fontId="32" fillId="3" borderId="95" xfId="5" applyNumberFormat="1" applyFont="1" applyFill="1" applyBorder="1" applyAlignment="1">
      <alignment horizontal="center" vertical="center"/>
    </xf>
    <xf numFmtId="3" fontId="32" fillId="3" borderId="104" xfId="5" applyNumberFormat="1" applyFont="1" applyFill="1" applyBorder="1" applyAlignment="1">
      <alignment horizontal="center" vertical="center"/>
    </xf>
    <xf numFmtId="14" fontId="14" fillId="3" borderId="108" xfId="3" applyNumberFormat="1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17" borderId="0" xfId="0" applyFont="1" applyFill="1" applyAlignment="1">
      <alignment vertical="center"/>
    </xf>
    <xf numFmtId="0" fontId="28" fillId="18" borderId="96" xfId="0" applyFont="1" applyFill="1" applyBorder="1" applyAlignment="1">
      <alignment vertical="center"/>
    </xf>
    <xf numFmtId="0" fontId="29" fillId="18" borderId="97" xfId="1" applyFont="1" applyFill="1" applyBorder="1" applyAlignment="1">
      <alignment vertical="center"/>
    </xf>
    <xf numFmtId="0" fontId="28" fillId="18" borderId="97" xfId="0" applyFont="1" applyFill="1" applyBorder="1" applyAlignment="1">
      <alignment vertical="center" wrapText="1"/>
    </xf>
    <xf numFmtId="0" fontId="30" fillId="18" borderId="97" xfId="1" applyFont="1" applyFill="1" applyBorder="1" applyAlignment="1">
      <alignment vertical="center"/>
    </xf>
    <xf numFmtId="0" fontId="28" fillId="18" borderId="98" xfId="0" applyFont="1" applyFill="1" applyBorder="1" applyAlignment="1">
      <alignment vertical="center"/>
    </xf>
    <xf numFmtId="0" fontId="14" fillId="18" borderId="92" xfId="1" applyFont="1" applyFill="1" applyBorder="1" applyAlignment="1">
      <alignment horizontal="left" vertical="center"/>
    </xf>
    <xf numFmtId="0" fontId="14" fillId="18" borderId="58" xfId="1" applyFont="1" applyFill="1" applyBorder="1" applyAlignment="1">
      <alignment horizontal="left" vertical="center"/>
    </xf>
    <xf numFmtId="0" fontId="14" fillId="18" borderId="88" xfId="1" applyFont="1" applyFill="1" applyBorder="1" applyAlignment="1">
      <alignment horizontal="left" vertical="center"/>
    </xf>
    <xf numFmtId="0" fontId="32" fillId="18" borderId="117" xfId="0" applyFont="1" applyFill="1" applyBorder="1" applyAlignment="1">
      <alignment horizontal="left" vertical="center"/>
    </xf>
    <xf numFmtId="0" fontId="14" fillId="0" borderId="0" xfId="5" applyNumberFormat="1" applyFont="1" applyFill="1" applyBorder="1" applyAlignment="1">
      <alignment horizontal="center" vertical="center"/>
    </xf>
    <xf numFmtId="41" fontId="15" fillId="0" borderId="0" xfId="5" applyFont="1"/>
    <xf numFmtId="0" fontId="15" fillId="0" borderId="0" xfId="0" applyFont="1" applyFill="1" applyProtection="1"/>
    <xf numFmtId="0" fontId="15" fillId="0" borderId="0" xfId="0" applyFont="1" applyFill="1" applyProtection="1">
      <protection locked="0"/>
    </xf>
    <xf numFmtId="14" fontId="15" fillId="0" borderId="0" xfId="0" applyNumberFormat="1" applyFont="1" applyFill="1" applyAlignment="1" applyProtection="1">
      <alignment horizontal="center"/>
      <protection locked="0"/>
    </xf>
    <xf numFmtId="14" fontId="15" fillId="0" borderId="0" xfId="0" applyNumberFormat="1" applyFont="1" applyFill="1" applyProtection="1">
      <protection locked="0"/>
    </xf>
    <xf numFmtId="0" fontId="15" fillId="0" borderId="0" xfId="0" applyFont="1" applyFill="1" applyAlignment="1" applyProtection="1">
      <alignment horizontal="center"/>
      <protection locked="0"/>
    </xf>
    <xf numFmtId="14" fontId="15" fillId="0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 vertical="center"/>
    </xf>
    <xf numFmtId="41" fontId="15" fillId="0" borderId="0" xfId="5" applyFont="1" applyFill="1" applyProtection="1"/>
    <xf numFmtId="9" fontId="15" fillId="0" borderId="0" xfId="3" applyFont="1" applyFill="1" applyProtection="1">
      <protection locked="0"/>
    </xf>
    <xf numFmtId="10" fontId="15" fillId="0" borderId="0" xfId="3" applyNumberFormat="1" applyFont="1" applyFill="1"/>
    <xf numFmtId="10" fontId="15" fillId="0" borderId="0" xfId="5" applyNumberFormat="1" applyFont="1" applyFill="1"/>
    <xf numFmtId="0" fontId="0" fillId="0" borderId="0" xfId="0" applyFill="1" applyProtection="1"/>
    <xf numFmtId="41" fontId="0" fillId="0" borderId="0" xfId="5" applyFont="1" applyFill="1" applyProtection="1"/>
    <xf numFmtId="0" fontId="0" fillId="0" borderId="0" xfId="0" applyFill="1" applyProtection="1"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9" fontId="0" fillId="0" borderId="0" xfId="3" applyFont="1" applyFill="1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46" fillId="12" borderId="84" xfId="0" applyFont="1" applyFill="1" applyBorder="1" applyAlignment="1" applyProtection="1">
      <alignment vertical="center" wrapText="1"/>
    </xf>
    <xf numFmtId="0" fontId="46" fillId="9" borderId="85" xfId="0" applyFont="1" applyFill="1" applyBorder="1" applyAlignment="1" applyProtection="1">
      <alignment horizontal="center" vertical="center"/>
    </xf>
    <xf numFmtId="0" fontId="46" fillId="9" borderId="86" xfId="0" applyFont="1" applyFill="1" applyBorder="1" applyAlignment="1" applyProtection="1">
      <alignment horizontal="center" vertical="center"/>
    </xf>
    <xf numFmtId="0" fontId="46" fillId="9" borderId="86" xfId="0" applyFont="1" applyFill="1" applyBorder="1" applyAlignment="1" applyProtection="1">
      <alignment horizontal="center" vertical="center" wrapText="1"/>
    </xf>
    <xf numFmtId="0" fontId="46" fillId="10" borderId="85" xfId="0" applyFont="1" applyFill="1" applyBorder="1" applyAlignment="1" applyProtection="1">
      <alignment horizontal="center" vertical="center"/>
    </xf>
    <xf numFmtId="0" fontId="46" fillId="10" borderId="86" xfId="0" applyFont="1" applyFill="1" applyBorder="1" applyAlignment="1" applyProtection="1">
      <alignment horizontal="center" vertical="center"/>
    </xf>
    <xf numFmtId="0" fontId="46" fillId="11" borderId="82" xfId="0" applyFont="1" applyFill="1" applyBorder="1" applyAlignment="1" applyProtection="1">
      <alignment horizontal="center" vertical="center"/>
    </xf>
    <xf numFmtId="0" fontId="46" fillId="11" borderId="83" xfId="0" applyFont="1" applyFill="1" applyBorder="1" applyAlignment="1" applyProtection="1">
      <alignment horizontal="center" vertical="center" wrapText="1"/>
    </xf>
    <xf numFmtId="0" fontId="46" fillId="11" borderId="83" xfId="0" applyFont="1" applyFill="1" applyBorder="1" applyAlignment="1" applyProtection="1">
      <alignment horizontal="center" vertical="center"/>
    </xf>
    <xf numFmtId="49" fontId="14" fillId="3" borderId="107" xfId="3" applyNumberFormat="1" applyFont="1" applyFill="1" applyBorder="1" applyAlignment="1">
      <alignment horizontal="center" vertical="center"/>
    </xf>
    <xf numFmtId="186" fontId="44" fillId="3" borderId="113" xfId="5" applyNumberFormat="1" applyFont="1" applyFill="1" applyBorder="1" applyAlignment="1">
      <alignment horizontal="center" vertical="center"/>
    </xf>
    <xf numFmtId="185" fontId="15" fillId="0" borderId="0" xfId="0" applyNumberFormat="1" applyFont="1"/>
    <xf numFmtId="176" fontId="15" fillId="0" borderId="0" xfId="0" applyNumberFormat="1" applyFont="1"/>
    <xf numFmtId="41" fontId="45" fillId="9" borderId="85" xfId="5" applyFont="1" applyFill="1" applyBorder="1" applyAlignment="1" applyProtection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14" fillId="0" borderId="0" xfId="0" applyNumberFormat="1" applyFont="1" applyFill="1" applyBorder="1" applyAlignment="1">
      <alignment horizontal="center" vertical="center"/>
    </xf>
    <xf numFmtId="0" fontId="14" fillId="0" borderId="120" xfId="1" applyNumberFormat="1" applyFont="1" applyFill="1" applyBorder="1" applyAlignment="1">
      <alignment horizontal="center" vertical="center"/>
    </xf>
    <xf numFmtId="0" fontId="15" fillId="15" borderId="0" xfId="0" applyNumberFormat="1" applyFont="1" applyFill="1" applyAlignment="1">
      <alignment vertical="center"/>
    </xf>
    <xf numFmtId="0" fontId="15" fillId="0" borderId="120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0" fontId="15" fillId="0" borderId="122" xfId="0" applyNumberFormat="1" applyFont="1" applyFill="1" applyBorder="1" applyAlignment="1">
      <alignment horizontal="center" vertical="center"/>
    </xf>
    <xf numFmtId="187" fontId="14" fillId="0" borderId="0" xfId="4" applyNumberFormat="1" applyFont="1" applyFill="1" applyBorder="1" applyAlignment="1">
      <alignment horizontal="center" vertical="center"/>
    </xf>
    <xf numFmtId="187" fontId="14" fillId="0" borderId="0" xfId="0" applyNumberFormat="1" applyFont="1" applyFill="1" applyBorder="1" applyAlignment="1">
      <alignment horizontal="center" vertical="center"/>
    </xf>
    <xf numFmtId="0" fontId="14" fillId="0" borderId="118" xfId="0" applyFont="1" applyFill="1" applyBorder="1" applyAlignment="1">
      <alignment horizontal="center" vertical="center"/>
    </xf>
    <xf numFmtId="0" fontId="14" fillId="0" borderId="119" xfId="0" applyFont="1" applyFill="1" applyBorder="1" applyAlignment="1">
      <alignment horizontal="center" vertical="center"/>
    </xf>
    <xf numFmtId="14" fontId="14" fillId="0" borderId="121" xfId="1" applyNumberFormat="1" applyFont="1" applyFill="1" applyBorder="1" applyAlignment="1">
      <alignment horizontal="center" vertical="center"/>
    </xf>
    <xf numFmtId="0" fontId="14" fillId="0" borderId="121" xfId="0" applyNumberFormat="1" applyFont="1" applyFill="1" applyBorder="1" applyAlignment="1">
      <alignment horizontal="center" vertical="center"/>
    </xf>
    <xf numFmtId="0" fontId="14" fillId="0" borderId="121" xfId="5" applyNumberFormat="1" applyFont="1" applyFill="1" applyBorder="1" applyAlignment="1">
      <alignment horizontal="center" vertical="center"/>
    </xf>
    <xf numFmtId="0" fontId="14" fillId="0" borderId="121" xfId="1" applyNumberFormat="1" applyFont="1" applyFill="1" applyBorder="1" applyAlignment="1">
      <alignment horizontal="center" vertical="center"/>
    </xf>
    <xf numFmtId="188" fontId="15" fillId="0" borderId="0" xfId="0" applyNumberFormat="1" applyFont="1" applyAlignment="1">
      <alignment vertical="center"/>
    </xf>
    <xf numFmtId="169" fontId="14" fillId="0" borderId="0" xfId="5" applyNumberFormat="1" applyFont="1" applyFill="1" applyBorder="1" applyAlignment="1">
      <alignment horizontal="center" vertical="center"/>
    </xf>
    <xf numFmtId="0" fontId="31" fillId="15" borderId="0" xfId="0" applyFont="1" applyFill="1" applyBorder="1" applyAlignment="1">
      <alignment horizontal="center" vertical="center"/>
    </xf>
    <xf numFmtId="42" fontId="14" fillId="15" borderId="0" xfId="4" applyFont="1" applyFill="1" applyBorder="1" applyAlignment="1">
      <alignment horizontal="center" vertical="center"/>
    </xf>
    <xf numFmtId="0" fontId="33" fillId="15" borderId="0" xfId="0" applyFont="1" applyFill="1" applyBorder="1" applyAlignment="1">
      <alignment horizontal="center" vertical="center"/>
    </xf>
    <xf numFmtId="0" fontId="30" fillId="18" borderId="101" xfId="1" applyFont="1" applyFill="1" applyBorder="1" applyAlignment="1">
      <alignment vertical="center" wrapText="1"/>
    </xf>
    <xf numFmtId="42" fontId="14" fillId="18" borderId="123" xfId="4" applyFont="1" applyFill="1" applyBorder="1" applyAlignment="1">
      <alignment horizontal="center" vertical="center"/>
    </xf>
    <xf numFmtId="42" fontId="14" fillId="18" borderId="124" xfId="4" applyFont="1" applyFill="1" applyBorder="1" applyAlignment="1">
      <alignment horizontal="center" vertical="center"/>
    </xf>
    <xf numFmtId="42" fontId="14" fillId="18" borderId="127" xfId="4" applyFont="1" applyFill="1" applyBorder="1" applyAlignment="1">
      <alignment horizontal="center" vertical="center"/>
    </xf>
    <xf numFmtId="42" fontId="32" fillId="18" borderId="99" xfId="0" applyNumberFormat="1" applyFont="1" applyFill="1" applyBorder="1" applyAlignment="1">
      <alignment horizontal="center" vertical="center"/>
    </xf>
    <xf numFmtId="22" fontId="15" fillId="0" borderId="0" xfId="0" applyNumberFormat="1" applyFont="1"/>
  </cellXfs>
  <cellStyles count="6">
    <cellStyle name="Hipervínculo" xfId="1" builtinId="8"/>
    <cellStyle name="Millares [0]" xfId="5" builtinId="6"/>
    <cellStyle name="Moneda" xfId="2" builtinId="4"/>
    <cellStyle name="Moneda [0]" xfId="4" builtinId="7"/>
    <cellStyle name="Normal" xfId="0" builtinId="0"/>
    <cellStyle name="Porcentaje" xfId="3" builtinId="5"/>
  </cellStyles>
  <dxfs count="10"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  <dxf>
      <numFmt numFmtId="172" formatCode="_-&quot;CLP&quot;\ * #,##0_-;\ \-&quot;CLP&quot;\ * #,##0\-;\ _-&quot;CLP&quot;\ * &quot;-&quot;??_-;_-@_-\ "/>
    </dxf>
    <dxf>
      <numFmt numFmtId="173" formatCode="_-&quot;USD&quot;\ * #,##0_-;\ \-&quot;USD&quot;\ * #,##0\-;\ _-&quot;USD&quot;\ * &quot;-&quot;??_-;_-@_-\ "/>
    </dxf>
  </dxfs>
  <tableStyles count="2" defaultTableStyle="TableStyleMedium2" defaultPivotStyle="PivotStyleLight16">
    <tableStyle name="tblExt" pivot="0" count="0" xr9:uid="{61AC4EEC-B621-FA46-BFFB-C3F3F7E809F7}"/>
    <tableStyle name="tblNac" pivot="0" count="0" xr9:uid="{A54CB06A-B124-2C40-96A3-DEBA128854C5}"/>
  </tableStyles>
  <colors>
    <mruColors>
      <color rgb="FF207346"/>
      <color rgb="FF2454A9"/>
      <color rgb="FFEFBCBA"/>
      <color rgb="FFEFF0C1"/>
      <color rgb="FFEBE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image" Target="../media/image3.jpeg"/><Relationship Id="rId5" Type="http://schemas.openxmlformats.org/officeDocument/2006/relationships/image" Target="../media/image6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4</xdr:row>
      <xdr:rowOff>12701</xdr:rowOff>
    </xdr:from>
    <xdr:to>
      <xdr:col>3</xdr:col>
      <xdr:colOff>12700</xdr:colOff>
      <xdr:row>7</xdr:row>
      <xdr:rowOff>1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590D7FCC-3CBF-F751-8372-1928D24E144F}"/>
            </a:ext>
          </a:extLst>
        </xdr:cNvPr>
        <xdr:cNvSpPr/>
      </xdr:nvSpPr>
      <xdr:spPr>
        <a:xfrm>
          <a:off x="1158875" y="431801"/>
          <a:ext cx="2282825" cy="1574800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15875</xdr:colOff>
      <xdr:row>4</xdr:row>
      <xdr:rowOff>12701</xdr:rowOff>
    </xdr:from>
    <xdr:to>
      <xdr:col>6</xdr:col>
      <xdr:colOff>12700</xdr:colOff>
      <xdr:row>7</xdr:row>
      <xdr:rowOff>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CB732599-2A2C-5E45-B1D6-10CF68AD1BC4}"/>
            </a:ext>
          </a:extLst>
        </xdr:cNvPr>
        <xdr:cNvSpPr/>
      </xdr:nvSpPr>
      <xdr:spPr>
        <a:xfrm>
          <a:off x="4587875" y="431801"/>
          <a:ext cx="2282825" cy="1574799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15875</xdr:colOff>
      <xdr:row>4</xdr:row>
      <xdr:rowOff>12701</xdr:rowOff>
    </xdr:from>
    <xdr:to>
      <xdr:col>9</xdr:col>
      <xdr:colOff>12700</xdr:colOff>
      <xdr:row>7</xdr:row>
      <xdr:rowOff>1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AC956912-9366-5248-AC72-326432FB4D7F}"/>
            </a:ext>
          </a:extLst>
        </xdr:cNvPr>
        <xdr:cNvSpPr/>
      </xdr:nvSpPr>
      <xdr:spPr>
        <a:xfrm>
          <a:off x="8016875" y="431801"/>
          <a:ext cx="2282825" cy="1574800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15875</xdr:colOff>
      <xdr:row>4</xdr:row>
      <xdr:rowOff>12701</xdr:rowOff>
    </xdr:from>
    <xdr:to>
      <xdr:col>12</xdr:col>
      <xdr:colOff>12700</xdr:colOff>
      <xdr:row>7</xdr:row>
      <xdr:rowOff>1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C9B385D0-2A89-E641-9193-D0A521332132}"/>
            </a:ext>
          </a:extLst>
        </xdr:cNvPr>
        <xdr:cNvSpPr/>
      </xdr:nvSpPr>
      <xdr:spPr>
        <a:xfrm>
          <a:off x="11445875" y="431801"/>
          <a:ext cx="2282825" cy="1574800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6148</xdr:colOff>
      <xdr:row>10</xdr:row>
      <xdr:rowOff>16483</xdr:rowOff>
    </xdr:from>
    <xdr:to>
      <xdr:col>3</xdr:col>
      <xdr:colOff>0</xdr:colOff>
      <xdr:row>13</xdr:row>
      <xdr:rowOff>0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C3B4AFCF-91B5-634D-90FF-C5924C6F0774}"/>
            </a:ext>
          </a:extLst>
        </xdr:cNvPr>
        <xdr:cNvSpPr/>
      </xdr:nvSpPr>
      <xdr:spPr>
        <a:xfrm>
          <a:off x="1149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6148</xdr:colOff>
      <xdr:row>10</xdr:row>
      <xdr:rowOff>16483</xdr:rowOff>
    </xdr:from>
    <xdr:to>
      <xdr:col>6</xdr:col>
      <xdr:colOff>0</xdr:colOff>
      <xdr:row>13</xdr:row>
      <xdr:rowOff>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8B34110A-0EA6-6345-8573-5340282DB44E}"/>
            </a:ext>
          </a:extLst>
        </xdr:cNvPr>
        <xdr:cNvSpPr/>
      </xdr:nvSpPr>
      <xdr:spPr>
        <a:xfrm>
          <a:off x="4578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6148</xdr:colOff>
      <xdr:row>10</xdr:row>
      <xdr:rowOff>16483</xdr:rowOff>
    </xdr:from>
    <xdr:to>
      <xdr:col>9</xdr:col>
      <xdr:colOff>0</xdr:colOff>
      <xdr:row>13</xdr:row>
      <xdr:rowOff>0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13C91DB7-2AF3-B748-9A56-BC6259E6BF58}"/>
            </a:ext>
          </a:extLst>
        </xdr:cNvPr>
        <xdr:cNvSpPr/>
      </xdr:nvSpPr>
      <xdr:spPr>
        <a:xfrm>
          <a:off x="8007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6148</xdr:colOff>
      <xdr:row>10</xdr:row>
      <xdr:rowOff>16483</xdr:rowOff>
    </xdr:from>
    <xdr:to>
      <xdr:col>12</xdr:col>
      <xdr:colOff>0</xdr:colOff>
      <xdr:row>13</xdr:row>
      <xdr:rowOff>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A8218F37-3DEE-3346-B2AB-8E8EDA8DBCB5}"/>
            </a:ext>
          </a:extLst>
        </xdr:cNvPr>
        <xdr:cNvSpPr/>
      </xdr:nvSpPr>
      <xdr:spPr>
        <a:xfrm>
          <a:off x="11436148" y="2835883"/>
          <a:ext cx="2279852" cy="1558317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23442</xdr:colOff>
      <xdr:row>16</xdr:row>
      <xdr:rowOff>6757</xdr:rowOff>
    </xdr:from>
    <xdr:to>
      <xdr:col>3</xdr:col>
      <xdr:colOff>2568</xdr:colOff>
      <xdr:row>19</xdr:row>
      <xdr:rowOff>0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AFA93CF5-F53F-0046-B347-A9F79DD4F57E}"/>
            </a:ext>
          </a:extLst>
        </xdr:cNvPr>
        <xdr:cNvSpPr/>
      </xdr:nvSpPr>
      <xdr:spPr>
        <a:xfrm>
          <a:off x="1166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23442</xdr:colOff>
      <xdr:row>16</xdr:row>
      <xdr:rowOff>6757</xdr:rowOff>
    </xdr:from>
    <xdr:to>
      <xdr:col>6</xdr:col>
      <xdr:colOff>2568</xdr:colOff>
      <xdr:row>19</xdr:row>
      <xdr:rowOff>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7C38B159-4C75-9341-87F9-6CB7EDD48059}"/>
            </a:ext>
          </a:extLst>
        </xdr:cNvPr>
        <xdr:cNvSpPr/>
      </xdr:nvSpPr>
      <xdr:spPr>
        <a:xfrm>
          <a:off x="4595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23442</xdr:colOff>
      <xdr:row>16</xdr:row>
      <xdr:rowOff>6757</xdr:rowOff>
    </xdr:from>
    <xdr:to>
      <xdr:col>9</xdr:col>
      <xdr:colOff>2568</xdr:colOff>
      <xdr:row>19</xdr:row>
      <xdr:rowOff>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F5F26F55-F747-5A4F-9B3D-2C7820887604}"/>
            </a:ext>
          </a:extLst>
        </xdr:cNvPr>
        <xdr:cNvSpPr/>
      </xdr:nvSpPr>
      <xdr:spPr>
        <a:xfrm>
          <a:off x="8024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23442</xdr:colOff>
      <xdr:row>16</xdr:row>
      <xdr:rowOff>6757</xdr:rowOff>
    </xdr:from>
    <xdr:to>
      <xdr:col>12</xdr:col>
      <xdr:colOff>2568</xdr:colOff>
      <xdr:row>19</xdr:row>
      <xdr:rowOff>0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4250FB1D-E6C5-2047-BE96-A2792B122110}"/>
            </a:ext>
          </a:extLst>
        </xdr:cNvPr>
        <xdr:cNvSpPr/>
      </xdr:nvSpPr>
      <xdr:spPr>
        <a:xfrm>
          <a:off x="11453442" y="5213757"/>
          <a:ext cx="2265126" cy="156804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0</xdr:col>
      <xdr:colOff>229681</xdr:colOff>
      <xdr:row>21</xdr:row>
      <xdr:rowOff>27021</xdr:rowOff>
    </xdr:from>
    <xdr:to>
      <xdr:col>13</xdr:col>
      <xdr:colOff>13511</xdr:colOff>
      <xdr:row>21</xdr:row>
      <xdr:rowOff>27021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93E8843A-811E-9D58-4EC6-C974E45D6A28}"/>
            </a:ext>
          </a:extLst>
        </xdr:cNvPr>
        <xdr:cNvCxnSpPr/>
      </xdr:nvCxnSpPr>
      <xdr:spPr>
        <a:xfrm>
          <a:off x="229681" y="4215319"/>
          <a:ext cx="10497766" cy="0"/>
        </a:xfrm>
        <a:prstGeom prst="line">
          <a:avLst/>
        </a:prstGeom>
        <a:ln w="38100">
          <a:solidFill>
            <a:srgbClr val="2454A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305579</xdr:colOff>
      <xdr:row>0</xdr:row>
      <xdr:rowOff>982526</xdr:rowOff>
    </xdr:from>
    <xdr:to>
      <xdr:col>4</xdr:col>
      <xdr:colOff>339231</xdr:colOff>
      <xdr:row>0</xdr:row>
      <xdr:rowOff>1435630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5F9910-0939-2161-7E5E-70CCC50F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70058" y="982526"/>
          <a:ext cx="2296367" cy="459454"/>
        </a:xfrm>
        <a:prstGeom prst="rect">
          <a:avLst/>
        </a:prstGeom>
      </xdr:spPr>
    </xdr:pic>
    <xdr:clientData/>
  </xdr:twoCellAnchor>
  <xdr:twoCellAnchor editAs="oneCell">
    <xdr:from>
      <xdr:col>2</xdr:col>
      <xdr:colOff>705380</xdr:colOff>
      <xdr:row>0</xdr:row>
      <xdr:rowOff>56621</xdr:rowOff>
    </xdr:from>
    <xdr:to>
      <xdr:col>4</xdr:col>
      <xdr:colOff>1442396</xdr:colOff>
      <xdr:row>0</xdr:row>
      <xdr:rowOff>917724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B4330D2-5472-51A5-C541-139AFA25A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3010" y="56621"/>
          <a:ext cx="5230522" cy="861103"/>
        </a:xfrm>
        <a:prstGeom prst="rect">
          <a:avLst/>
        </a:prstGeom>
      </xdr:spPr>
    </xdr:pic>
    <xdr:clientData/>
  </xdr:twoCellAnchor>
  <xdr:twoCellAnchor editAs="oneCell">
    <xdr:from>
      <xdr:col>1</xdr:col>
      <xdr:colOff>113478</xdr:colOff>
      <xdr:row>0</xdr:row>
      <xdr:rowOff>220837</xdr:rowOff>
    </xdr:from>
    <xdr:to>
      <xdr:col>1</xdr:col>
      <xdr:colOff>1568290</xdr:colOff>
      <xdr:row>0</xdr:row>
      <xdr:rowOff>787097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0C36AB0-9831-6340-9F85-02124603F4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58803" y="220837"/>
          <a:ext cx="1454812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969571</xdr:colOff>
      <xdr:row>24</xdr:row>
      <xdr:rowOff>27313</xdr:rowOff>
    </xdr:from>
    <xdr:to>
      <xdr:col>12</xdr:col>
      <xdr:colOff>1370715</xdr:colOff>
      <xdr:row>27</xdr:row>
      <xdr:rowOff>146376</xdr:rowOff>
    </xdr:to>
    <xdr:sp macro="[0]!GuardarReserva" textlink="">
      <xdr:nvSpPr>
        <xdr:cNvPr id="2" name="Bisel 1">
          <a:extLst>
            <a:ext uri="{FF2B5EF4-FFF2-40B4-BE49-F238E27FC236}">
              <a16:creationId xmlns:a16="http://schemas.microsoft.com/office/drawing/2014/main" id="{4415EF38-5415-266A-6C24-F87B0CB91F06}"/>
            </a:ext>
          </a:extLst>
        </xdr:cNvPr>
        <xdr:cNvSpPr/>
      </xdr:nvSpPr>
      <xdr:spPr>
        <a:xfrm>
          <a:off x="14215808" y="7592689"/>
          <a:ext cx="3514692" cy="733579"/>
        </a:xfrm>
        <a:prstGeom prst="bevel">
          <a:avLst>
            <a:gd name="adj" fmla="val 994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GUARDAD</a:t>
          </a:r>
          <a:r>
            <a:rPr lang="es-ES_tradnl" sz="2000" b="1" i="1" baseline="0">
              <a:latin typeface="Avenir Heavy Oblique" panose="02000503020000020003" pitchFamily="2" charset="0"/>
            </a:rPr>
            <a:t> RESERVA</a:t>
          </a:r>
          <a:endParaRPr lang="es-ES_tradnl" sz="2000" b="1" i="1">
            <a:latin typeface="Avenir Heavy Oblique" panose="02000503020000020003" pitchFamily="2" charset="0"/>
          </a:endParaRPr>
        </a:p>
      </xdr:txBody>
    </xdr:sp>
    <xdr:clientData/>
  </xdr:twoCellAnchor>
  <xdr:twoCellAnchor>
    <xdr:from>
      <xdr:col>6</xdr:col>
      <xdr:colOff>774700</xdr:colOff>
      <xdr:row>3</xdr:row>
      <xdr:rowOff>88900</xdr:rowOff>
    </xdr:from>
    <xdr:to>
      <xdr:col>10</xdr:col>
      <xdr:colOff>114300</xdr:colOff>
      <xdr:row>5</xdr:row>
      <xdr:rowOff>190500</xdr:rowOff>
    </xdr:to>
    <xdr:sp macro="[0]!IniciarGuiaReserva" textlink="">
      <xdr:nvSpPr>
        <xdr:cNvPr id="4" name="Bisel 3">
          <a:extLst>
            <a:ext uri="{FF2B5EF4-FFF2-40B4-BE49-F238E27FC236}">
              <a16:creationId xmlns:a16="http://schemas.microsoft.com/office/drawing/2014/main" id="{C5388F33-BFB6-93E9-8335-868AB18DCBD0}"/>
            </a:ext>
          </a:extLst>
        </xdr:cNvPr>
        <xdr:cNvSpPr/>
      </xdr:nvSpPr>
      <xdr:spPr>
        <a:xfrm>
          <a:off x="11226800" y="2032000"/>
          <a:ext cx="2857500" cy="68580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GUÍA DE RESERVAS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475265</xdr:colOff>
      <xdr:row>0</xdr:row>
      <xdr:rowOff>976622</xdr:rowOff>
    </xdr:from>
    <xdr:to>
      <xdr:col>6</xdr:col>
      <xdr:colOff>403088</xdr:colOff>
      <xdr:row>0</xdr:row>
      <xdr:rowOff>1430223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DD1A84C-2331-DC46-84B9-2E74C8481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4265" y="976622"/>
          <a:ext cx="2268036" cy="453601"/>
        </a:xfrm>
        <a:prstGeom prst="rect">
          <a:avLst/>
        </a:prstGeom>
      </xdr:spPr>
    </xdr:pic>
    <xdr:clientData/>
  </xdr:twoCellAnchor>
  <xdr:twoCellAnchor editAs="oneCell">
    <xdr:from>
      <xdr:col>1</xdr:col>
      <xdr:colOff>247886</xdr:colOff>
      <xdr:row>0</xdr:row>
      <xdr:rowOff>225072</xdr:rowOff>
    </xdr:from>
    <xdr:to>
      <xdr:col>2</xdr:col>
      <xdr:colOff>26345</xdr:colOff>
      <xdr:row>0</xdr:row>
      <xdr:rowOff>791332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EBD0E1-0C7C-5B4A-B34F-F457112D84C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692386" y="225072"/>
          <a:ext cx="1450701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253002</xdr:colOff>
      <xdr:row>0</xdr:row>
      <xdr:rowOff>139700</xdr:rowOff>
    </xdr:from>
    <xdr:to>
      <xdr:col>6</xdr:col>
      <xdr:colOff>1321584</xdr:colOff>
      <xdr:row>0</xdr:row>
      <xdr:rowOff>915731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8613FB1-1350-C64D-8DB9-6F08F2CF1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37602" y="139700"/>
          <a:ext cx="4778578" cy="776031"/>
        </a:xfrm>
        <a:prstGeom prst="rect">
          <a:avLst/>
        </a:prstGeom>
      </xdr:spPr>
    </xdr:pic>
    <xdr:clientData/>
  </xdr:twoCellAnchor>
  <xdr:twoCellAnchor>
    <xdr:from>
      <xdr:col>5</xdr:col>
      <xdr:colOff>1526854</xdr:colOff>
      <xdr:row>28</xdr:row>
      <xdr:rowOff>432393</xdr:rowOff>
    </xdr:from>
    <xdr:to>
      <xdr:col>8</xdr:col>
      <xdr:colOff>1410</xdr:colOff>
      <xdr:row>28</xdr:row>
      <xdr:rowOff>1383365</xdr:rowOff>
    </xdr:to>
    <xdr:sp macro="[0]!GuardarPagosCobranza" textlink="">
      <xdr:nvSpPr>
        <xdr:cNvPr id="5" name="Bisel 4">
          <a:extLst>
            <a:ext uri="{FF2B5EF4-FFF2-40B4-BE49-F238E27FC236}">
              <a16:creationId xmlns:a16="http://schemas.microsoft.com/office/drawing/2014/main" id="{50F62918-11A6-9048-832D-4B9D46C3967A}"/>
            </a:ext>
          </a:extLst>
        </xdr:cNvPr>
        <xdr:cNvSpPr/>
      </xdr:nvSpPr>
      <xdr:spPr>
        <a:xfrm>
          <a:off x="8880154" y="7899993"/>
          <a:ext cx="6767656" cy="9509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0" baseline="0">
              <a:latin typeface="Avenir Heavy" panose="02000503020000020003" pitchFamily="2" charset="0"/>
            </a:rPr>
            <a:t>GUARDAR OPERACIÓN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61685</xdr:colOff>
      <xdr:row>0</xdr:row>
      <xdr:rowOff>87085</xdr:rowOff>
    </xdr:from>
    <xdr:to>
      <xdr:col>1</xdr:col>
      <xdr:colOff>1499704</xdr:colOff>
      <xdr:row>0</xdr:row>
      <xdr:rowOff>660400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371FF2-99B3-6F48-8EE6-FB17B7300B4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6485" y="87085"/>
          <a:ext cx="1438019" cy="573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172835</xdr:colOff>
      <xdr:row>0</xdr:row>
      <xdr:rowOff>139031</xdr:rowOff>
    </xdr:from>
    <xdr:to>
      <xdr:col>4</xdr:col>
      <xdr:colOff>215614</xdr:colOff>
      <xdr:row>0</xdr:row>
      <xdr:rowOff>674318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C28A7-8B92-7943-8BF5-59D3BEC0D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3949" y="139031"/>
          <a:ext cx="2673494" cy="535287"/>
        </a:xfrm>
        <a:prstGeom prst="rect">
          <a:avLst/>
        </a:prstGeom>
      </xdr:spPr>
    </xdr:pic>
    <xdr:clientData/>
  </xdr:twoCellAnchor>
  <xdr:twoCellAnchor editAs="oneCell">
    <xdr:from>
      <xdr:col>10</xdr:col>
      <xdr:colOff>16062</xdr:colOff>
      <xdr:row>19</xdr:row>
      <xdr:rowOff>9845</xdr:rowOff>
    </xdr:from>
    <xdr:to>
      <xdr:col>11</xdr:col>
      <xdr:colOff>6944</xdr:colOff>
      <xdr:row>20</xdr:row>
      <xdr:rowOff>180111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903A8C7-1733-A24C-AB61-A445E157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430" b="89693" l="752" r="95865">
                      <a14:foregroundMark x1="13695" y1="11404" x2="13695" y2="11404"/>
                      <a14:foregroundMark x1="16971" y1="21711" x2="26101" y2="21711"/>
                      <a14:foregroundMark x1="26101" y1="21711" x2="35338" y2="20175"/>
                      <a14:foregroundMark x1="9613" y1="27412" x2="9076" y2="55482"/>
                      <a14:foregroundMark x1="9076" y1="55482" x2="13050" y2="76974"/>
                      <a14:foregroundMark x1="13050" y1="76974" x2="20193" y2="81140"/>
                      <a14:foregroundMark x1="20193" y1="81140" x2="27820" y2="80702"/>
                      <a14:foregroundMark x1="27820" y1="80702" x2="47422" y2="82237"/>
                      <a14:foregroundMark x1="47422" y1="82237" x2="62137" y2="80702"/>
                      <a14:foregroundMark x1="62137" y1="80702" x2="68636" y2="80702"/>
                      <a14:foregroundMark x1="68636" y1="80702" x2="87701" y2="76754"/>
                      <a14:foregroundMark x1="87701" y1="76754" x2="91998" y2="57895"/>
                      <a14:foregroundMark x1="91998" y1="57895" x2="89581" y2="34211"/>
                      <a14:foregroundMark x1="89581" y1="34211" x2="75188" y2="26974"/>
                      <a14:foregroundMark x1="75188" y1="26974" x2="34586" y2="23684"/>
                      <a14:foregroundMark x1="39903" y1="31579" x2="44307" y2="52412"/>
                      <a14:foregroundMark x1="44307" y1="52412" x2="46992" y2="57456"/>
                      <a14:foregroundMark x1="7197" y1="44518" x2="4565" y2="43421"/>
                      <a14:foregroundMark x1="1128" y1="46491" x2="1128" y2="46491"/>
                      <a14:foregroundMark x1="752" y1="47588" x2="752" y2="47588"/>
                      <a14:foregroundMark x1="46509" y1="41447" x2="19871" y2="57018"/>
                      <a14:foregroundMark x1="19871" y1="57018" x2="13212" y2="54825"/>
                      <a14:foregroundMark x1="13212" y1="54825" x2="19012" y2="43421"/>
                      <a14:foregroundMark x1="19012" y1="43421" x2="64930" y2="47149"/>
                      <a14:foregroundMark x1="64930" y1="47149" x2="74436" y2="46711"/>
                      <a14:foregroundMark x1="74436" y1="46711" x2="88614" y2="47149"/>
                      <a14:foregroundMark x1="88614" y1="47149" x2="90816" y2="46491"/>
                      <a14:foregroundMark x1="88561" y1="20614" x2="88561" y2="20614"/>
                      <a14:foregroundMark x1="94092" y1="32018" x2="94092" y2="32018"/>
                      <a14:foregroundMark x1="95865" y1="48684" x2="92427" y2="27193"/>
                      <a14:foregroundMark x1="92427" y1="27193" x2="91461" y2="23684"/>
                      <a14:foregroundMark x1="86627" y1="55263" x2="86896" y2="58553"/>
                      <a14:foregroundMark x1="70569" y1="57895" x2="70569" y2="57895"/>
                      <a14:foregroundMark x1="74490" y1="54386" x2="74490" y2="54386"/>
                      <a14:foregroundMark x1="59291" y1="58991" x2="59291" y2="58991"/>
                      <a14:foregroundMark x1="62567" y1="56798" x2="62567" y2="56798"/>
                      <a14:foregroundMark x1="65091" y1="57895" x2="65091" y2="57895"/>
                      <a14:foregroundMark x1="42965" y1="62500" x2="42965" y2="62500"/>
                      <a14:foregroundMark x1="43824" y1="56798" x2="43824" y2="56798"/>
                      <a14:foregroundMark x1="25940" y1="62500" x2="25940" y2="62500"/>
                      <a14:foregroundMark x1="12299" y1="48684" x2="12299" y2="48684"/>
                      <a14:foregroundMark x1="13426" y1="38816" x2="13426" y2="3881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655862" y="8887145"/>
          <a:ext cx="1451382" cy="360766"/>
        </a:xfrm>
        <a:prstGeom prst="rect">
          <a:avLst/>
        </a:prstGeom>
      </xdr:spPr>
    </xdr:pic>
    <xdr:clientData/>
  </xdr:twoCellAnchor>
  <xdr:twoCellAnchor editAs="oneCell">
    <xdr:from>
      <xdr:col>1</xdr:col>
      <xdr:colOff>65113</xdr:colOff>
      <xdr:row>0</xdr:row>
      <xdr:rowOff>1101142</xdr:rowOff>
    </xdr:from>
    <xdr:to>
      <xdr:col>2</xdr:col>
      <xdr:colOff>763885</xdr:colOff>
      <xdr:row>1</xdr:row>
      <xdr:rowOff>765581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E9FC06-6FD3-1822-4550-E0A59A80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9913" y="1101142"/>
          <a:ext cx="2415086" cy="771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jicaza@vecta.c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38A-2A06-E44D-AAA8-E85D896D4B45}">
  <sheetPr codeName="Hoja10">
    <tabColor theme="9"/>
  </sheetPr>
  <dimension ref="B2:Q71"/>
  <sheetViews>
    <sheetView topLeftCell="A3" zoomScaleNormal="100" workbookViewId="0">
      <selection activeCell="M15" sqref="M15"/>
    </sheetView>
  </sheetViews>
  <sheetFormatPr baseColWidth="10" defaultColWidth="15" defaultRowHeight="16" x14ac:dyDescent="0.25"/>
  <cols>
    <col min="1" max="16384" width="15" style="176"/>
  </cols>
  <sheetData>
    <row r="2" spans="2:17" ht="31" x14ac:dyDescent="0.45">
      <c r="B2" s="324" t="s">
        <v>371</v>
      </c>
    </row>
    <row r="4" spans="2:17" ht="17" thickBot="1" x14ac:dyDescent="0.3">
      <c r="B4" s="315" t="s">
        <v>359</v>
      </c>
      <c r="E4" s="315" t="s">
        <v>360</v>
      </c>
      <c r="H4" s="315" t="s">
        <v>361</v>
      </c>
    </row>
    <row r="5" spans="2:17" s="307" customFormat="1" ht="68" customHeight="1" x14ac:dyDescent="0.2">
      <c r="B5" s="325" t="s">
        <v>362</v>
      </c>
      <c r="C5" s="325"/>
      <c r="D5" s="316"/>
      <c r="E5" s="325" t="s">
        <v>363</v>
      </c>
      <c r="F5" s="325"/>
      <c r="G5" s="316"/>
      <c r="H5" s="325" t="s">
        <v>364</v>
      </c>
      <c r="I5" s="325"/>
      <c r="J5" s="316"/>
      <c r="K5" s="325" t="s">
        <v>358</v>
      </c>
      <c r="L5" s="325"/>
      <c r="P5" s="308" t="s">
        <v>324</v>
      </c>
      <c r="Q5" s="309">
        <v>961.54</v>
      </c>
    </row>
    <row r="6" spans="2:17" ht="29" thickBot="1" x14ac:dyDescent="0.45">
      <c r="B6" s="317" t="e">
        <f>SUM(BBDD!#REF!)</f>
        <v>#REF!</v>
      </c>
      <c r="C6" s="317"/>
      <c r="D6" s="318"/>
      <c r="E6" s="317" t="e">
        <f>SUMIFS(BBDD!W1:W249,BBDD!#REF!,"SÍ")
 + SUMIFS(BBDD!X1:X249,BBDD!#REF!,"SÍ")</f>
        <v>#REF!</v>
      </c>
      <c r="F6" s="317"/>
      <c r="G6" s="318"/>
      <c r="H6" s="317" t="e">
        <f>SUMIFS(BBDD!W1:W249,BBDD!#REF!,"NO")
 + SUMIFS(BBDD!X1:X249,BBDD!#REF!,"NO")</f>
        <v>#REF!</v>
      </c>
      <c r="I6" s="317"/>
      <c r="J6" s="318"/>
      <c r="K6" s="319">
        <f>IFERROR(
  (SUMIFS(BBDD!W1:W249,BBDD!#REF!,"SÍ")
  +SUMIFS(BBDD!X1:X249,BBDD!#REF!,"SÍ"))
 /SUM(BBDD!#REF!),0)</f>
        <v>0</v>
      </c>
      <c r="L6" s="319"/>
      <c r="P6" s="310" t="s">
        <v>325</v>
      </c>
      <c r="Q6" s="311">
        <v>45940</v>
      </c>
    </row>
    <row r="7" spans="2:17" ht="28" x14ac:dyDescent="0.4">
      <c r="B7" s="317"/>
      <c r="C7" s="317"/>
      <c r="D7" s="318"/>
      <c r="E7" s="317"/>
      <c r="F7" s="317"/>
      <c r="G7" s="318"/>
      <c r="H7" s="317"/>
      <c r="I7" s="317"/>
      <c r="J7" s="318"/>
      <c r="K7" s="319"/>
      <c r="L7" s="319"/>
    </row>
    <row r="8" spans="2:17" ht="28" x14ac:dyDescent="0.4"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</row>
    <row r="9" spans="2:17" ht="28" x14ac:dyDescent="0.4">
      <c r="B9" s="318" t="s">
        <v>222</v>
      </c>
      <c r="C9" s="318"/>
      <c r="D9" s="318"/>
      <c r="E9" s="318"/>
      <c r="F9" s="318"/>
      <c r="G9" s="318"/>
      <c r="H9" s="318"/>
      <c r="I9" s="318"/>
      <c r="J9" s="318"/>
      <c r="K9" s="318"/>
      <c r="L9" s="318"/>
    </row>
    <row r="10" spans="2:17" ht="8" customHeight="1" x14ac:dyDescent="0.4">
      <c r="B10" s="318"/>
      <c r="C10" s="318"/>
      <c r="D10" s="318"/>
      <c r="E10" s="318"/>
      <c r="F10" s="318"/>
      <c r="G10" s="318"/>
      <c r="H10" s="318"/>
      <c r="I10" s="318"/>
      <c r="J10" s="318"/>
      <c r="K10" s="318"/>
      <c r="L10" s="318"/>
    </row>
    <row r="11" spans="2:17" s="307" customFormat="1" ht="68" customHeight="1" x14ac:dyDescent="0.2">
      <c r="B11" s="326" t="s">
        <v>362</v>
      </c>
      <c r="C11" s="326"/>
      <c r="D11" s="316"/>
      <c r="E11" s="326" t="s">
        <v>365</v>
      </c>
      <c r="F11" s="326"/>
      <c r="G11" s="316"/>
      <c r="H11" s="326" t="s">
        <v>364</v>
      </c>
      <c r="I11" s="326"/>
      <c r="J11" s="316"/>
      <c r="K11" s="326" t="s">
        <v>358</v>
      </c>
      <c r="L11" s="326"/>
    </row>
    <row r="12" spans="2:17" ht="28" x14ac:dyDescent="0.4">
      <c r="B12" s="320" t="e">
        <f>SUMIFS(BBDD!#REF!, BBDD!Q1:Q249, "CLP")</f>
        <v>#REF!</v>
      </c>
      <c r="C12" s="320"/>
      <c r="D12" s="318"/>
      <c r="E12" s="320" t="e">
        <f>SUMIFS(BBDD!W1:W249, BBDD!Q1:Q249, "CLP", BBDD!#REF!, "SÍ")
 +SUMIFS(BBDD!X1:X249, BBDD!Q1:Q249, "CLP", BBDD!#REF!, "SÍ")</f>
        <v>#REF!</v>
      </c>
      <c r="F12" s="320"/>
      <c r="G12" s="318"/>
      <c r="H12" s="321" t="e">
        <f>SUMIFS(BBDD!W1:W249,BBDD!Q1:Q249,"CLP",BBDD!#REF!,"NO")
 +SUMIFS(BBDD!X1:X249,BBDD!Q1:Q249,"CLP",BBDD!#REF!,"NO")</f>
        <v>#REF!</v>
      </c>
      <c r="I12" s="321"/>
      <c r="J12" s="318"/>
      <c r="K12" s="320">
        <f>IFERROR(
 (SUMIFS(BBDD!W1:W249,BBDD!Q1:Q249,"CLP",BBDD!#REF!,"SÍ")
 +SUMIFS(BBDD!X1:X249,BBDD!Q1:Q249,"CLP",BBDD!#REF!,"SÍ"))
 /SUMIFS(BBDD!#REF!,BBDD!Q1:Q249,"CLP"),0)</f>
        <v>0</v>
      </c>
      <c r="L12" s="320"/>
    </row>
    <row r="13" spans="2:17" ht="28" x14ac:dyDescent="0.4">
      <c r="B13" s="320"/>
      <c r="C13" s="320"/>
      <c r="D13" s="318"/>
      <c r="E13" s="320"/>
      <c r="F13" s="320"/>
      <c r="G13" s="318"/>
      <c r="H13" s="321"/>
      <c r="I13" s="321"/>
      <c r="J13" s="318"/>
      <c r="K13" s="320"/>
      <c r="L13" s="320"/>
    </row>
    <row r="14" spans="2:17" ht="28" x14ac:dyDescent="0.4">
      <c r="B14" s="318"/>
      <c r="C14" s="318"/>
      <c r="D14" s="318"/>
      <c r="E14" s="318"/>
      <c r="F14" s="318"/>
      <c r="G14" s="318"/>
      <c r="H14" s="318"/>
      <c r="I14" s="318"/>
      <c r="J14" s="318"/>
      <c r="K14" s="318"/>
      <c r="L14" s="318"/>
    </row>
    <row r="15" spans="2:17" ht="28" x14ac:dyDescent="0.4">
      <c r="B15" s="318" t="s">
        <v>223</v>
      </c>
      <c r="C15" s="318"/>
      <c r="D15" s="318"/>
      <c r="E15" s="318"/>
      <c r="F15" s="318"/>
      <c r="G15" s="318"/>
      <c r="H15" s="318"/>
      <c r="I15" s="318"/>
      <c r="J15" s="318"/>
      <c r="K15" s="318"/>
      <c r="L15" s="318"/>
    </row>
    <row r="16" spans="2:17" ht="8" customHeight="1" x14ac:dyDescent="0.4">
      <c r="B16" s="318"/>
      <c r="C16" s="318"/>
      <c r="D16" s="318"/>
      <c r="E16" s="318"/>
      <c r="F16" s="318"/>
      <c r="G16" s="318"/>
      <c r="H16" s="318"/>
      <c r="I16" s="318"/>
      <c r="J16" s="318"/>
      <c r="K16" s="318"/>
      <c r="L16" s="318"/>
    </row>
    <row r="17" spans="2:12" s="307" customFormat="1" ht="68" customHeight="1" x14ac:dyDescent="0.2">
      <c r="B17" s="327" t="s">
        <v>362</v>
      </c>
      <c r="C17" s="327"/>
      <c r="D17" s="316"/>
      <c r="E17" s="327" t="s">
        <v>365</v>
      </c>
      <c r="F17" s="327"/>
      <c r="G17" s="316"/>
      <c r="H17" s="327" t="s">
        <v>364</v>
      </c>
      <c r="I17" s="327"/>
      <c r="J17" s="316"/>
      <c r="K17" s="327" t="s">
        <v>358</v>
      </c>
      <c r="L17" s="327"/>
    </row>
    <row r="18" spans="2:12" ht="28" x14ac:dyDescent="0.4">
      <c r="B18" s="322" t="e">
        <f>SUMIFS(BBDD!#REF!, BBDD!Q1:Q249, "USD")</f>
        <v>#REF!</v>
      </c>
      <c r="C18" s="322"/>
      <c r="D18" s="318"/>
      <c r="E18" s="322" t="e">
        <f>SUMIFS(BBDD!W1:W249, BBDD!Q1:Q249, "USD", BBDD!#REF!, "SÍ")
 +SUMIFS(BBDD!X1:X249, BBDD!Q1:Q249, "USD", BBDD!#REF!, "SÍ")</f>
        <v>#REF!</v>
      </c>
      <c r="F18" s="322"/>
      <c r="G18" s="318"/>
      <c r="H18" s="323" t="e">
        <f>SUMIFS(BBDD!W1:W249,BBDD!Q1:Q249,"USD",BBDD!#REF!,"NO")
 +SUMIFS(BBDD!X1:X249,BBDD!Q1:Q249,"USD",BBDD!#REF!,"NO")</f>
        <v>#REF!</v>
      </c>
      <c r="I18" s="323"/>
      <c r="J18" s="318"/>
      <c r="K18" s="322">
        <f>IFERROR(
 (SUMIFS(BBDD!W1:W249,BBDD!Q1:Q249,"USD",BBDD!#REF!,"SÍ")
 +SUMIFS(BBDD!X1:X249,BBDD!Q1:Q249,"USD",BBDD!#REF!,"SÍ"))
 /SUMIFS(BBDD!#REF!,BBDD!Q1:Q249,"USD"),0)</f>
        <v>0</v>
      </c>
      <c r="L18" s="322"/>
    </row>
    <row r="19" spans="2:12" ht="28" x14ac:dyDescent="0.4">
      <c r="B19" s="322"/>
      <c r="C19" s="322"/>
      <c r="D19" s="318"/>
      <c r="E19" s="322"/>
      <c r="F19" s="322"/>
      <c r="G19" s="318"/>
      <c r="H19" s="323"/>
      <c r="I19" s="323"/>
      <c r="J19" s="318"/>
      <c r="K19" s="322"/>
      <c r="L19" s="322"/>
    </row>
    <row r="23" spans="2:12" ht="26" x14ac:dyDescent="0.4">
      <c r="B23" s="312" t="s">
        <v>326</v>
      </c>
    </row>
    <row r="24" spans="2:12" x14ac:dyDescent="0.25">
      <c r="B24" s="176" t="s">
        <v>327</v>
      </c>
    </row>
    <row r="25" spans="2:12" x14ac:dyDescent="0.25">
      <c r="B25" s="176" t="s">
        <v>366</v>
      </c>
      <c r="C25" s="176" t="s">
        <v>346</v>
      </c>
      <c r="E25" s="176" t="s">
        <v>347</v>
      </c>
      <c r="F25" s="176" t="s">
        <v>346</v>
      </c>
    </row>
    <row r="26" spans="2:12" ht="20" x14ac:dyDescent="0.3">
      <c r="B26" s="176" t="e" cm="1">
        <f t="array" ref="B26">_xlfn._xlws.SORT(_xlfn.UNIQUE(_xlfn._xlws.FILTER(BBDD!#REF!,(BBDD!#REF!&lt;&gt;"")*(BBDD!#REF!="NO"))))</f>
        <v>#REF!</v>
      </c>
      <c r="C26" s="176" t="e">
        <f>IF(B26="","",SUMIFS(AQ$5:AQ$2029,AS$5:AS$2029,A13,AU$5:AU$2029,"NO"))</f>
        <v>#REF!</v>
      </c>
      <c r="E26" s="176" t="e" cm="1">
        <f t="array" ref="E26">_xlfn._xlws.SORT(_xlfn.UNIQUE(_xlfn._xlws.FILTER(BBDD!#REF!,(BBDD!#REF!&lt;&gt;"")*(BBDD!#REF!="NO"))))</f>
        <v>#REF!</v>
      </c>
      <c r="F26" s="176" t="e">
        <f>IF(E26="","",SUMIFS(BBDD!#REF!,BBDD!#REF!,D13,BBDD!#REF!,"NO"))</f>
        <v>#REF!</v>
      </c>
      <c r="H26" s="313" t="s">
        <v>367</v>
      </c>
    </row>
    <row r="27" spans="2:12" x14ac:dyDescent="0.25">
      <c r="B27" s="176" t="s">
        <v>356</v>
      </c>
      <c r="E27" s="176" t="s">
        <v>357</v>
      </c>
    </row>
    <row r="32" spans="2:12" x14ac:dyDescent="0.25">
      <c r="B32" s="176" t="s">
        <v>328</v>
      </c>
    </row>
    <row r="33" spans="2:7" ht="20" x14ac:dyDescent="0.3">
      <c r="B33" s="313" t="s">
        <v>368</v>
      </c>
    </row>
    <row r="38" spans="2:7" x14ac:dyDescent="0.25">
      <c r="B38" s="176" t="s">
        <v>348</v>
      </c>
    </row>
    <row r="39" spans="2:7" x14ac:dyDescent="0.25">
      <c r="B39" s="176" t="s">
        <v>349</v>
      </c>
    </row>
    <row r="40" spans="2:7" ht="20" x14ac:dyDescent="0.3">
      <c r="B40" s="176" t="s">
        <v>112</v>
      </c>
      <c r="C40" s="176" t="s">
        <v>139</v>
      </c>
      <c r="D40" s="176" t="s">
        <v>352</v>
      </c>
      <c r="E40" s="176" t="s">
        <v>353</v>
      </c>
      <c r="G40" s="314" t="s">
        <v>369</v>
      </c>
    </row>
    <row r="41" spans="2:7" ht="20" x14ac:dyDescent="0.3">
      <c r="B41" s="176" t="e" cm="1">
        <f t="array" ref="B41">_xlfn._xlws.FILTER(BBDD!B1:B249,(BBDD!#REF!="NO")*(BBDD!#REF!&lt;&gt;"Reciente"))</f>
        <v>#REF!</v>
      </c>
      <c r="C41" s="176" t="e" cm="1">
        <f t="array" ref="C41">_xlfn._xlws.FILTER(BBDD!C1:C249,(BBDD!#REF!="NO")*(BBDD!#REF!&lt;&gt;"Reciente"))</f>
        <v>#REF!</v>
      </c>
      <c r="D41" s="176" t="e" cm="1">
        <f t="array" ref="D41">_xlfn._xlws.FILTER(BBDD!#REF!,(BBDD!#REF!="NO")*(BBDD!#REF!&lt;&gt;"Reciente"))</f>
        <v>#REF!</v>
      </c>
      <c r="E41" s="176" t="e" cm="1">
        <f t="array" ref="E41">_xlfn._xlws.FILTER(BBDD!#REF!,(BBDD!#REF!="NO")*(BBDD!#REF!&lt;&gt;"Reciente"))</f>
        <v>#REF!</v>
      </c>
      <c r="G41" s="313" t="s">
        <v>350</v>
      </c>
    </row>
    <row r="47" spans="2:7" x14ac:dyDescent="0.25">
      <c r="B47" s="176" t="s">
        <v>351</v>
      </c>
    </row>
    <row r="48" spans="2:7" ht="20" x14ac:dyDescent="0.3">
      <c r="B48" s="176" t="s">
        <v>112</v>
      </c>
      <c r="C48" s="176" t="s">
        <v>139</v>
      </c>
      <c r="D48" s="176" t="s">
        <v>354</v>
      </c>
      <c r="E48" s="176" t="s">
        <v>353</v>
      </c>
      <c r="G48" s="314" t="s">
        <v>370</v>
      </c>
    </row>
    <row r="49" spans="2:7" ht="20" x14ac:dyDescent="0.3">
      <c r="B49" s="176" t="e" cm="1">
        <f t="array" ref="B49">_xlfn._xlws.FILTER(BBDD!B1:B249,(BBDD!#REF!="NO")*(BBDD!#REF!&lt;&gt;"Lejos"))</f>
        <v>#REF!</v>
      </c>
      <c r="C49" s="176" t="e" cm="1">
        <f t="array" ref="C49">_xlfn._xlws.FILTER(BBDD!C1:C249,(BBDD!#REF!="NO")*(BBDD!#REF!&lt;&gt;"Lejos"))</f>
        <v>#REF!</v>
      </c>
      <c r="D49" s="176" t="e" cm="1">
        <f t="array" ref="D49">_xlfn._xlws.FILTER(BBDD!#REF!,(BBDD!#REF!="NO")*(BBDD!#REF!&lt;&gt;"Lejos"))</f>
        <v>#REF!</v>
      </c>
      <c r="E49" s="176" t="e" cm="1">
        <f t="array" ref="E49">_xlfn._xlws.FILTER(BBDD!#REF!,(BBDD!#REF!="NO")*(BBDD!#REF!&lt;&gt;"Lejos"))</f>
        <v>#REF!</v>
      </c>
      <c r="G49" s="313" t="s">
        <v>355</v>
      </c>
    </row>
    <row r="65" spans="2:3" ht="26" x14ac:dyDescent="0.4">
      <c r="B65" s="312" t="s">
        <v>329</v>
      </c>
    </row>
    <row r="66" spans="2:3" x14ac:dyDescent="0.25">
      <c r="B66" s="176" t="s">
        <v>331</v>
      </c>
    </row>
    <row r="67" spans="2:3" ht="272" x14ac:dyDescent="0.25">
      <c r="B67" s="306" t="s">
        <v>332</v>
      </c>
    </row>
    <row r="70" spans="2:3" x14ac:dyDescent="0.25">
      <c r="B70" s="176" t="s">
        <v>333</v>
      </c>
    </row>
    <row r="71" spans="2:3" ht="204" x14ac:dyDescent="0.25">
      <c r="B71" s="306" t="s">
        <v>334</v>
      </c>
      <c r="C71" s="176" t="s">
        <v>335</v>
      </c>
    </row>
  </sheetData>
  <mergeCells count="24">
    <mergeCell ref="B18:C19"/>
    <mergeCell ref="E18:F19"/>
    <mergeCell ref="K18:L19"/>
    <mergeCell ref="H18:I19"/>
    <mergeCell ref="B12:C13"/>
    <mergeCell ref="E12:F13"/>
    <mergeCell ref="K12:L13"/>
    <mergeCell ref="H12:I13"/>
    <mergeCell ref="B17:C17"/>
    <mergeCell ref="E17:F17"/>
    <mergeCell ref="K17:L17"/>
    <mergeCell ref="H17:I17"/>
    <mergeCell ref="K5:L5"/>
    <mergeCell ref="K6:L7"/>
    <mergeCell ref="B11:C11"/>
    <mergeCell ref="E11:F11"/>
    <mergeCell ref="K11:L11"/>
    <mergeCell ref="H11:I11"/>
    <mergeCell ref="B6:C7"/>
    <mergeCell ref="B5:C5"/>
    <mergeCell ref="E6:F7"/>
    <mergeCell ref="E5:F5"/>
    <mergeCell ref="H5:I5"/>
    <mergeCell ref="H6:I7"/>
  </mergeCells>
  <conditionalFormatting sqref="D42:D44 E41">
    <cfRule type="colorScale" priority="1">
      <colorScale>
        <cfvo type="formula" val="&quot;&lt;45&quot;"/>
        <cfvo type="num" val="&quot;&gt;60&quot;"/>
        <cfvo type="formula" val="&quot;&gt;90&quot;"/>
        <color rgb="FFFFFF0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61A98-70BF-8F40-88CE-9EA2511650D7}">
  <sheetPr codeName="ReservasGBL">
    <tabColor theme="4" tint="0.79998168889431442"/>
  </sheetPr>
  <dimension ref="A1:AA30"/>
  <sheetViews>
    <sheetView zoomScale="93" zoomScaleNormal="93" workbookViewId="0">
      <selection activeCell="C5" sqref="C5"/>
    </sheetView>
  </sheetViews>
  <sheetFormatPr baseColWidth="10" defaultRowHeight="16" x14ac:dyDescent="0.25"/>
  <cols>
    <col min="1" max="1" width="5.83203125" style="185" customWidth="1"/>
    <col min="2" max="2" width="27.33203125" style="176" bestFit="1" customWidth="1"/>
    <col min="3" max="3" width="29.1640625" style="176" bestFit="1" customWidth="1"/>
    <col min="4" max="4" width="29.6640625" style="176" customWidth="1"/>
    <col min="5" max="5" width="26.33203125" style="176" customWidth="1"/>
    <col min="6" max="6" width="19.83203125" style="176" customWidth="1"/>
    <col min="7" max="7" width="12.83203125" style="176" bestFit="1" customWidth="1"/>
    <col min="8" max="8" width="9.33203125" style="176" customWidth="1"/>
    <col min="9" max="11" width="13" style="176" customWidth="1"/>
    <col min="12" max="12" width="14.6640625" style="176" customWidth="1"/>
    <col min="13" max="13" width="18.33203125" style="176" bestFit="1" customWidth="1"/>
    <col min="14" max="14" width="5.83203125" style="176" customWidth="1"/>
    <col min="15" max="15" width="1.1640625" style="176" customWidth="1"/>
    <col min="16" max="16" width="26.83203125" style="176" bestFit="1" customWidth="1"/>
    <col min="17" max="17" width="21.6640625" style="176" bestFit="1" customWidth="1"/>
    <col min="18" max="18" width="5.83203125" style="176" bestFit="1" customWidth="1"/>
    <col min="19" max="19" width="15.1640625" style="176" bestFit="1" customWidth="1"/>
    <col min="20" max="20" width="9.5" style="176" bestFit="1" customWidth="1"/>
    <col min="21" max="21" width="48.83203125" style="176" bestFit="1" customWidth="1"/>
    <col min="22" max="22" width="10.5" style="176" bestFit="1" customWidth="1"/>
    <col min="23" max="23" width="12.1640625" style="176" bestFit="1" customWidth="1"/>
    <col min="24" max="24" width="12.6640625" style="176" bestFit="1" customWidth="1"/>
    <col min="25" max="25" width="5.6640625" style="176" bestFit="1" customWidth="1"/>
    <col min="26" max="26" width="17.6640625" style="176" bestFit="1" customWidth="1"/>
    <col min="27" max="16384" width="10.83203125" style="176"/>
  </cols>
  <sheetData>
    <row r="1" spans="1:27" s="185" customFormat="1" ht="114" customHeight="1" x14ac:dyDescent="0.25">
      <c r="A1" s="202"/>
      <c r="B1" s="203"/>
      <c r="C1" s="203"/>
      <c r="D1" s="203"/>
      <c r="E1" s="281"/>
      <c r="F1" s="281"/>
      <c r="G1" s="204"/>
      <c r="H1" s="204"/>
      <c r="I1" s="204"/>
      <c r="J1" s="204"/>
      <c r="K1" s="204"/>
      <c r="L1" s="205"/>
      <c r="M1" s="205"/>
      <c r="N1" s="206"/>
      <c r="O1" s="219"/>
    </row>
    <row r="2" spans="1:27" s="185" customFormat="1" ht="9" customHeight="1" thickBot="1" x14ac:dyDescent="0.3">
      <c r="A2" s="216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8"/>
      <c r="O2" s="219"/>
    </row>
    <row r="3" spans="1:27" ht="30" customHeight="1" thickBot="1" x14ac:dyDescent="0.3">
      <c r="A3" s="207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208"/>
      <c r="O3" s="219"/>
    </row>
    <row r="4" spans="1:27" ht="29" thickBot="1" x14ac:dyDescent="0.45">
      <c r="A4" s="207"/>
      <c r="B4" s="221" t="s">
        <v>205</v>
      </c>
      <c r="C4" s="186"/>
      <c r="D4" s="179"/>
      <c r="E4" s="179"/>
      <c r="F4" s="179"/>
      <c r="G4" s="179"/>
      <c r="H4" s="179"/>
      <c r="I4" s="179"/>
      <c r="J4" s="179"/>
      <c r="K4" s="179"/>
      <c r="L4" s="179"/>
      <c r="M4" s="188"/>
      <c r="N4" s="208"/>
      <c r="O4" s="220"/>
    </row>
    <row r="5" spans="1:27" s="177" customFormat="1" ht="17" x14ac:dyDescent="0.25">
      <c r="A5" s="209"/>
      <c r="B5" s="200" t="s">
        <v>198</v>
      </c>
      <c r="C5" s="253"/>
      <c r="D5" s="181"/>
      <c r="E5" s="182"/>
      <c r="F5" s="182"/>
      <c r="G5" s="182"/>
      <c r="H5" s="182"/>
      <c r="I5" s="182"/>
      <c r="J5" s="182"/>
      <c r="K5" s="182"/>
      <c r="L5" s="182"/>
      <c r="M5" s="180"/>
      <c r="N5" s="210"/>
      <c r="O5" s="220"/>
    </row>
    <row r="6" spans="1:27" s="177" customFormat="1" ht="17" x14ac:dyDescent="0.25">
      <c r="A6" s="209"/>
      <c r="B6" s="198" t="s">
        <v>199</v>
      </c>
      <c r="C6" s="254"/>
      <c r="D6" s="181"/>
      <c r="E6" s="182"/>
      <c r="F6" s="182"/>
      <c r="G6" s="182"/>
      <c r="H6" s="182"/>
      <c r="I6" s="182"/>
      <c r="J6" s="182"/>
      <c r="K6" s="182"/>
      <c r="L6" s="182"/>
      <c r="M6" s="180"/>
      <c r="N6" s="210"/>
      <c r="O6" s="220"/>
    </row>
    <row r="7" spans="1:27" s="177" customFormat="1" ht="17" x14ac:dyDescent="0.25">
      <c r="A7" s="209"/>
      <c r="B7" s="198" t="s">
        <v>200</v>
      </c>
      <c r="C7" s="255"/>
      <c r="D7" s="182"/>
      <c r="E7" s="182"/>
      <c r="F7" s="182"/>
      <c r="G7" s="182"/>
      <c r="H7" s="182"/>
      <c r="I7" s="182"/>
      <c r="J7" s="182"/>
      <c r="K7" s="182"/>
      <c r="L7" s="182"/>
      <c r="M7" s="180"/>
      <c r="N7" s="210"/>
      <c r="O7" s="220"/>
    </row>
    <row r="8" spans="1:27" s="177" customFormat="1" ht="18" thickBot="1" x14ac:dyDescent="0.3">
      <c r="A8" s="209"/>
      <c r="B8" s="201" t="s">
        <v>201</v>
      </c>
      <c r="C8" s="199" t="str">
        <f>IF(C7="","",C6+C7)</f>
        <v/>
      </c>
      <c r="D8" s="181" t="str">
        <f>IF(D7="","",(D6+D7))</f>
        <v/>
      </c>
      <c r="E8" s="182"/>
      <c r="F8" s="182"/>
      <c r="G8" s="182"/>
      <c r="H8" s="182"/>
      <c r="I8" s="182"/>
      <c r="J8" s="182"/>
      <c r="K8" s="182"/>
      <c r="L8" s="182"/>
      <c r="M8" s="180"/>
      <c r="N8" s="210"/>
      <c r="O8" s="220"/>
    </row>
    <row r="9" spans="1:27" ht="17" thickBot="1" x14ac:dyDescent="0.3">
      <c r="A9" s="207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208"/>
      <c r="O9" s="219"/>
    </row>
    <row r="10" spans="1:27" s="178" customFormat="1" ht="45" customHeight="1" thickBot="1" x14ac:dyDescent="0.3">
      <c r="A10" s="211"/>
      <c r="B10" s="222" t="s">
        <v>204</v>
      </c>
      <c r="C10" s="187"/>
      <c r="D10" s="183"/>
      <c r="E10" s="183"/>
      <c r="F10" s="183"/>
      <c r="G10" s="183"/>
      <c r="H10" s="184"/>
      <c r="I10" s="184"/>
      <c r="J10" s="183"/>
      <c r="K10" s="183"/>
      <c r="L10" s="183"/>
      <c r="M10" s="184"/>
      <c r="N10" s="212"/>
      <c r="O10" s="220"/>
    </row>
    <row r="11" spans="1:27" s="178" customFormat="1" ht="50" customHeight="1" thickBot="1" x14ac:dyDescent="0.3">
      <c r="A11" s="211"/>
      <c r="B11" s="251" t="s">
        <v>202</v>
      </c>
      <c r="C11" s="256"/>
      <c r="D11" s="183"/>
      <c r="E11" s="183"/>
      <c r="F11" s="183"/>
      <c r="G11" s="183"/>
      <c r="H11" s="183"/>
      <c r="I11" s="183"/>
      <c r="J11" s="183"/>
      <c r="K11" s="183"/>
      <c r="L11" s="183"/>
      <c r="M11" s="184"/>
      <c r="N11" s="212"/>
      <c r="O11" s="220"/>
    </row>
    <row r="12" spans="1:27" ht="24" thickBot="1" x14ac:dyDescent="0.4">
      <c r="A12" s="207"/>
      <c r="B12" s="275" t="s">
        <v>203</v>
      </c>
      <c r="C12" s="276"/>
      <c r="D12" s="276"/>
      <c r="E12" s="276"/>
      <c r="F12" s="276"/>
      <c r="G12" s="277"/>
      <c r="H12" s="278" t="s">
        <v>206</v>
      </c>
      <c r="I12" s="279"/>
      <c r="J12" s="279"/>
      <c r="K12" s="279"/>
      <c r="L12" s="279"/>
      <c r="M12" s="280"/>
      <c r="N12" s="208"/>
      <c r="O12" s="220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</row>
    <row r="13" spans="1:27" s="177" customFormat="1" ht="18" thickBot="1" x14ac:dyDescent="0.3">
      <c r="A13" s="209"/>
      <c r="B13" s="223" t="s">
        <v>207</v>
      </c>
      <c r="C13" s="224" t="s">
        <v>208</v>
      </c>
      <c r="D13" s="224" t="s">
        <v>209</v>
      </c>
      <c r="E13" s="224" t="s">
        <v>210</v>
      </c>
      <c r="F13" s="224" t="s">
        <v>211</v>
      </c>
      <c r="G13" s="225" t="s">
        <v>212</v>
      </c>
      <c r="H13" s="226" t="s">
        <v>213</v>
      </c>
      <c r="I13" s="227" t="s">
        <v>199</v>
      </c>
      <c r="J13" s="227" t="s">
        <v>200</v>
      </c>
      <c r="K13" s="227" t="s">
        <v>201</v>
      </c>
      <c r="L13" s="227" t="s">
        <v>214</v>
      </c>
      <c r="M13" s="228" t="s">
        <v>20</v>
      </c>
      <c r="N13" s="210"/>
      <c r="O13" s="220"/>
    </row>
    <row r="14" spans="1:27" s="177" customFormat="1" ht="17" x14ac:dyDescent="0.25">
      <c r="A14" s="209"/>
      <c r="B14" s="195" t="s">
        <v>187</v>
      </c>
      <c r="C14" s="257"/>
      <c r="D14" s="257"/>
      <c r="E14" s="258"/>
      <c r="F14" s="257"/>
      <c r="G14" s="259"/>
      <c r="H14" s="260"/>
      <c r="I14" s="196"/>
      <c r="J14" s="197"/>
      <c r="K14" s="196"/>
      <c r="L14" s="269"/>
      <c r="M14" s="272"/>
      <c r="N14" s="210"/>
      <c r="O14" s="220"/>
    </row>
    <row r="15" spans="1:27" s="177" customFormat="1" ht="17" x14ac:dyDescent="0.25">
      <c r="A15" s="209"/>
      <c r="B15" s="193"/>
      <c r="C15" s="261"/>
      <c r="D15" s="257"/>
      <c r="E15" s="262"/>
      <c r="F15" s="261"/>
      <c r="G15" s="263"/>
      <c r="H15" s="264"/>
      <c r="I15" s="190"/>
      <c r="J15" s="189"/>
      <c r="K15" s="190"/>
      <c r="L15" s="270"/>
      <c r="M15" s="273"/>
      <c r="N15" s="210"/>
      <c r="O15" s="220"/>
    </row>
    <row r="16" spans="1:27" s="177" customFormat="1" ht="17" x14ac:dyDescent="0.25">
      <c r="A16" s="209"/>
      <c r="B16" s="193"/>
      <c r="C16" s="261"/>
      <c r="D16" s="257"/>
      <c r="E16" s="262"/>
      <c r="F16" s="261"/>
      <c r="G16" s="263"/>
      <c r="H16" s="264"/>
      <c r="I16" s="190"/>
      <c r="J16" s="189"/>
      <c r="K16" s="190"/>
      <c r="L16" s="270"/>
      <c r="M16" s="273"/>
      <c r="N16" s="210"/>
      <c r="O16" s="220"/>
    </row>
    <row r="17" spans="1:15" s="177" customFormat="1" ht="17" x14ac:dyDescent="0.25">
      <c r="A17" s="209"/>
      <c r="B17" s="193"/>
      <c r="C17" s="261"/>
      <c r="D17" s="257"/>
      <c r="E17" s="262"/>
      <c r="F17" s="261"/>
      <c r="G17" s="263"/>
      <c r="H17" s="264"/>
      <c r="I17" s="190"/>
      <c r="J17" s="189"/>
      <c r="K17" s="190"/>
      <c r="L17" s="270"/>
      <c r="M17" s="273"/>
      <c r="N17" s="210"/>
      <c r="O17" s="220"/>
    </row>
    <row r="18" spans="1:15" s="177" customFormat="1" ht="17" x14ac:dyDescent="0.25">
      <c r="A18" s="209"/>
      <c r="B18" s="193"/>
      <c r="C18" s="261"/>
      <c r="D18" s="261"/>
      <c r="E18" s="262"/>
      <c r="F18" s="261"/>
      <c r="G18" s="263"/>
      <c r="H18" s="264"/>
      <c r="I18" s="190"/>
      <c r="J18" s="189"/>
      <c r="K18" s="190"/>
      <c r="L18" s="270"/>
      <c r="M18" s="273"/>
      <c r="N18" s="210"/>
      <c r="O18" s="220"/>
    </row>
    <row r="19" spans="1:15" s="177" customFormat="1" ht="17" x14ac:dyDescent="0.25">
      <c r="A19" s="209"/>
      <c r="B19" s="193"/>
      <c r="C19" s="261"/>
      <c r="D19" s="261"/>
      <c r="E19" s="262"/>
      <c r="F19" s="261"/>
      <c r="G19" s="263"/>
      <c r="H19" s="264"/>
      <c r="I19" s="190"/>
      <c r="J19" s="189"/>
      <c r="K19" s="190"/>
      <c r="L19" s="270"/>
      <c r="M19" s="273"/>
      <c r="N19" s="210"/>
      <c r="O19" s="220"/>
    </row>
    <row r="20" spans="1:15" s="177" customFormat="1" ht="17" x14ac:dyDescent="0.25">
      <c r="A20" s="209"/>
      <c r="B20" s="193"/>
      <c r="C20" s="261"/>
      <c r="D20" s="261"/>
      <c r="E20" s="262"/>
      <c r="F20" s="261"/>
      <c r="G20" s="263"/>
      <c r="H20" s="264"/>
      <c r="I20" s="190"/>
      <c r="J20" s="189"/>
      <c r="K20" s="190"/>
      <c r="L20" s="270"/>
      <c r="M20" s="273"/>
      <c r="N20" s="210"/>
      <c r="O20" s="220"/>
    </row>
    <row r="21" spans="1:15" s="177" customFormat="1" ht="17" x14ac:dyDescent="0.25">
      <c r="A21" s="209"/>
      <c r="B21" s="193"/>
      <c r="C21" s="261"/>
      <c r="D21" s="261"/>
      <c r="E21" s="265"/>
      <c r="F21" s="261"/>
      <c r="G21" s="263"/>
      <c r="H21" s="264"/>
      <c r="I21" s="190"/>
      <c r="J21" s="189"/>
      <c r="K21" s="190"/>
      <c r="L21" s="270"/>
      <c r="M21" s="273"/>
      <c r="N21" s="210"/>
      <c r="O21" s="220"/>
    </row>
    <row r="22" spans="1:15" s="177" customFormat="1" ht="17" x14ac:dyDescent="0.25">
      <c r="A22" s="209"/>
      <c r="B22" s="193"/>
      <c r="C22" s="261"/>
      <c r="D22" s="261"/>
      <c r="E22" s="261"/>
      <c r="F22" s="261"/>
      <c r="G22" s="263"/>
      <c r="H22" s="264"/>
      <c r="I22" s="190"/>
      <c r="J22" s="189"/>
      <c r="K22" s="189"/>
      <c r="L22" s="270"/>
      <c r="M22" s="273"/>
      <c r="N22" s="210"/>
      <c r="O22" s="220"/>
    </row>
    <row r="23" spans="1:15" s="177" customFormat="1" ht="18" thickBot="1" x14ac:dyDescent="0.3">
      <c r="A23" s="209"/>
      <c r="B23" s="194"/>
      <c r="C23" s="266"/>
      <c r="D23" s="266"/>
      <c r="E23" s="266"/>
      <c r="F23" s="266"/>
      <c r="G23" s="267"/>
      <c r="H23" s="268"/>
      <c r="I23" s="191"/>
      <c r="J23" s="192"/>
      <c r="K23" s="192"/>
      <c r="L23" s="271"/>
      <c r="M23" s="274"/>
      <c r="N23" s="210"/>
      <c r="O23" s="220"/>
    </row>
    <row r="24" spans="1:15" x14ac:dyDescent="0.25">
      <c r="A24" s="207"/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208"/>
      <c r="O24" s="219"/>
    </row>
    <row r="25" spans="1:15" x14ac:dyDescent="0.25">
      <c r="A25" s="207"/>
      <c r="B25" s="188"/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208"/>
      <c r="O25" s="219"/>
    </row>
    <row r="26" spans="1:15" x14ac:dyDescent="0.25">
      <c r="A26" s="207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208"/>
      <c r="O26" s="219"/>
    </row>
    <row r="27" spans="1:15" x14ac:dyDescent="0.25">
      <c r="A27" s="207"/>
      <c r="B27" s="188"/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N27" s="208"/>
      <c r="O27" s="219"/>
    </row>
    <row r="28" spans="1:15" x14ac:dyDescent="0.25">
      <c r="A28" s="207"/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208"/>
      <c r="O28" s="219"/>
    </row>
    <row r="29" spans="1:15" ht="17" thickBot="1" x14ac:dyDescent="0.3">
      <c r="A29" s="213"/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5"/>
      <c r="O29" s="219"/>
    </row>
    <row r="30" spans="1:15" ht="7" customHeight="1" x14ac:dyDescent="0.25">
      <c r="A30" s="219"/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</row>
  </sheetData>
  <mergeCells count="3">
    <mergeCell ref="B12:G12"/>
    <mergeCell ref="H12:M12"/>
    <mergeCell ref="E1:F1"/>
  </mergeCells>
  <phoneticPr fontId="3" type="noConversion"/>
  <dataValidations count="1">
    <dataValidation type="list" showInputMessage="1" showErrorMessage="1" sqref="L14" xr:uid="{76E5E4B5-2446-AA44-918F-81EDC3C618BA}">
      <formula1>"PESCADOR,NON ANGLER"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130B6CF-4023-5C4C-8FF4-5AEC9B4EC2C0}">
          <x14:formula1>
            <xm:f>Mantenedor!$D$2:$D$4</xm:f>
          </x14:formula1>
          <xm:sqref>H14:H23</xm:sqref>
        </x14:dataValidation>
        <x14:dataValidation type="list" allowBlank="1" showInputMessage="1" showErrorMessage="1" xr:uid="{7F661CEC-C46C-9745-B835-A5E6EA0B05A5}">
          <x14:formula1>
            <xm:f>Mantenedor!$A$2:$A$3</xm:f>
          </x14:formula1>
          <xm:sqref>C14:C23</xm:sqref>
        </x14:dataValidation>
        <x14:dataValidation type="list" allowBlank="1" showInputMessage="1" showErrorMessage="1" xr:uid="{6FDCDABA-D8A0-F044-B7AF-1824B9DBBB10}">
          <x14:formula1>
            <xm:f>Mantenedor!$F$2:$F$3</xm:f>
          </x14:formula1>
          <xm:sqref>I11 C11:D11</xm:sqref>
        </x14:dataValidation>
        <x14:dataValidation type="list" allowBlank="1" showInputMessage="1" showErrorMessage="1" xr:uid="{55B0A008-B618-714C-A6A0-DE030867F605}">
          <x14:formula1>
            <xm:f>Mantenedor!$G$2:$G$3</xm:f>
          </x14:formula1>
          <xm:sqref>G21 G14:G18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D88F-8036-CD44-A379-A09925C4DAA1}">
  <sheetPr codeName="Hoja9">
    <tabColor theme="5" tint="0.79998168889431442"/>
  </sheetPr>
  <dimension ref="A1:N30"/>
  <sheetViews>
    <sheetView zoomScale="93" zoomScaleNormal="93" workbookViewId="0">
      <selection activeCell="G14" sqref="G14"/>
    </sheetView>
  </sheetViews>
  <sheetFormatPr baseColWidth="10" defaultRowHeight="16" x14ac:dyDescent="0.2"/>
  <cols>
    <col min="1" max="1" width="5.83203125" style="178" customWidth="1"/>
    <col min="2" max="2" width="21.83203125" style="178" bestFit="1" customWidth="1"/>
    <col min="3" max="3" width="29.1640625" style="178" bestFit="1" customWidth="1"/>
    <col min="4" max="4" width="17.83203125" style="178" bestFit="1" customWidth="1"/>
    <col min="5" max="5" width="12.5" style="178" bestFit="1" customWidth="1"/>
    <col min="6" max="6" width="18.1640625" style="178" bestFit="1" customWidth="1"/>
    <col min="7" max="7" width="20" style="178" bestFit="1" customWidth="1"/>
    <col min="8" max="8" width="16.6640625" style="178" bestFit="1" customWidth="1"/>
    <col min="9" max="9" width="5.1640625" style="178" customWidth="1"/>
    <col min="10" max="10" width="0.83203125" style="178" customWidth="1"/>
    <col min="11" max="11" width="19.6640625" style="178" customWidth="1"/>
    <col min="12" max="12" width="13.83203125" style="178" bestFit="1" customWidth="1"/>
    <col min="13" max="13" width="29.5" style="178" hidden="1" customWidth="1"/>
    <col min="14" max="14" width="4.5" style="178" bestFit="1" customWidth="1"/>
    <col min="15" max="25" width="10.83203125" style="178"/>
    <col min="26" max="26" width="0" style="178" hidden="1" customWidth="1"/>
    <col min="27" max="16384" width="10.83203125" style="178"/>
  </cols>
  <sheetData>
    <row r="1" spans="1:14" ht="127" customHeight="1" x14ac:dyDescent="0.2">
      <c r="A1" s="386"/>
      <c r="B1" s="386"/>
      <c r="C1" s="386"/>
      <c r="D1" s="282"/>
      <c r="E1" s="282"/>
      <c r="F1" s="282"/>
      <c r="G1" s="282"/>
      <c r="H1" s="282"/>
      <c r="I1" s="245"/>
      <c r="J1" s="246"/>
      <c r="K1" s="247"/>
      <c r="L1" s="248"/>
      <c r="M1" s="248"/>
    </row>
    <row r="2" spans="1:14" ht="9" customHeight="1" x14ac:dyDescent="0.2">
      <c r="A2" s="387"/>
      <c r="B2" s="387"/>
      <c r="C2" s="387"/>
      <c r="D2" s="387"/>
      <c r="E2" s="387"/>
      <c r="F2" s="387"/>
      <c r="G2" s="387"/>
      <c r="H2" s="387"/>
      <c r="I2" s="387"/>
      <c r="J2" s="387"/>
    </row>
    <row r="3" spans="1:14" ht="31" customHeight="1" thickBot="1" x14ac:dyDescent="0.25">
      <c r="A3" s="184"/>
      <c r="B3" s="184"/>
      <c r="C3" s="184"/>
      <c r="D3" s="184"/>
      <c r="E3" s="184"/>
      <c r="F3" s="184"/>
      <c r="G3" s="184"/>
      <c r="H3" s="184"/>
      <c r="I3" s="184"/>
      <c r="J3" s="387"/>
    </row>
    <row r="4" spans="1:14" ht="29" customHeight="1" thickBot="1" x14ac:dyDescent="0.25">
      <c r="A4" s="184"/>
      <c r="B4" s="336" t="s">
        <v>204</v>
      </c>
      <c r="C4" s="337"/>
      <c r="D4" s="340"/>
      <c r="E4" s="344"/>
      <c r="F4" s="345" t="s">
        <v>381</v>
      </c>
      <c r="G4" s="346" t="s">
        <v>384</v>
      </c>
      <c r="H4" s="347" t="s">
        <v>382</v>
      </c>
      <c r="I4" s="329"/>
      <c r="J4" s="387"/>
    </row>
    <row r="5" spans="1:14" ht="23" customHeight="1" x14ac:dyDescent="0.2">
      <c r="A5" s="184"/>
      <c r="B5" s="348" t="s">
        <v>300</v>
      </c>
      <c r="C5" s="429"/>
      <c r="D5" s="339"/>
      <c r="E5" s="368" t="s">
        <v>0</v>
      </c>
      <c r="F5" s="430" t="str">
        <f>IF($C$5="","",F7*N(VLOOKUP($C$5,BBDD!$B$2:$X$1996,22,FALSE)))</f>
        <v/>
      </c>
      <c r="G5" s="377" t="str" cm="1">
        <f t="array" ref="G5">IF($C$5="","",_xlfn.LET(
  _xlpm.mon, IFERROR(INDEX(_xlfn._xlws.FILTER(BBDD!$Q$2:$Q$1996, BBDD!$B$2:$B$1996=$C$5), 1),""),
  SUMIFS($F$11:$F$15, $C$11:$C$15, "RESERVA", $E$11:$E$15, _xlpm.mon)
))</f>
        <v/>
      </c>
      <c r="H5" s="378" t="str">
        <f>IF($C$5="","",F5-G5)</f>
        <v/>
      </c>
      <c r="I5" s="249"/>
      <c r="J5" s="387"/>
      <c r="N5" s="178" t="str">
        <f>+$N$18</f>
        <v/>
      </c>
    </row>
    <row r="6" spans="1:14" ht="17" x14ac:dyDescent="0.2">
      <c r="A6" s="184"/>
      <c r="B6" s="349" t="s">
        <v>198</v>
      </c>
      <c r="C6" s="385" t="str">
        <f>IFERROR(VLOOKUP($C$5,BBDD!$B$2:$X$1996,9,FALSE),"")</f>
        <v/>
      </c>
      <c r="D6" s="340"/>
      <c r="E6" s="369" t="s">
        <v>303</v>
      </c>
      <c r="F6" s="379" t="str">
        <f>IF($C$5="","",F7*N(VLOOKUP($C$5,BBDD!$B$2:$X$1996,23,FALSE)))</f>
        <v/>
      </c>
      <c r="G6" s="380" t="str" cm="1">
        <f t="array" ref="G6">IF($C$5="","",_xlfn.LET(
  _xlpm.mon, IFERROR(INDEX(_xlfn._xlws.FILTER(BBDD!$Q$2:$Q$1996, BBDD!$B$2:$B$1996=$C$5), 1),""),
  SUMIFS($F$11:$F$15, $C$11:$C$15, "SALDO", $E$11:$E$15, _xlpm.mon)
))</f>
        <v/>
      </c>
      <c r="H6" s="381" t="str">
        <f>IF($C$5="","",F6-G6)</f>
        <v/>
      </c>
      <c r="I6" s="184"/>
      <c r="J6" s="387"/>
      <c r="N6" s="178" t="str">
        <f>+$N$18</f>
        <v/>
      </c>
    </row>
    <row r="7" spans="1:14" ht="18" thickBot="1" x14ac:dyDescent="0.25">
      <c r="A7" s="184"/>
      <c r="B7" s="350" t="s">
        <v>199</v>
      </c>
      <c r="C7" s="385" t="str">
        <f>IFERROR(VLOOKUP($C$5,BBDD!$B$2:$X$1996,10,FALSE),"")</f>
        <v/>
      </c>
      <c r="D7" s="340"/>
      <c r="E7" s="370" t="s">
        <v>49</v>
      </c>
      <c r="F7" s="382" t="str">
        <f>IF($C$5="","",G28)</f>
        <v/>
      </c>
      <c r="G7" s="383" t="str">
        <f>IF($C$5="","",G5+G6)</f>
        <v/>
      </c>
      <c r="H7" s="384" t="str">
        <f>IF($C$5="","",F7-G7)</f>
        <v/>
      </c>
      <c r="I7" s="184"/>
      <c r="J7" s="387"/>
      <c r="N7" s="178" t="str">
        <f>+$N$18</f>
        <v/>
      </c>
    </row>
    <row r="8" spans="1:14" ht="17" thickBot="1" x14ac:dyDescent="0.25">
      <c r="A8" s="184"/>
      <c r="B8" s="340"/>
      <c r="C8" s="340"/>
      <c r="D8" s="340"/>
      <c r="E8" s="340"/>
      <c r="F8" s="340"/>
      <c r="G8" s="340"/>
      <c r="H8" s="340"/>
      <c r="I8" s="184"/>
      <c r="J8" s="387"/>
    </row>
    <row r="9" spans="1:14" ht="24" thickBot="1" x14ac:dyDescent="0.25">
      <c r="A9" s="184"/>
      <c r="B9" s="371" t="s">
        <v>302</v>
      </c>
      <c r="C9" s="372"/>
      <c r="D9" s="372"/>
      <c r="E9" s="372"/>
      <c r="F9" s="372"/>
      <c r="G9" s="372"/>
      <c r="H9" s="373"/>
      <c r="I9" s="184"/>
      <c r="J9" s="387"/>
    </row>
    <row r="10" spans="1:14" ht="18" thickBot="1" x14ac:dyDescent="0.25">
      <c r="A10" s="184"/>
      <c r="B10" s="331" t="s">
        <v>383</v>
      </c>
      <c r="C10" s="334" t="s">
        <v>214</v>
      </c>
      <c r="D10" s="334" t="s">
        <v>304</v>
      </c>
      <c r="E10" s="334" t="s">
        <v>374</v>
      </c>
      <c r="F10" s="334" t="s">
        <v>7</v>
      </c>
      <c r="G10" s="334" t="s">
        <v>305</v>
      </c>
      <c r="H10" s="335" t="s">
        <v>378</v>
      </c>
      <c r="I10" s="184"/>
      <c r="J10" s="387"/>
    </row>
    <row r="11" spans="1:14" ht="17" x14ac:dyDescent="0.2">
      <c r="A11" s="184"/>
      <c r="B11" s="338" t="str">
        <f>IF(ISBLANK(C11),"","N°"&amp;COUNTA($C$11:C11))</f>
        <v/>
      </c>
      <c r="C11" s="443"/>
      <c r="D11" s="333"/>
      <c r="E11" s="435"/>
      <c r="F11" s="451"/>
      <c r="G11" s="434"/>
      <c r="H11" s="436"/>
      <c r="I11" s="437"/>
      <c r="J11" s="387"/>
      <c r="K11" s="450"/>
      <c r="L11" s="178">
        <v>4</v>
      </c>
      <c r="N11" s="178" t="str">
        <f t="shared" ref="N11:N15" si="0">+$N$18</f>
        <v/>
      </c>
    </row>
    <row r="12" spans="1:14" ht="17" x14ac:dyDescent="0.2">
      <c r="A12" s="184"/>
      <c r="B12" s="338" t="str">
        <f>IF(ISBLANK(C12),"","N°"&amp;COUNTA($C$11:C12))</f>
        <v/>
      </c>
      <c r="C12" s="443"/>
      <c r="D12" s="332"/>
      <c r="E12" s="435"/>
      <c r="F12" s="451"/>
      <c r="G12" s="434"/>
      <c r="H12" s="436"/>
      <c r="I12" s="437"/>
      <c r="J12" s="387"/>
      <c r="L12" s="178">
        <v>6</v>
      </c>
      <c r="N12" s="178" t="str">
        <f t="shared" si="0"/>
        <v/>
      </c>
    </row>
    <row r="13" spans="1:14" ht="17" x14ac:dyDescent="0.2">
      <c r="A13" s="184"/>
      <c r="B13" s="444" t="str">
        <f>IF(ISBLANK(C13),"","N°"&amp;COUNTA($C$11:C13))</f>
        <v/>
      </c>
      <c r="C13" s="442"/>
      <c r="D13" s="328"/>
      <c r="E13" s="397"/>
      <c r="F13" s="397"/>
      <c r="G13" s="434"/>
      <c r="H13" s="438"/>
      <c r="I13" s="437"/>
      <c r="J13" s="387"/>
      <c r="N13" s="178" t="str">
        <f t="shared" si="0"/>
        <v/>
      </c>
    </row>
    <row r="14" spans="1:14" ht="17" x14ac:dyDescent="0.2">
      <c r="A14" s="184"/>
      <c r="B14" s="444" t="str">
        <f>IF(ISBLANK(C14),"","N°"&amp;COUNTA($C$11:C14))</f>
        <v/>
      </c>
      <c r="C14" s="351"/>
      <c r="D14" s="351"/>
      <c r="E14" s="440"/>
      <c r="F14" s="397"/>
      <c r="G14" s="439"/>
      <c r="H14" s="438"/>
      <c r="I14" s="437"/>
      <c r="J14" s="387"/>
      <c r="N14" s="178" t="str">
        <f t="shared" si="0"/>
        <v/>
      </c>
    </row>
    <row r="15" spans="1:14" ht="18" thickBot="1" x14ac:dyDescent="0.25">
      <c r="A15" s="184"/>
      <c r="B15" s="445" t="str">
        <f>IF(ISBLANK(C15),"","N°"&amp;COUNTA($C$11:C15))</f>
        <v/>
      </c>
      <c r="C15" s="446"/>
      <c r="D15" s="447"/>
      <c r="E15" s="448"/>
      <c r="F15" s="397"/>
      <c r="G15" s="449"/>
      <c r="H15" s="441"/>
      <c r="I15" s="437"/>
      <c r="J15" s="387"/>
      <c r="N15" s="178" t="str">
        <f t="shared" si="0"/>
        <v/>
      </c>
    </row>
    <row r="16" spans="1:14" ht="18" thickBot="1" x14ac:dyDescent="0.25">
      <c r="A16" s="184"/>
      <c r="B16" s="330"/>
      <c r="C16" s="341"/>
      <c r="D16" s="330"/>
      <c r="E16" s="342" t="str" cm="1">
        <f t="array" ref="E16">IF($C$5="","",_xlfn.LET(_xlpm.v,_xlfn.XLOOKUP($C$5&amp;"|"&amp;$B16,BBDD!$B$2:$B$1996&amp;"|"&amp;BBDD!$C$2:$C$1996,BBDD!$T$2:$T$1996,""),IF(_xlpm.v="","",_xlpm.v)))</f>
        <v/>
      </c>
      <c r="F16" s="343" t="str" cm="1">
        <f t="array" ref="F16">IF($C$5="","",_xlfn.LET(_xlpm.v,_xlfn.XLOOKUP($C$5&amp;"|"&amp;$B16,BBDD!$B$2:$B$1996&amp;"|"&amp;BBDD!$C$2:$C$1996,BBDD!$U$2:$U$1996,""),IF(_xlpm.v="","",_xlpm.v)))</f>
        <v/>
      </c>
      <c r="G16" s="343"/>
      <c r="H16" s="340"/>
      <c r="I16" s="184"/>
      <c r="J16" s="387"/>
    </row>
    <row r="17" spans="1:14" ht="37" thickBot="1" x14ac:dyDescent="0.25">
      <c r="A17" s="184"/>
      <c r="B17" s="388" t="s">
        <v>18</v>
      </c>
      <c r="C17" s="389" t="s">
        <v>209</v>
      </c>
      <c r="D17" s="390" t="s">
        <v>290</v>
      </c>
      <c r="E17" s="391" t="s">
        <v>388</v>
      </c>
      <c r="F17" s="392" t="s">
        <v>301</v>
      </c>
      <c r="G17" s="455" t="s">
        <v>291</v>
      </c>
      <c r="H17" s="452"/>
      <c r="I17" s="184"/>
      <c r="J17" s="387"/>
    </row>
    <row r="18" spans="1:14" ht="17" x14ac:dyDescent="0.2">
      <c r="A18" s="184"/>
      <c r="B18" s="352" t="str" cm="1">
        <f t="array" ref="B18">IF($C$5="","",_xlfn.TAKE(_xlfn._xlws.FILTER(BBDD!$C$1:$C$237, BBDD!$B$1:$B$237=$C$5, ""), 10))</f>
        <v/>
      </c>
      <c r="C18" s="393" t="str" cm="1">
        <f t="array" ref="C18">IF($C$5="","",_xlfn.TAKE(_xlfn._xlws.FILTER(BBDD!$E$1:$E$237, BBDD!$B$1:$B$237=$C$5, ""), 10))</f>
        <v/>
      </c>
      <c r="D18" s="353" t="str" cm="1">
        <f t="array" ref="D18">IF($C$5="","",_xlfn.XLOOKUP($C$5&amp;"|"&amp;$B18, BBDD!$B$1:$B$237&amp;"|"&amp;BBDD!$C$1:$C$237, BBDD!$R$1:$R$237, ""))</f>
        <v/>
      </c>
      <c r="E18" s="354"/>
      <c r="F18" s="355"/>
      <c r="G18" s="456" t="str">
        <f>IF(D18="","",IF(E18="",D18,D18*(1-E18)))</f>
        <v/>
      </c>
      <c r="H18" s="453"/>
      <c r="I18" s="184"/>
      <c r="J18" s="387"/>
      <c r="N18" s="178" t="str" cm="1">
        <f t="array" ref="N18">IF($C$5="","",_xlfn.XLOOKUP($C$5&amp;"|"&amp;$B18,BBDD!$B$1:$B$249&amp;"|"&amp;BBDD!$C$1:$C$249,BBDD!$Q$1:$Q$249,""))</f>
        <v/>
      </c>
    </row>
    <row r="19" spans="1:14" ht="17" x14ac:dyDescent="0.2">
      <c r="A19" s="184"/>
      <c r="B19" s="356"/>
      <c r="C19" s="394"/>
      <c r="D19" s="357" t="str" cm="1">
        <f t="array" ref="D19">IF($C$5="","",_xlfn.XLOOKUP($C$5&amp;"|"&amp;$B19, BBDD!$B$1:$B$237&amp;"|"&amp;BBDD!$C$1:$C$237, BBDD!$R$1:$R$237, ""))</f>
        <v/>
      </c>
      <c r="E19" s="358"/>
      <c r="F19" s="359"/>
      <c r="G19" s="457" t="str">
        <f t="shared" ref="G19:G27" si="1">IF(E19="",D19,D19*(1-E19))</f>
        <v/>
      </c>
      <c r="H19" s="453"/>
      <c r="I19" s="184"/>
      <c r="J19" s="387"/>
      <c r="M19" s="178" t="s">
        <v>311</v>
      </c>
      <c r="N19" s="178" t="str" cm="1">
        <f t="array" ref="N19">IF($C$5="","",_xlfn.XLOOKUP($C$5&amp;"|"&amp;$B19,BBDD!$B$1:$B$249&amp;"|"&amp;BBDD!$C$1:$C$249,BBDD!$Q$1:$Q$249,""))</f>
        <v/>
      </c>
    </row>
    <row r="20" spans="1:14" ht="17" x14ac:dyDescent="0.2">
      <c r="A20" s="184"/>
      <c r="B20" s="356"/>
      <c r="C20" s="394"/>
      <c r="D20" s="357" t="str" cm="1">
        <f t="array" ref="D20">IF($C$5="","",_xlfn.XLOOKUP($C$5&amp;"|"&amp;$B20, BBDD!$B$1:$B$237&amp;"|"&amp;BBDD!$C$1:$C$237, BBDD!$R$1:$R$237, ""))</f>
        <v/>
      </c>
      <c r="E20" s="358"/>
      <c r="F20" s="359"/>
      <c r="G20" s="457" t="str">
        <f t="shared" si="1"/>
        <v/>
      </c>
      <c r="H20" s="453"/>
      <c r="I20" s="184"/>
      <c r="J20" s="387"/>
      <c r="M20" s="178" t="s">
        <v>312</v>
      </c>
      <c r="N20" s="178" t="str" cm="1">
        <f t="array" ref="N20">IF($C$5="","",_xlfn.XLOOKUP($C$5&amp;"|"&amp;$B20,BBDD!$B$1:$B$249&amp;"|"&amp;BBDD!$C$1:$C$249,BBDD!$Q$1:$Q$249,""))</f>
        <v/>
      </c>
    </row>
    <row r="21" spans="1:14" ht="17" x14ac:dyDescent="0.2">
      <c r="A21" s="184"/>
      <c r="B21" s="356"/>
      <c r="C21" s="394"/>
      <c r="D21" s="357" t="str" cm="1">
        <f t="array" ref="D21">IF($C$5="","",_xlfn.XLOOKUP($C$5&amp;"|"&amp;$B21, BBDD!$B$1:$B$237&amp;"|"&amp;BBDD!$C$1:$C$237, BBDD!$R$1:$R$237, ""))</f>
        <v/>
      </c>
      <c r="E21" s="358"/>
      <c r="F21" s="359"/>
      <c r="G21" s="457" t="str">
        <f t="shared" si="1"/>
        <v/>
      </c>
      <c r="H21" s="453"/>
      <c r="I21" s="184"/>
      <c r="J21" s="387"/>
      <c r="N21" s="178" t="str" cm="1">
        <f t="array" ref="N21">IF($C$5="","",_xlfn.XLOOKUP($C$5&amp;"|"&amp;$B21,BBDD!$B$1:$B$249&amp;"|"&amp;BBDD!$C$1:$C$249,BBDD!$Q$1:$Q$249,""))</f>
        <v/>
      </c>
    </row>
    <row r="22" spans="1:14" ht="17" x14ac:dyDescent="0.2">
      <c r="A22" s="184"/>
      <c r="B22" s="356"/>
      <c r="C22" s="394"/>
      <c r="D22" s="357" t="str" cm="1">
        <f t="array" ref="D22">IF($C$5="","",_xlfn.XLOOKUP($C$5&amp;"|"&amp;$B22, BBDD!$B$1:$B$237&amp;"|"&amp;BBDD!$C$1:$C$237, BBDD!$R$1:$R$237, ""))</f>
        <v/>
      </c>
      <c r="E22" s="358"/>
      <c r="F22" s="359"/>
      <c r="G22" s="457" t="str">
        <f t="shared" si="1"/>
        <v/>
      </c>
      <c r="H22" s="453"/>
      <c r="I22" s="184"/>
      <c r="J22" s="387"/>
      <c r="N22" s="178" t="str" cm="1">
        <f t="array" ref="N22">IF($C$5="","",_xlfn.XLOOKUP($C$5&amp;"|"&amp;$B22,BBDD!$B$1:$B$249&amp;"|"&amp;BBDD!$C$1:$C$249,BBDD!$Q$1:$Q$249,""))</f>
        <v/>
      </c>
    </row>
    <row r="23" spans="1:14" ht="17" x14ac:dyDescent="0.2">
      <c r="A23" s="184"/>
      <c r="B23" s="356"/>
      <c r="C23" s="394"/>
      <c r="D23" s="357" t="str" cm="1">
        <f t="array" ref="D23">IF($C$5="","",_xlfn.XLOOKUP($C$5&amp;"|"&amp;$B23, BBDD!$B$1:$B$237&amp;"|"&amp;BBDD!$C$1:$C$237, BBDD!$R$1:$R$237, ""))</f>
        <v/>
      </c>
      <c r="E23" s="358"/>
      <c r="F23" s="359"/>
      <c r="G23" s="457" t="str">
        <f t="shared" si="1"/>
        <v/>
      </c>
      <c r="H23" s="453"/>
      <c r="I23" s="184"/>
      <c r="J23" s="387"/>
      <c r="N23" s="178" t="str" cm="1">
        <f t="array" ref="N23">IF($C$5="","",_xlfn.XLOOKUP($C$5&amp;"|"&amp;$B23,BBDD!$B$1:$B$249&amp;"|"&amp;BBDD!$C$1:$C$249,BBDD!$Q$1:$Q$249,""))</f>
        <v/>
      </c>
    </row>
    <row r="24" spans="1:14" ht="17" x14ac:dyDescent="0.2">
      <c r="A24" s="184"/>
      <c r="B24" s="356"/>
      <c r="C24" s="394"/>
      <c r="D24" s="357" t="str" cm="1">
        <f t="array" ref="D24">IF($C$5="","",_xlfn.XLOOKUP($C$5&amp;"|"&amp;$B24, BBDD!$B$1:$B$237&amp;"|"&amp;BBDD!$C$1:$C$237, BBDD!$R$1:$R$237, ""))</f>
        <v/>
      </c>
      <c r="E24" s="358"/>
      <c r="F24" s="359"/>
      <c r="G24" s="457" t="str">
        <f t="shared" si="1"/>
        <v/>
      </c>
      <c r="H24" s="453"/>
      <c r="I24" s="184"/>
      <c r="J24" s="387"/>
      <c r="N24" s="178" t="str" cm="1">
        <f t="array" ref="N24">IF($C$5="","",_xlfn.XLOOKUP($C$5&amp;"|"&amp;$B24,BBDD!$B$1:$B$249&amp;"|"&amp;BBDD!$C$1:$C$249,BBDD!$Q$1:$Q$249,""))</f>
        <v/>
      </c>
    </row>
    <row r="25" spans="1:14" ht="17" x14ac:dyDescent="0.2">
      <c r="A25" s="184"/>
      <c r="B25" s="356"/>
      <c r="C25" s="394"/>
      <c r="D25" s="357" t="str" cm="1">
        <f t="array" ref="D25">IF($C$5="","",_xlfn.XLOOKUP($C$5&amp;"|"&amp;$B25, BBDD!$B$1:$B$237&amp;"|"&amp;BBDD!$C$1:$C$237, BBDD!$R$1:$R$237, ""))</f>
        <v/>
      </c>
      <c r="E25" s="358"/>
      <c r="F25" s="359"/>
      <c r="G25" s="457" t="str">
        <f t="shared" si="1"/>
        <v/>
      </c>
      <c r="H25" s="453"/>
      <c r="I25" s="184"/>
      <c r="J25" s="387"/>
      <c r="N25" s="178" t="str" cm="1">
        <f t="array" ref="N25">IF($C$5="","",_xlfn.XLOOKUP($C$5&amp;"|"&amp;$B25,BBDD!$B$1:$B$249&amp;"|"&amp;BBDD!$C$1:$C$249,BBDD!$Q$1:$Q$249,""))</f>
        <v/>
      </c>
    </row>
    <row r="26" spans="1:14" ht="17" x14ac:dyDescent="0.2">
      <c r="A26" s="184"/>
      <c r="B26" s="356"/>
      <c r="C26" s="394"/>
      <c r="D26" s="357" t="str" cm="1">
        <f t="array" ref="D26">IF($C$5="","",_xlfn.XLOOKUP($C$5&amp;"|"&amp;$B26, BBDD!$B$1:$B$237&amp;"|"&amp;BBDD!$C$1:$C$237, BBDD!$R$1:$R$237, ""))</f>
        <v/>
      </c>
      <c r="E26" s="358"/>
      <c r="F26" s="359"/>
      <c r="G26" s="457" t="str">
        <f t="shared" si="1"/>
        <v/>
      </c>
      <c r="H26" s="453"/>
      <c r="I26" s="184"/>
      <c r="J26" s="387"/>
      <c r="N26" s="178" t="str" cm="1">
        <f t="array" ref="N26">IF($C$5="","",_xlfn.XLOOKUP($C$5&amp;"|"&amp;$B26,BBDD!$B$1:$B$249&amp;"|"&amp;BBDD!$C$1:$C$249,BBDD!$Q$1:$Q$249,""))</f>
        <v/>
      </c>
    </row>
    <row r="27" spans="1:14" ht="18" thickBot="1" x14ac:dyDescent="0.25">
      <c r="A27" s="184"/>
      <c r="B27" s="360"/>
      <c r="C27" s="395"/>
      <c r="D27" s="361" t="str" cm="1">
        <f t="array" ref="D27">IF($C$5="","",_xlfn.XLOOKUP($C$5&amp;"|"&amp;$B27, BBDD!$B$1:$B$237&amp;"|"&amp;BBDD!$C$1:$C$237, BBDD!$R$1:$R$237, ""))</f>
        <v/>
      </c>
      <c r="E27" s="362"/>
      <c r="F27" s="363"/>
      <c r="G27" s="458" t="str">
        <f t="shared" si="1"/>
        <v/>
      </c>
      <c r="H27" s="453"/>
      <c r="I27" s="184"/>
      <c r="J27" s="387"/>
      <c r="N27" s="178" t="str" cm="1">
        <f t="array" ref="N27">IF($C$5="","",_xlfn.XLOOKUP($C$5&amp;"|"&amp;$B27,BBDD!$B$1:$B$249&amp;"|"&amp;BBDD!$C$1:$C$249,BBDD!$Q$1:$Q$249,""))</f>
        <v/>
      </c>
    </row>
    <row r="28" spans="1:14" ht="18" thickBot="1" x14ac:dyDescent="0.25">
      <c r="A28" s="184"/>
      <c r="B28" s="364"/>
      <c r="C28" s="396"/>
      <c r="D28" s="366">
        <f>+SUM(D18:D27)</f>
        <v>0</v>
      </c>
      <c r="E28" s="367"/>
      <c r="F28" s="365" t="s">
        <v>49</v>
      </c>
      <c r="G28" s="459">
        <f>+SUM(G18:G27)</f>
        <v>0</v>
      </c>
      <c r="H28" s="454"/>
      <c r="I28" s="184"/>
      <c r="J28" s="387"/>
      <c r="N28" s="178" t="str" cm="1">
        <f t="array" ref="N28">IF($C$5="","",_xlfn.XLOOKUP($C$5&amp;"|"&amp;$B28,BBDD!$B$1:$B$249&amp;"|"&amp;BBDD!$C$1:$C$249,BBDD!$Q$1:$Q$249,N18))</f>
        <v/>
      </c>
    </row>
    <row r="29" spans="1:14" ht="134" customHeight="1" x14ac:dyDescent="0.2">
      <c r="A29" s="184"/>
      <c r="B29" s="184"/>
      <c r="C29" s="184"/>
      <c r="D29" s="184"/>
      <c r="E29" s="184"/>
      <c r="F29" s="184"/>
      <c r="G29" s="184"/>
      <c r="H29" s="184"/>
      <c r="I29" s="184"/>
      <c r="J29" s="387"/>
    </row>
    <row r="30" spans="1:14" ht="5" customHeight="1" x14ac:dyDescent="0.2">
      <c r="A30" s="387"/>
      <c r="B30" s="387"/>
      <c r="C30" s="387"/>
      <c r="D30" s="387"/>
      <c r="E30" s="387"/>
      <c r="F30" s="387"/>
      <c r="G30" s="387"/>
      <c r="H30" s="387"/>
      <c r="I30" s="387"/>
      <c r="J30" s="387"/>
    </row>
  </sheetData>
  <mergeCells count="3">
    <mergeCell ref="D1:H1"/>
    <mergeCell ref="B4:C4"/>
    <mergeCell ref="B9:H9"/>
  </mergeCells>
  <conditionalFormatting sqref="D18:D28 G18:G28">
    <cfRule type="expression" dxfId="9" priority="5">
      <formula>$N18="USD"</formula>
    </cfRule>
    <cfRule type="expression" dxfId="8" priority="6">
      <formula>$N18="CLP"</formula>
    </cfRule>
  </conditionalFormatting>
  <conditionalFormatting sqref="C13">
    <cfRule type="expression" dxfId="7" priority="7">
      <formula>$N7="USD"</formula>
    </cfRule>
    <cfRule type="expression" dxfId="6" priority="8">
      <formula>$N7="CLP"</formula>
    </cfRule>
  </conditionalFormatting>
  <conditionalFormatting sqref="D12">
    <cfRule type="expression" dxfId="5" priority="17">
      <formula>#REF!="USD"</formula>
    </cfRule>
    <cfRule type="expression" dxfId="4" priority="18">
      <formula>#REF!="CLP"</formula>
    </cfRule>
  </conditionalFormatting>
  <conditionalFormatting sqref="B4:B7">
    <cfRule type="expression" dxfId="3" priority="3">
      <formula>$N4="USD"</formula>
    </cfRule>
    <cfRule type="expression" dxfId="2" priority="4">
      <formula>$N4="CLP"</formula>
    </cfRule>
  </conditionalFormatting>
  <conditionalFormatting sqref="E4:H7">
    <cfRule type="expression" dxfId="1" priority="1">
      <formula>$N4="USD"</formula>
    </cfRule>
    <cfRule type="expression" dxfId="0" priority="2">
      <formula>$N4="CLP"</formula>
    </cfRule>
  </conditionalFormatting>
  <dataValidations count="5">
    <dataValidation type="list" allowBlank="1" showInputMessage="1" showErrorMessage="1" sqref="AA18:AA27 F18:F27" xr:uid="{B43F033E-13D8-A34A-8771-B73737AC0676}">
      <formula1>"Sin descuento,Jorge Icaza,René Acklin,Francisca Pualuan"</formula1>
    </dataValidation>
    <dataValidation type="list" allowBlank="1" showInputMessage="1" showErrorMessage="1" sqref="C5" xr:uid="{9D1B81E9-B1B6-AD4E-A20F-22D0BC776C51}">
      <formula1>ListaGrupos</formula1>
    </dataValidation>
    <dataValidation type="list" allowBlank="1" showInputMessage="1" showErrorMessage="1" sqref="D16" xr:uid="{CA13FB7F-F05F-A14E-9565-2650F4F67D47}">
      <formula1>"CLP,USD"</formula1>
    </dataValidation>
    <dataValidation type="date" allowBlank="1" showDropDown="1" showInputMessage="1" showErrorMessage="1" sqref="F8:F10" xr:uid="{DA32B2ED-C81B-8F41-ABD3-EACE1D74C71B}">
      <formula1>1-1-2000</formula1>
      <formula2>31-12-2099</formula2>
    </dataValidation>
    <dataValidation type="decimal" operator="greaterThan" allowBlank="1" showInputMessage="1" showErrorMessage="1" sqref="F11:F15" xr:uid="{EDFF84B3-8737-404A-91EB-A37B223761BF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4B79B4-F91C-804C-AC40-BA2C88066254}">
          <x14:formula1>
            <xm:f>Mantenedor!$I$2:$I$101</xm:f>
          </x14:formula1>
          <xm:sqref>Z18:Z27 E18:E27</xm:sqref>
        </x14:dataValidation>
        <x14:dataValidation type="list" allowBlank="1" showInputMessage="1" showErrorMessage="1" xr:uid="{97DF60F6-2A10-EB47-9EE6-D6C1C96420E1}">
          <x14:formula1>
            <xm:f>Mantenedor!$M$2:$M$3</xm:f>
          </x14:formula1>
          <xm:sqref>E6:E10 C11:C15</xm:sqref>
        </x14:dataValidation>
        <x14:dataValidation type="list" allowBlank="1" showInputMessage="1" showErrorMessage="1" xr:uid="{68129EF8-F41D-8045-BBE7-1D192D8359C0}">
          <x14:formula1>
            <xm:f>Mantenedor!$O$2:$O$3</xm:f>
          </x14:formula1>
          <xm:sqref>F16 G11:G15</xm:sqref>
        </x14:dataValidation>
        <x14:dataValidation type="list" allowBlank="1" showInputMessage="1" showErrorMessage="1" xr:uid="{019C6DAD-D239-964D-B38B-F1B58675CC56}">
          <x14:formula1>
            <xm:f>Mantenedor!$N$2:$N$3</xm:f>
          </x14:formula1>
          <xm:sqref>G9:G10 E11:E15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10C43-851F-AA4E-9729-32B9E9B2C4DF}">
  <sheetPr codeName="Hoja12">
    <tabColor rgb="FFC00000"/>
  </sheetPr>
  <dimension ref="A1:H8"/>
  <sheetViews>
    <sheetView zoomScale="120" zoomScaleNormal="120" workbookViewId="0">
      <selection sqref="A1:H1"/>
    </sheetView>
  </sheetViews>
  <sheetFormatPr baseColWidth="10" defaultRowHeight="16" x14ac:dyDescent="0.25"/>
  <cols>
    <col min="1" max="1" width="14.1640625" style="176" customWidth="1"/>
    <col min="2" max="2" width="21.83203125" style="176" bestFit="1" customWidth="1"/>
    <col min="3" max="3" width="9.33203125" style="176" bestFit="1" customWidth="1"/>
    <col min="4" max="4" width="17.5" style="176" bestFit="1" customWidth="1"/>
    <col min="5" max="5" width="10.1640625" style="398" bestFit="1" customWidth="1"/>
    <col min="6" max="6" width="14.33203125" style="176" bestFit="1" customWidth="1"/>
    <col min="7" max="8" width="13.5" style="176" bestFit="1" customWidth="1"/>
    <col min="9" max="16384" width="10.83203125" style="176"/>
  </cols>
  <sheetData>
    <row r="1" spans="1:8" ht="17" thickBot="1" x14ac:dyDescent="0.3">
      <c r="A1" s="374" t="s">
        <v>112</v>
      </c>
      <c r="B1" s="374" t="s">
        <v>385</v>
      </c>
      <c r="C1" s="374" t="s">
        <v>16</v>
      </c>
      <c r="D1" s="374" t="s">
        <v>386</v>
      </c>
      <c r="E1" s="433" t="s">
        <v>372</v>
      </c>
      <c r="F1" s="374" t="s">
        <v>373</v>
      </c>
      <c r="G1" s="374" t="s">
        <v>194</v>
      </c>
      <c r="H1" s="374" t="s">
        <v>387</v>
      </c>
    </row>
    <row r="2" spans="1:8" x14ac:dyDescent="0.25">
      <c r="A2" s="176" t="s">
        <v>196</v>
      </c>
      <c r="B2" s="176" t="s">
        <v>0</v>
      </c>
      <c r="C2" s="250">
        <v>46023</v>
      </c>
      <c r="D2" s="176" t="s">
        <v>321</v>
      </c>
      <c r="E2" s="398">
        <v>1429750</v>
      </c>
      <c r="F2" s="176" t="s">
        <v>319</v>
      </c>
      <c r="H2" s="460">
        <v>45944.648773148147</v>
      </c>
    </row>
    <row r="3" spans="1:8" x14ac:dyDescent="0.25">
      <c r="A3" s="176" t="s">
        <v>313</v>
      </c>
      <c r="B3" s="176" t="s">
        <v>0</v>
      </c>
      <c r="C3" s="250">
        <v>45940</v>
      </c>
      <c r="D3" s="431" t="s">
        <v>321</v>
      </c>
      <c r="E3" s="398">
        <v>1500000</v>
      </c>
      <c r="F3" s="432" t="s">
        <v>319</v>
      </c>
      <c r="H3" s="460">
        <v>45944.635578703703</v>
      </c>
    </row>
    <row r="4" spans="1:8" x14ac:dyDescent="0.25">
      <c r="A4" s="176" t="s">
        <v>313</v>
      </c>
      <c r="B4" s="176" t="s">
        <v>0</v>
      </c>
      <c r="C4" s="250">
        <v>45941</v>
      </c>
      <c r="D4" s="431" t="s">
        <v>321</v>
      </c>
      <c r="E4" s="398">
        <v>610500</v>
      </c>
      <c r="F4" s="432" t="s">
        <v>319</v>
      </c>
      <c r="H4" s="460">
        <v>45944.636111111111</v>
      </c>
    </row>
    <row r="5" spans="1:8" x14ac:dyDescent="0.25">
      <c r="A5" s="176" t="s">
        <v>313</v>
      </c>
      <c r="B5" s="176" t="s">
        <v>303</v>
      </c>
      <c r="C5" s="250">
        <v>46003</v>
      </c>
      <c r="D5" s="176" t="s">
        <v>321</v>
      </c>
      <c r="E5" s="398">
        <v>2110500</v>
      </c>
      <c r="F5" s="176" t="s">
        <v>319</v>
      </c>
      <c r="H5" s="460">
        <v>45944.63753472222</v>
      </c>
    </row>
    <row r="6" spans="1:8" x14ac:dyDescent="0.25">
      <c r="A6" s="176" t="s">
        <v>314</v>
      </c>
      <c r="B6" s="176" t="s">
        <v>0</v>
      </c>
      <c r="C6" s="250">
        <v>45940</v>
      </c>
      <c r="D6" s="431" t="s">
        <v>86</v>
      </c>
      <c r="E6" s="398">
        <v>5175</v>
      </c>
      <c r="F6" s="432" t="s">
        <v>319</v>
      </c>
      <c r="H6" s="460">
        <v>45944.636631944442</v>
      </c>
    </row>
    <row r="7" spans="1:8" x14ac:dyDescent="0.25">
      <c r="A7" s="176" t="s">
        <v>314</v>
      </c>
      <c r="B7" s="176" t="s">
        <v>303</v>
      </c>
      <c r="C7" s="250">
        <v>45941</v>
      </c>
      <c r="D7" s="176" t="s">
        <v>86</v>
      </c>
      <c r="E7" s="398">
        <v>1500</v>
      </c>
      <c r="F7" s="176" t="s">
        <v>319</v>
      </c>
      <c r="H7" s="460">
        <v>45944.645960648151</v>
      </c>
    </row>
    <row r="8" spans="1:8" x14ac:dyDescent="0.25">
      <c r="A8" s="176" t="s">
        <v>314</v>
      </c>
      <c r="B8" s="176" t="s">
        <v>303</v>
      </c>
      <c r="C8" s="250">
        <v>46023</v>
      </c>
      <c r="D8" s="176" t="s">
        <v>86</v>
      </c>
      <c r="E8" s="398">
        <v>3675</v>
      </c>
      <c r="F8" s="176" t="s">
        <v>319</v>
      </c>
      <c r="H8" s="460">
        <v>45944.657893518517</v>
      </c>
    </row>
  </sheetData>
  <autoFilter ref="A1:H1" xr:uid="{17310C43-851F-AA4E-9729-32B9E9B2C4DF}">
    <sortState xmlns:xlrd2="http://schemas.microsoft.com/office/spreadsheetml/2017/richdata2" ref="A2:H8">
      <sortCondition ref="A1:A8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F05FD-6297-5946-951E-C5FFEB365C75}">
  <sheetPr codeName="Hoja11"/>
  <dimension ref="A2:I6"/>
  <sheetViews>
    <sheetView workbookViewId="0">
      <selection activeCell="H6" sqref="H6"/>
    </sheetView>
  </sheetViews>
  <sheetFormatPr baseColWidth="10" defaultRowHeight="15" x14ac:dyDescent="0.2"/>
  <sheetData>
    <row r="2" spans="1:9" x14ac:dyDescent="0.2">
      <c r="A2" t="s">
        <v>336</v>
      </c>
    </row>
    <row r="3" spans="1:9" x14ac:dyDescent="0.2">
      <c r="A3" t="s">
        <v>337</v>
      </c>
    </row>
    <row r="6" spans="1:9" x14ac:dyDescent="0.2">
      <c r="A6" t="s">
        <v>338</v>
      </c>
      <c r="B6" t="s">
        <v>339</v>
      </c>
      <c r="C6" s="27" t="s">
        <v>340</v>
      </c>
      <c r="D6" s="27" t="s">
        <v>341</v>
      </c>
      <c r="E6" s="27" t="s">
        <v>342</v>
      </c>
      <c r="F6" s="27" t="s">
        <v>343</v>
      </c>
      <c r="G6" s="27" t="s">
        <v>344</v>
      </c>
      <c r="I6" t="s">
        <v>345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44466-5D82-944A-B77C-B183DE27830E}">
  <sheetPr codeName="Hoja2">
    <tabColor rgb="FFFFFF00"/>
  </sheetPr>
  <dimension ref="A1:X1198"/>
  <sheetViews>
    <sheetView tabSelected="1" zoomScale="118" zoomScaleNormal="100" workbookViewId="0">
      <selection activeCell="N1" sqref="N1:X1"/>
    </sheetView>
  </sheetViews>
  <sheetFormatPr baseColWidth="10" defaultRowHeight="15" x14ac:dyDescent="0.2"/>
  <cols>
    <col min="1" max="1" width="12.5" style="410" bestFit="1" customWidth="1"/>
    <col min="2" max="2" width="8.6640625" style="412" customWidth="1"/>
    <col min="3" max="3" width="10.33203125" style="412" bestFit="1" customWidth="1"/>
    <col min="4" max="4" width="11.1640625" style="412" bestFit="1" customWidth="1"/>
    <col min="5" max="5" width="36.33203125" style="412" bestFit="1" customWidth="1"/>
    <col min="6" max="6" width="28.33203125" style="412" bestFit="1" customWidth="1"/>
    <col min="7" max="7" width="16.83203125" style="412" bestFit="1" customWidth="1"/>
    <col min="8" max="8" width="12.33203125" style="412" bestFit="1" customWidth="1"/>
    <col min="9" max="9" width="11.1640625" style="412" bestFit="1" customWidth="1"/>
    <col min="10" max="10" width="14.6640625" style="415" bestFit="1" customWidth="1"/>
    <col min="11" max="11" width="8.5" style="412" bestFit="1" customWidth="1"/>
    <col min="12" max="12" width="9.33203125" style="415" bestFit="1" customWidth="1"/>
    <col min="13" max="13" width="12" style="419" bestFit="1" customWidth="1"/>
    <col min="14" max="14" width="8" style="412" customWidth="1"/>
    <col min="15" max="15" width="13.6640625" style="412" bestFit="1" customWidth="1"/>
    <col min="16" max="16" width="22.1640625" style="410" customWidth="1"/>
    <col min="17" max="17" width="7.33203125" style="417" customWidth="1"/>
    <col min="18" max="18" width="11.5" style="410" customWidth="1"/>
    <col min="19" max="19" width="13.5" style="418" bestFit="1" customWidth="1"/>
    <col min="20" max="20" width="12" style="418" bestFit="1" customWidth="1"/>
    <col min="21" max="21" width="18" style="410" bestFit="1" customWidth="1"/>
    <col min="22" max="22" width="15.83203125" style="412" bestFit="1" customWidth="1"/>
    <col min="23" max="24" width="11" style="411" bestFit="1" customWidth="1"/>
    <col min="25" max="16384" width="10.83203125" style="410"/>
  </cols>
  <sheetData>
    <row r="1" spans="1:24" s="376" customFormat="1" ht="52" thickBot="1" x14ac:dyDescent="0.3">
      <c r="A1" s="420" t="s">
        <v>134</v>
      </c>
      <c r="B1" s="421" t="s">
        <v>112</v>
      </c>
      <c r="C1" s="422" t="s">
        <v>139</v>
      </c>
      <c r="D1" s="423" t="s">
        <v>195</v>
      </c>
      <c r="E1" s="422" t="s">
        <v>191</v>
      </c>
      <c r="F1" s="422" t="s">
        <v>136</v>
      </c>
      <c r="G1" s="422" t="s">
        <v>197</v>
      </c>
      <c r="H1" s="422" t="s">
        <v>182</v>
      </c>
      <c r="I1" s="422" t="s">
        <v>137</v>
      </c>
      <c r="J1" s="424" t="s">
        <v>192</v>
      </c>
      <c r="K1" s="425" t="s">
        <v>180</v>
      </c>
      <c r="L1" s="425" t="s">
        <v>186</v>
      </c>
      <c r="M1" s="425" t="s">
        <v>181</v>
      </c>
      <c r="N1" s="426" t="s">
        <v>138</v>
      </c>
      <c r="O1" s="427" t="s">
        <v>320</v>
      </c>
      <c r="P1" s="428" t="s">
        <v>146</v>
      </c>
      <c r="Q1" s="428" t="s">
        <v>288</v>
      </c>
      <c r="R1" s="427" t="s">
        <v>193</v>
      </c>
      <c r="S1" s="428" t="s">
        <v>190</v>
      </c>
      <c r="T1" s="428" t="s">
        <v>293</v>
      </c>
      <c r="U1" s="428" t="s">
        <v>289</v>
      </c>
      <c r="V1" s="375" t="s">
        <v>194</v>
      </c>
      <c r="W1" s="427" t="s">
        <v>322</v>
      </c>
      <c r="X1" s="428" t="s">
        <v>323</v>
      </c>
    </row>
    <row r="2" spans="1:24" ht="16" x14ac:dyDescent="0.25">
      <c r="A2" s="399" t="str">
        <f>IF(B2="","",CONCATENATE("GBL",B2," - ",Mantenedor!E6))</f>
        <v/>
      </c>
      <c r="B2" s="400"/>
      <c r="C2" s="400"/>
      <c r="D2" s="400"/>
      <c r="E2" s="400"/>
      <c r="F2" s="400"/>
      <c r="G2" s="400"/>
      <c r="H2" s="400"/>
      <c r="I2" s="400"/>
      <c r="J2" s="401"/>
      <c r="K2" s="402"/>
      <c r="L2" s="403"/>
      <c r="M2" s="404"/>
      <c r="N2" s="400"/>
      <c r="O2" s="400"/>
      <c r="P2" s="399" t="str">
        <f t="shared" ref="P2:P62" si="0">IF(N2="","",(IF(L2=1,(CONCATENATE("Base ",N2," ",L2," noche")),(CONCATENATE("Base ",N2," ",L2," noches")))))</f>
        <v/>
      </c>
      <c r="Q2" s="405" t="str" cm="1">
        <f t="array" ref="Q2">+_xlfn.IFS(O2="Nacional","CLP",O2="Extranjero","USD",O2="","")</f>
        <v/>
      </c>
      <c r="R2" s="406" t="str">
        <f>IFERROR(IF(O2="Nacional",VLOOKUP(P2,PRICING!$D$4:$E$59,2,FALSE),VLOOKUP(P2,PRICING!$J$4:$K$59,2,FALSE)),"")</f>
        <v/>
      </c>
      <c r="S2"/>
      <c r="T2" s="407"/>
      <c r="U2" s="406" t="str">
        <f t="shared" ref="U2:U62" si="1">IFERROR(+R2*(1-S2),"")</f>
        <v/>
      </c>
      <c r="V2" s="400"/>
      <c r="W2" s="408" t="str">
        <f t="shared" ref="W2:W62" si="2">+IF(U2="","","50"%)</f>
        <v/>
      </c>
      <c r="X2" s="409" t="str">
        <f t="shared" ref="X2:X63" si="3">+IF(W2="","",(1-W2))</f>
        <v/>
      </c>
    </row>
    <row r="3" spans="1:24" ht="16" x14ac:dyDescent="0.25">
      <c r="A3" s="399" t="str">
        <f>IF(B3="","",CONCATENATE("GBL",B3," - ",Mantenedor!E7))</f>
        <v>GBLGrupo 1 - 6</v>
      </c>
      <c r="B3" s="400" t="s">
        <v>196</v>
      </c>
      <c r="C3" s="400" t="s">
        <v>187</v>
      </c>
      <c r="D3" s="400" t="s">
        <v>215</v>
      </c>
      <c r="E3" s="400" t="s">
        <v>390</v>
      </c>
      <c r="F3" s="400"/>
      <c r="G3" s="400"/>
      <c r="H3" s="400" t="s">
        <v>224</v>
      </c>
      <c r="I3" s="400" t="s">
        <v>217</v>
      </c>
      <c r="J3" s="401">
        <v>45901</v>
      </c>
      <c r="K3" s="402">
        <v>45943</v>
      </c>
      <c r="L3" s="403">
        <v>5</v>
      </c>
      <c r="M3" s="404">
        <v>45948</v>
      </c>
      <c r="N3" s="400" t="s">
        <v>219</v>
      </c>
      <c r="O3" s="400" t="s">
        <v>222</v>
      </c>
      <c r="P3" s="399" t="str">
        <f t="shared" si="0"/>
        <v>Base SINGLE 5 noches</v>
      </c>
      <c r="Q3" s="405" t="str" cm="1">
        <f t="array" ref="Q3">+_xlfn.IFS(O3="Nacional","CLP",O3="Extranjero","USD",O3="","")</f>
        <v>CLP</v>
      </c>
      <c r="R3" s="406">
        <f>IFERROR(IF(O3="Nacional",VLOOKUP(P3,PRICING!$D$4:$E$59,2,FALSE),VLOOKUP(P3,PRICING!$J$4:$K$59,2,FALSE)),"")</f>
        <v>3010000</v>
      </c>
      <c r="S3"/>
      <c r="T3" s="407"/>
      <c r="U3" s="406">
        <f t="shared" si="1"/>
        <v>3010000</v>
      </c>
      <c r="V3" s="400"/>
      <c r="W3" s="408">
        <f t="shared" si="2"/>
        <v>0.5</v>
      </c>
      <c r="X3" s="409">
        <f t="shared" si="3"/>
        <v>0.5</v>
      </c>
    </row>
    <row r="4" spans="1:24" ht="16" x14ac:dyDescent="0.25">
      <c r="A4" s="399" t="str">
        <f>IF(B4="","",CONCATENATE("GBL",B4," - ",Mantenedor!E8))</f>
        <v>GBLGrupo 2 - 7</v>
      </c>
      <c r="B4" s="400" t="s">
        <v>313</v>
      </c>
      <c r="C4" s="400" t="s">
        <v>187</v>
      </c>
      <c r="D4" s="400" t="s">
        <v>215</v>
      </c>
      <c r="E4" s="400" t="s">
        <v>391</v>
      </c>
      <c r="F4" s="400"/>
      <c r="G4" s="400"/>
      <c r="H4" s="400" t="s">
        <v>224</v>
      </c>
      <c r="I4" s="400" t="s">
        <v>217</v>
      </c>
      <c r="J4" s="401">
        <v>45911</v>
      </c>
      <c r="K4" s="402">
        <v>45945</v>
      </c>
      <c r="L4" s="403">
        <v>4</v>
      </c>
      <c r="M4" s="404">
        <v>45949</v>
      </c>
      <c r="N4" s="400" t="s">
        <v>220</v>
      </c>
      <c r="O4" s="400" t="s">
        <v>222</v>
      </c>
      <c r="P4" s="399" t="str">
        <f t="shared" si="0"/>
        <v>Base DOBLE 4 noches</v>
      </c>
      <c r="Q4" s="405" t="str" cm="1">
        <f t="array" ref="Q4">+_xlfn.IFS(O4="Nacional","CLP",O4="Extranjero","USD",O4="","")</f>
        <v>CLP</v>
      </c>
      <c r="R4" s="406">
        <f>IFERROR(IF(O4="Nacional",VLOOKUP(P4,PRICING!$D$4:$E$59,2,FALSE),VLOOKUP(P4,PRICING!$J$4:$K$59,2,FALSE)),"")</f>
        <v>1750000</v>
      </c>
      <c r="S4"/>
      <c r="T4" s="407"/>
      <c r="U4" s="406">
        <f t="shared" si="1"/>
        <v>1750000</v>
      </c>
      <c r="V4" s="400"/>
      <c r="W4" s="408">
        <f t="shared" si="2"/>
        <v>0.5</v>
      </c>
      <c r="X4" s="409">
        <f t="shared" si="3"/>
        <v>0.5</v>
      </c>
    </row>
    <row r="5" spans="1:24" ht="16" x14ac:dyDescent="0.25">
      <c r="A5" s="399" t="str">
        <f>IF(B5="","",CONCATENATE("GBL",B5," - ",Mantenedor!E9))</f>
        <v>GBLGrupo 2 - 8</v>
      </c>
      <c r="B5" s="400" t="s">
        <v>313</v>
      </c>
      <c r="C5" s="400" t="s">
        <v>306</v>
      </c>
      <c r="D5" s="400" t="s">
        <v>215</v>
      </c>
      <c r="E5" s="400" t="s">
        <v>392</v>
      </c>
      <c r="F5" s="400"/>
      <c r="G5" s="400"/>
      <c r="H5" s="400" t="s">
        <v>224</v>
      </c>
      <c r="I5" s="400" t="s">
        <v>217</v>
      </c>
      <c r="J5" s="401">
        <v>45911</v>
      </c>
      <c r="K5" s="402">
        <v>45945</v>
      </c>
      <c r="L5" s="403">
        <v>4</v>
      </c>
      <c r="M5" s="404">
        <v>45949</v>
      </c>
      <c r="N5" s="400" t="s">
        <v>220</v>
      </c>
      <c r="O5" s="400" t="s">
        <v>222</v>
      </c>
      <c r="P5" s="399" t="str">
        <f t="shared" si="0"/>
        <v>Base DOBLE 4 noches</v>
      </c>
      <c r="Q5" s="405" t="str" cm="1">
        <f t="array" ref="Q5">+_xlfn.IFS(O5="Nacional","CLP",O5="Extranjero","USD",O5="","")</f>
        <v>CLP</v>
      </c>
      <c r="R5" s="406">
        <f>IFERROR(IF(O5="Nacional",VLOOKUP(P5,PRICING!$D$4:$E$59,2,FALSE),VLOOKUP(P5,PRICING!$J$4:$K$59,2,FALSE)),"")</f>
        <v>1750000</v>
      </c>
      <c r="S5"/>
      <c r="T5" s="407"/>
      <c r="U5" s="406">
        <f t="shared" si="1"/>
        <v>1750000</v>
      </c>
      <c r="V5" s="400"/>
      <c r="W5" s="408">
        <f t="shared" si="2"/>
        <v>0.5</v>
      </c>
      <c r="X5" s="409">
        <f t="shared" si="3"/>
        <v>0.5</v>
      </c>
    </row>
    <row r="6" spans="1:24" ht="16" x14ac:dyDescent="0.25">
      <c r="A6" s="399" t="str">
        <f>IF(B6="","",CONCATENATE("GBL",B6," - ",Mantenedor!E10))</f>
        <v>GBLGrupo 3 - 9</v>
      </c>
      <c r="B6" s="400" t="s">
        <v>314</v>
      </c>
      <c r="C6" s="400" t="s">
        <v>187</v>
      </c>
      <c r="D6" s="400" t="s">
        <v>215</v>
      </c>
      <c r="E6" s="400" t="s">
        <v>393</v>
      </c>
      <c r="F6" s="400"/>
      <c r="G6" s="400"/>
      <c r="H6" s="400" t="s">
        <v>224</v>
      </c>
      <c r="I6" s="400" t="s">
        <v>217</v>
      </c>
      <c r="J6" s="401">
        <v>45940</v>
      </c>
      <c r="K6" s="402">
        <v>45946</v>
      </c>
      <c r="L6" s="403">
        <v>3</v>
      </c>
      <c r="M6" s="404">
        <v>45949</v>
      </c>
      <c r="N6" s="400" t="s">
        <v>219</v>
      </c>
      <c r="O6" s="400" t="s">
        <v>222</v>
      </c>
      <c r="P6" s="399" t="str">
        <f t="shared" si="0"/>
        <v>Base SINGLE 3 noches</v>
      </c>
      <c r="Q6" s="405" t="str" cm="1">
        <f t="array" ref="Q6">+_xlfn.IFS(O6="Nacional","CLP",O6="Extranjero","USD",O6="","")</f>
        <v>CLP</v>
      </c>
      <c r="R6" s="406">
        <f>IFERROR(IF(O6="Nacional",VLOOKUP(P6,PRICING!$D$4:$E$59,2,FALSE),VLOOKUP(P6,PRICING!$J$4:$K$59,2,FALSE)),"")</f>
        <v>1889999.9999999998</v>
      </c>
      <c r="S6"/>
      <c r="T6" s="407"/>
      <c r="U6" s="406">
        <f t="shared" si="1"/>
        <v>1889999.9999999998</v>
      </c>
      <c r="V6" s="400"/>
      <c r="W6" s="408">
        <f t="shared" si="2"/>
        <v>0.5</v>
      </c>
      <c r="X6" s="409">
        <f t="shared" si="3"/>
        <v>0.5</v>
      </c>
    </row>
    <row r="7" spans="1:24" ht="16" x14ac:dyDescent="0.25">
      <c r="A7" s="399" t="str">
        <f>IF(B7="","",CONCATENATE("GBL",B7," - ",Mantenedor!E11))</f>
        <v>GBLGrupo 4 - 10</v>
      </c>
      <c r="B7" s="400" t="s">
        <v>315</v>
      </c>
      <c r="C7" s="400" t="s">
        <v>187</v>
      </c>
      <c r="D7" s="400" t="s">
        <v>215</v>
      </c>
      <c r="E7" s="400" t="s">
        <v>394</v>
      </c>
      <c r="F7" s="400"/>
      <c r="G7" s="400"/>
      <c r="H7" s="400" t="s">
        <v>224</v>
      </c>
      <c r="I7" s="400" t="s">
        <v>217</v>
      </c>
      <c r="J7" s="401">
        <v>45941</v>
      </c>
      <c r="K7" s="402">
        <v>45946</v>
      </c>
      <c r="L7" s="403">
        <v>4</v>
      </c>
      <c r="M7" s="404">
        <v>45950</v>
      </c>
      <c r="N7" s="400" t="s">
        <v>220</v>
      </c>
      <c r="O7" s="400" t="s">
        <v>222</v>
      </c>
      <c r="P7" s="399" t="str">
        <f t="shared" si="0"/>
        <v>Base DOBLE 4 noches</v>
      </c>
      <c r="Q7" s="405" t="str" cm="1">
        <f t="array" ref="Q7">+_xlfn.IFS(O7="Nacional","CLP",O7="Extranjero","USD",O7="","")</f>
        <v>CLP</v>
      </c>
      <c r="R7" s="406">
        <f>IFERROR(IF(O7="Nacional",VLOOKUP(P7,PRICING!$D$4:$E$59,2,FALSE),VLOOKUP(P7,PRICING!$J$4:$K$59,2,FALSE)),"")</f>
        <v>1750000</v>
      </c>
      <c r="S7"/>
      <c r="T7" s="407"/>
      <c r="U7" s="406">
        <f t="shared" si="1"/>
        <v>1750000</v>
      </c>
      <c r="V7" s="400"/>
      <c r="W7" s="408">
        <f t="shared" si="2"/>
        <v>0.5</v>
      </c>
      <c r="X7" s="409">
        <f t="shared" si="3"/>
        <v>0.5</v>
      </c>
    </row>
    <row r="8" spans="1:24" ht="16" x14ac:dyDescent="0.25">
      <c r="A8" s="399" t="str">
        <f>IF(B8="","",CONCATENATE("GBL",B8," - ",Mantenedor!E12))</f>
        <v>GBLGrupo 4 - 11</v>
      </c>
      <c r="B8" s="400" t="s">
        <v>315</v>
      </c>
      <c r="C8" s="400" t="s">
        <v>306</v>
      </c>
      <c r="D8" s="400" t="s">
        <v>215</v>
      </c>
      <c r="E8" s="400" t="s">
        <v>395</v>
      </c>
      <c r="F8" s="400"/>
      <c r="G8" s="400"/>
      <c r="H8" s="400" t="s">
        <v>224</v>
      </c>
      <c r="I8" s="400" t="s">
        <v>217</v>
      </c>
      <c r="J8" s="401">
        <v>45941</v>
      </c>
      <c r="K8" s="402">
        <v>45946</v>
      </c>
      <c r="L8" s="403">
        <v>4</v>
      </c>
      <c r="M8" s="404">
        <v>45950</v>
      </c>
      <c r="N8" s="400" t="s">
        <v>220</v>
      </c>
      <c r="O8" s="400" t="s">
        <v>222</v>
      </c>
      <c r="P8" s="399" t="str">
        <f t="shared" si="0"/>
        <v>Base DOBLE 4 noches</v>
      </c>
      <c r="Q8" s="405" t="str" cm="1">
        <f t="array" ref="Q8">+_xlfn.IFS(O8="Nacional","CLP",O8="Extranjero","USD",O8="","")</f>
        <v>CLP</v>
      </c>
      <c r="R8" s="406">
        <f>IFERROR(IF(O8="Nacional",VLOOKUP(P8,PRICING!$D$4:$E$59,2,FALSE),VLOOKUP(P8,PRICING!$J$4:$K$59,2,FALSE)),"")</f>
        <v>1750000</v>
      </c>
      <c r="S8"/>
      <c r="T8" s="407"/>
      <c r="U8" s="406">
        <f t="shared" si="1"/>
        <v>1750000</v>
      </c>
      <c r="V8" s="400"/>
      <c r="W8" s="408">
        <f t="shared" si="2"/>
        <v>0.5</v>
      </c>
      <c r="X8" s="409">
        <f t="shared" si="3"/>
        <v>0.5</v>
      </c>
    </row>
    <row r="9" spans="1:24" ht="16" x14ac:dyDescent="0.25">
      <c r="A9" s="399" t="str">
        <f>IF(B9="","",CONCATENATE("GBL",B9," - ",Mantenedor!E13))</f>
        <v>GBLGrupo 4 - 12</v>
      </c>
      <c r="B9" s="400" t="s">
        <v>315</v>
      </c>
      <c r="C9" s="400" t="s">
        <v>307</v>
      </c>
      <c r="D9" s="400" t="s">
        <v>215</v>
      </c>
      <c r="E9" s="400" t="s">
        <v>396</v>
      </c>
      <c r="F9" s="400"/>
      <c r="G9" s="400"/>
      <c r="H9" s="400" t="s">
        <v>224</v>
      </c>
      <c r="I9" s="400" t="s">
        <v>217</v>
      </c>
      <c r="J9" s="401">
        <v>45941</v>
      </c>
      <c r="K9" s="402">
        <v>45946</v>
      </c>
      <c r="L9" s="403">
        <v>4</v>
      </c>
      <c r="M9" s="404">
        <v>45950</v>
      </c>
      <c r="N9" s="400" t="s">
        <v>220</v>
      </c>
      <c r="O9" s="400" t="s">
        <v>222</v>
      </c>
      <c r="P9" s="399" t="str">
        <f t="shared" si="0"/>
        <v>Base DOBLE 4 noches</v>
      </c>
      <c r="Q9" s="405" t="str" cm="1">
        <f t="array" ref="Q9">+_xlfn.IFS(O9="Nacional","CLP",O9="Extranjero","USD",O9="","")</f>
        <v>CLP</v>
      </c>
      <c r="R9" s="406">
        <f>IFERROR(IF(O9="Nacional",VLOOKUP(P9,PRICING!$D$4:$E$59,2,FALSE),VLOOKUP(P9,PRICING!$J$4:$K$59,2,FALSE)),"")</f>
        <v>1750000</v>
      </c>
      <c r="S9"/>
      <c r="T9" s="407"/>
      <c r="U9" s="406">
        <f t="shared" si="1"/>
        <v>1750000</v>
      </c>
      <c r="V9" s="410"/>
      <c r="W9" s="408">
        <f t="shared" si="2"/>
        <v>0.5</v>
      </c>
      <c r="X9" s="409">
        <f t="shared" si="3"/>
        <v>0.5</v>
      </c>
    </row>
    <row r="10" spans="1:24" ht="16" x14ac:dyDescent="0.25">
      <c r="A10" s="399" t="str">
        <f>IF(B10="","",CONCATENATE("GBL",B10," - ",Mantenedor!E14))</f>
        <v>GBLGrupo 4 - 13</v>
      </c>
      <c r="B10" s="400" t="s">
        <v>315</v>
      </c>
      <c r="C10" s="400" t="s">
        <v>292</v>
      </c>
      <c r="D10" s="400" t="s">
        <v>215</v>
      </c>
      <c r="E10" s="400" t="s">
        <v>397</v>
      </c>
      <c r="F10" s="400"/>
      <c r="G10" s="400"/>
      <c r="H10" s="400" t="s">
        <v>224</v>
      </c>
      <c r="I10" s="400" t="s">
        <v>217</v>
      </c>
      <c r="J10" s="401">
        <v>45941</v>
      </c>
      <c r="K10" s="402">
        <v>45946</v>
      </c>
      <c r="L10" s="403">
        <v>4</v>
      </c>
      <c r="M10" s="404">
        <v>45950</v>
      </c>
      <c r="N10" s="400" t="s">
        <v>219</v>
      </c>
      <c r="O10" s="400" t="s">
        <v>222</v>
      </c>
      <c r="P10" s="399" t="str">
        <f t="shared" si="0"/>
        <v>Base SINGLE 4 noches</v>
      </c>
      <c r="Q10" s="405" t="str" cm="1">
        <f t="array" ref="Q10">+_xlfn.IFS(O10="Nacional","CLP",O10="Extranjero","USD",O10="","")</f>
        <v>CLP</v>
      </c>
      <c r="R10" s="406">
        <f>IFERROR(IF(O10="Nacional",VLOOKUP(P10,PRICING!$D$4:$E$59,2,FALSE),VLOOKUP(P10,PRICING!$J$4:$K$59,2,FALSE)),"")</f>
        <v>2450000</v>
      </c>
      <c r="S10"/>
      <c r="T10" s="407"/>
      <c r="U10" s="406">
        <f t="shared" si="1"/>
        <v>2450000</v>
      </c>
      <c r="V10" s="400"/>
      <c r="W10" s="408">
        <f t="shared" si="2"/>
        <v>0.5</v>
      </c>
      <c r="X10" s="409">
        <f t="shared" si="3"/>
        <v>0.5</v>
      </c>
    </row>
    <row r="11" spans="1:24" ht="16" x14ac:dyDescent="0.25">
      <c r="A11" s="399" t="str">
        <f>IF(B11="","",CONCATENATE("GBL",B11," - ",Mantenedor!E15))</f>
        <v>GBLGrupo 4 - 14</v>
      </c>
      <c r="B11" s="400" t="s">
        <v>315</v>
      </c>
      <c r="C11" s="400" t="s">
        <v>308</v>
      </c>
      <c r="D11" s="400" t="s">
        <v>215</v>
      </c>
      <c r="E11" s="400" t="s">
        <v>398</v>
      </c>
      <c r="F11" s="400"/>
      <c r="G11" s="400"/>
      <c r="H11" s="400" t="s">
        <v>224</v>
      </c>
      <c r="I11" s="400" t="s">
        <v>217</v>
      </c>
      <c r="J11" s="401">
        <v>45941</v>
      </c>
      <c r="K11" s="402">
        <v>45946</v>
      </c>
      <c r="L11" s="403">
        <v>4</v>
      </c>
      <c r="M11" s="404">
        <v>45950</v>
      </c>
      <c r="N11" s="400" t="s">
        <v>220</v>
      </c>
      <c r="O11" s="400" t="s">
        <v>222</v>
      </c>
      <c r="P11" s="399" t="str">
        <f t="shared" si="0"/>
        <v>Base DOBLE 4 noches</v>
      </c>
      <c r="Q11" s="405" t="str" cm="1">
        <f t="array" ref="Q11">+_xlfn.IFS(O11="Nacional","CLP",O11="Extranjero","USD",O11="","")</f>
        <v>CLP</v>
      </c>
      <c r="R11" s="406">
        <f>IFERROR(IF(O11="Nacional",VLOOKUP(P11,PRICING!$D$4:$E$59,2,FALSE),VLOOKUP(P11,PRICING!$J$4:$K$59,2,FALSE)),"")</f>
        <v>1750000</v>
      </c>
      <c r="S11"/>
      <c r="T11" s="407"/>
      <c r="U11" s="406">
        <f t="shared" si="1"/>
        <v>1750000</v>
      </c>
      <c r="V11" s="400"/>
      <c r="W11" s="408">
        <f t="shared" si="2"/>
        <v>0.5</v>
      </c>
      <c r="X11" s="409">
        <f t="shared" si="3"/>
        <v>0.5</v>
      </c>
    </row>
    <row r="12" spans="1:24" ht="16" x14ac:dyDescent="0.25">
      <c r="A12" s="399" t="str">
        <f>IF(B12="","",CONCATENATE("GBL",B12," - ",Mantenedor!E16))</f>
        <v>GBLGrupo 5 - 15</v>
      </c>
      <c r="B12" s="400" t="s">
        <v>316</v>
      </c>
      <c r="C12" s="400" t="s">
        <v>187</v>
      </c>
      <c r="D12" s="400" t="s">
        <v>215</v>
      </c>
      <c r="E12" s="400" t="s">
        <v>399</v>
      </c>
      <c r="F12" s="400"/>
      <c r="G12" s="400"/>
      <c r="H12" s="400" t="s">
        <v>224</v>
      </c>
      <c r="I12" s="400" t="s">
        <v>217</v>
      </c>
      <c r="J12" s="401">
        <v>45942</v>
      </c>
      <c r="K12" s="402">
        <v>45947</v>
      </c>
      <c r="L12" s="403">
        <v>3</v>
      </c>
      <c r="M12" s="404">
        <v>45950</v>
      </c>
      <c r="N12" s="400" t="s">
        <v>220</v>
      </c>
      <c r="O12" s="400" t="s">
        <v>222</v>
      </c>
      <c r="P12" s="399" t="str">
        <f t="shared" si="0"/>
        <v>Base DOBLE 3 noches</v>
      </c>
      <c r="Q12" s="405" t="str" cm="1">
        <f t="array" ref="Q12">+_xlfn.IFS(O12="Nacional","CLP",O12="Extranjero","USD",O12="","")</f>
        <v>CLP</v>
      </c>
      <c r="R12" s="406">
        <f>IFERROR(IF(O12="Nacional",VLOOKUP(P12,PRICING!$D$4:$E$59,2,FALSE),VLOOKUP(P12,PRICING!$J$4:$K$59,2,FALSE)),"")</f>
        <v>1350000</v>
      </c>
      <c r="S12"/>
      <c r="T12" s="407"/>
      <c r="U12" s="406">
        <f t="shared" si="1"/>
        <v>1350000</v>
      </c>
      <c r="V12" s="400"/>
      <c r="W12" s="408">
        <f t="shared" si="2"/>
        <v>0.5</v>
      </c>
      <c r="X12" s="409">
        <f t="shared" si="3"/>
        <v>0.5</v>
      </c>
    </row>
    <row r="13" spans="1:24" ht="16" x14ac:dyDescent="0.25">
      <c r="A13" s="399" t="str">
        <f>IF(B13="","",CONCATENATE("GBL",B13," - ",Mantenedor!E17))</f>
        <v>GBLGrupo 5 - 16</v>
      </c>
      <c r="B13" s="400" t="s">
        <v>316</v>
      </c>
      <c r="C13" s="400" t="s">
        <v>306</v>
      </c>
      <c r="D13" s="400" t="s">
        <v>215</v>
      </c>
      <c r="E13" s="400" t="s">
        <v>400</v>
      </c>
      <c r="F13" s="400"/>
      <c r="G13" s="400"/>
      <c r="H13" s="400" t="s">
        <v>224</v>
      </c>
      <c r="I13" s="400" t="s">
        <v>217</v>
      </c>
      <c r="J13" s="401">
        <v>45942</v>
      </c>
      <c r="K13" s="402">
        <v>45947</v>
      </c>
      <c r="L13" s="403">
        <v>3</v>
      </c>
      <c r="M13" s="404">
        <v>45950</v>
      </c>
      <c r="N13" s="400" t="s">
        <v>220</v>
      </c>
      <c r="O13" s="400" t="s">
        <v>222</v>
      </c>
      <c r="P13" s="399" t="str">
        <f t="shared" si="0"/>
        <v>Base DOBLE 3 noches</v>
      </c>
      <c r="Q13" s="405" t="str" cm="1">
        <f t="array" ref="Q13">+_xlfn.IFS(O13="Nacional","CLP",O13="Extranjero","USD",O13="","")</f>
        <v>CLP</v>
      </c>
      <c r="R13" s="406">
        <f>IFERROR(IF(O13="Nacional",VLOOKUP(P13,PRICING!$D$4:$E$59,2,FALSE),VLOOKUP(P13,PRICING!$J$4:$K$59,2,FALSE)),"")</f>
        <v>1350000</v>
      </c>
      <c r="S13"/>
      <c r="T13" s="407"/>
      <c r="U13" s="406">
        <f t="shared" si="1"/>
        <v>1350000</v>
      </c>
      <c r="V13" s="400"/>
      <c r="W13" s="408">
        <f t="shared" si="2"/>
        <v>0.5</v>
      </c>
      <c r="X13" s="409">
        <f t="shared" si="3"/>
        <v>0.5</v>
      </c>
    </row>
    <row r="14" spans="1:24" ht="16" x14ac:dyDescent="0.25">
      <c r="A14" s="399" t="str">
        <f>IF(B14="","",CONCATENATE("GBL",B14," - ",Mantenedor!E18))</f>
        <v>GBLGrupo 5 - 17</v>
      </c>
      <c r="B14" s="400" t="s">
        <v>316</v>
      </c>
      <c r="C14" s="400" t="s">
        <v>307</v>
      </c>
      <c r="D14" s="400" t="s">
        <v>215</v>
      </c>
      <c r="E14" s="400" t="s">
        <v>401</v>
      </c>
      <c r="F14" s="400"/>
      <c r="G14" s="400"/>
      <c r="H14" s="400" t="s">
        <v>224</v>
      </c>
      <c r="I14" s="400" t="s">
        <v>217</v>
      </c>
      <c r="J14" s="401">
        <v>45942</v>
      </c>
      <c r="K14" s="402">
        <v>45947</v>
      </c>
      <c r="L14" s="403">
        <v>3</v>
      </c>
      <c r="M14" s="404">
        <v>45950</v>
      </c>
      <c r="N14" s="400" t="s">
        <v>220</v>
      </c>
      <c r="O14" s="400" t="s">
        <v>222</v>
      </c>
      <c r="P14" s="399" t="str">
        <f t="shared" si="0"/>
        <v>Base DOBLE 3 noches</v>
      </c>
      <c r="Q14" s="405" t="str" cm="1">
        <f t="array" ref="Q14">+_xlfn.IFS(O14="Nacional","CLP",O14="Extranjero","USD",O14="","")</f>
        <v>CLP</v>
      </c>
      <c r="R14" s="406">
        <f>IFERROR(IF(O14="Nacional",VLOOKUP(P14,PRICING!$D$4:$E$59,2,FALSE),VLOOKUP(P14,PRICING!$J$4:$K$59,2,FALSE)),"")</f>
        <v>1350000</v>
      </c>
      <c r="S14"/>
      <c r="T14" s="407"/>
      <c r="U14" s="406">
        <f t="shared" si="1"/>
        <v>1350000</v>
      </c>
      <c r="V14" s="400"/>
      <c r="W14" s="408">
        <f t="shared" si="2"/>
        <v>0.5</v>
      </c>
      <c r="X14" s="409">
        <f t="shared" si="3"/>
        <v>0.5</v>
      </c>
    </row>
    <row r="15" spans="1:24" ht="16" x14ac:dyDescent="0.25">
      <c r="A15" s="399" t="str">
        <f>IF(B15="","",CONCATENATE("GBL",B15," - ",Mantenedor!E19))</f>
        <v>GBLGrupo 5 - 18</v>
      </c>
      <c r="B15" s="400" t="s">
        <v>316</v>
      </c>
      <c r="C15" s="400" t="s">
        <v>292</v>
      </c>
      <c r="D15" s="400" t="s">
        <v>215</v>
      </c>
      <c r="E15" s="400" t="s">
        <v>402</v>
      </c>
      <c r="F15" s="400"/>
      <c r="G15" s="400"/>
      <c r="H15" s="400" t="s">
        <v>224</v>
      </c>
      <c r="I15" s="400" t="s">
        <v>217</v>
      </c>
      <c r="J15" s="401">
        <v>45942</v>
      </c>
      <c r="K15" s="402">
        <v>45947</v>
      </c>
      <c r="L15" s="403">
        <v>3</v>
      </c>
      <c r="M15" s="404">
        <v>45950</v>
      </c>
      <c r="N15" s="400" t="s">
        <v>220</v>
      </c>
      <c r="O15" s="400" t="s">
        <v>222</v>
      </c>
      <c r="P15" s="399" t="str">
        <f t="shared" si="0"/>
        <v>Base DOBLE 3 noches</v>
      </c>
      <c r="Q15" s="405" t="str" cm="1">
        <f t="array" ref="Q15">+_xlfn.IFS(O15="Nacional","CLP",O15="Extranjero","USD",O15="","")</f>
        <v>CLP</v>
      </c>
      <c r="R15" s="406">
        <f>IFERROR(IF(O15="Nacional",VLOOKUP(P15,PRICING!$D$4:$E$59,2,FALSE),VLOOKUP(P15,PRICING!$J$4:$K$59,2,FALSE)),"")</f>
        <v>1350000</v>
      </c>
      <c r="S15"/>
      <c r="T15" s="407"/>
      <c r="U15" s="406">
        <f t="shared" si="1"/>
        <v>1350000</v>
      </c>
      <c r="V15" s="400"/>
      <c r="W15" s="408">
        <f t="shared" si="2"/>
        <v>0.5</v>
      </c>
      <c r="X15" s="409">
        <f t="shared" si="3"/>
        <v>0.5</v>
      </c>
    </row>
    <row r="16" spans="1:24" ht="16" x14ac:dyDescent="0.25">
      <c r="A16" s="399" t="str">
        <f>IF(B16="","",CONCATENATE("GBL",B16," - ",Mantenedor!E20))</f>
        <v>GBLGrupo 6 - 19</v>
      </c>
      <c r="B16" s="400" t="s">
        <v>317</v>
      </c>
      <c r="C16" s="400" t="s">
        <v>187</v>
      </c>
      <c r="D16" s="400" t="s">
        <v>215</v>
      </c>
      <c r="E16" s="400" t="s">
        <v>403</v>
      </c>
      <c r="F16" s="400"/>
      <c r="G16" s="400"/>
      <c r="H16" s="400"/>
      <c r="I16" s="400" t="s">
        <v>217</v>
      </c>
      <c r="J16" s="401">
        <v>45873</v>
      </c>
      <c r="K16" s="402">
        <v>45949</v>
      </c>
      <c r="L16" s="403">
        <v>6</v>
      </c>
      <c r="M16" s="404">
        <v>45955</v>
      </c>
      <c r="N16" s="400" t="s">
        <v>220</v>
      </c>
      <c r="O16" s="400" t="s">
        <v>222</v>
      </c>
      <c r="P16" s="399" t="str">
        <f t="shared" si="0"/>
        <v>Base DOBLE 6 noches</v>
      </c>
      <c r="Q16" s="405" t="str" cm="1">
        <f t="array" ref="Q16">+_xlfn.IFS(O16="Nacional","CLP",O16="Extranjero","USD",O16="","")</f>
        <v>CLP</v>
      </c>
      <c r="R16" s="406">
        <f>IFERROR(IF(O16="Nacional",VLOOKUP(P16,PRICING!$D$4:$E$59,2,FALSE),VLOOKUP(P16,PRICING!$J$4:$K$59,2,FALSE)),"")</f>
        <v>2550000</v>
      </c>
      <c r="S16"/>
      <c r="T16" s="407"/>
      <c r="U16" s="406">
        <f t="shared" si="1"/>
        <v>2550000</v>
      </c>
      <c r="V16" s="400"/>
      <c r="W16" s="408">
        <f t="shared" si="2"/>
        <v>0.5</v>
      </c>
      <c r="X16" s="409">
        <f t="shared" si="3"/>
        <v>0.5</v>
      </c>
    </row>
    <row r="17" spans="1:24" ht="16" x14ac:dyDescent="0.25">
      <c r="A17" s="399" t="str">
        <f>IF(B17="","",CONCATENATE("GBL",B17," - ",Mantenedor!E21))</f>
        <v/>
      </c>
      <c r="B17" s="400"/>
      <c r="C17" s="400"/>
      <c r="D17" s="400"/>
      <c r="E17" s="400"/>
      <c r="F17" s="400"/>
      <c r="G17" s="400"/>
      <c r="H17" s="400"/>
      <c r="I17" s="400"/>
      <c r="J17" s="401"/>
      <c r="K17" s="402"/>
      <c r="L17" s="403"/>
      <c r="M17" s="404"/>
      <c r="N17" s="400"/>
      <c r="O17" s="400"/>
      <c r="P17" s="399" t="str">
        <f t="shared" si="0"/>
        <v/>
      </c>
      <c r="Q17" s="405" t="str" cm="1">
        <f t="array" ref="Q17">+_xlfn.IFS(O17="Nacional","CLP",O17="Extranjero","USD",O17="","")</f>
        <v/>
      </c>
      <c r="R17" s="406" t="str">
        <f>IFERROR(IF(O17="Nacional",VLOOKUP(P17,PRICING!$D$4:$E$59,2,FALSE),VLOOKUP(P17,PRICING!$J$4:$K$59,2,FALSE)),"")</f>
        <v/>
      </c>
      <c r="S17"/>
      <c r="T17" s="407"/>
      <c r="U17" s="406" t="str">
        <f t="shared" si="1"/>
        <v/>
      </c>
      <c r="V17" s="400"/>
      <c r="W17" s="408" t="str">
        <f t="shared" si="2"/>
        <v/>
      </c>
      <c r="X17" s="409" t="str">
        <f t="shared" si="3"/>
        <v/>
      </c>
    </row>
    <row r="18" spans="1:24" ht="16" x14ac:dyDescent="0.25">
      <c r="A18" s="399" t="str">
        <f>IF(B18="","",CONCATENATE("GBL",B18," - ",Mantenedor!E22))</f>
        <v/>
      </c>
      <c r="B18" s="400"/>
      <c r="C18" s="400"/>
      <c r="D18" s="400"/>
      <c r="E18" s="400"/>
      <c r="F18" s="400"/>
      <c r="G18" s="400"/>
      <c r="H18" s="400"/>
      <c r="I18" s="400"/>
      <c r="J18" s="401"/>
      <c r="K18" s="402"/>
      <c r="L18" s="403"/>
      <c r="M18" s="404"/>
      <c r="N18" s="400"/>
      <c r="O18" s="400"/>
      <c r="P18" s="399" t="str">
        <f t="shared" si="0"/>
        <v/>
      </c>
      <c r="Q18" s="405" t="str" cm="1">
        <f t="array" ref="Q18">+_xlfn.IFS(O18="Nacional","CLP",O18="Extranjero","USD",O18="","")</f>
        <v/>
      </c>
      <c r="R18" s="406" t="str">
        <f>IFERROR(IF(O18="Nacional",VLOOKUP(P18,PRICING!$D$4:$E$59,2,FALSE),VLOOKUP(P18,PRICING!$J$4:$K$59,2,FALSE)),"")</f>
        <v/>
      </c>
      <c r="S18"/>
      <c r="T18" s="407"/>
      <c r="U18" s="406" t="str">
        <f t="shared" si="1"/>
        <v/>
      </c>
      <c r="V18" s="400"/>
      <c r="W18" s="408" t="str">
        <f t="shared" si="2"/>
        <v/>
      </c>
      <c r="X18" s="409" t="str">
        <f t="shared" si="3"/>
        <v/>
      </c>
    </row>
    <row r="19" spans="1:24" ht="16" x14ac:dyDescent="0.25">
      <c r="A19" s="399" t="str">
        <f>IF(B19="","",CONCATENATE("GBL",B19," - ",Mantenedor!E23))</f>
        <v/>
      </c>
      <c r="B19" s="400"/>
      <c r="C19" s="400"/>
      <c r="D19" s="400"/>
      <c r="E19" s="400"/>
      <c r="F19" s="400"/>
      <c r="G19" s="400"/>
      <c r="H19" s="400"/>
      <c r="I19" s="400"/>
      <c r="J19" s="401"/>
      <c r="K19" s="402"/>
      <c r="L19" s="403"/>
      <c r="M19" s="404"/>
      <c r="N19" s="400"/>
      <c r="O19" s="400"/>
      <c r="P19" s="399" t="str">
        <f t="shared" si="0"/>
        <v/>
      </c>
      <c r="Q19" s="405" t="str" cm="1">
        <f t="array" ref="Q19">+_xlfn.IFS(O19="Nacional","CLP",O19="Extranjero","USD",O19="","")</f>
        <v/>
      </c>
      <c r="R19" s="406" t="str">
        <f>IFERROR(IF(O19="Nacional",VLOOKUP(P19,PRICING!$D$4:$E$59,2,FALSE),VLOOKUP(P19,PRICING!$J$4:$K$59,2,FALSE)),"")</f>
        <v/>
      </c>
      <c r="S19"/>
      <c r="T19" s="407"/>
      <c r="U19" s="406" t="str">
        <f t="shared" si="1"/>
        <v/>
      </c>
      <c r="V19" s="400"/>
      <c r="W19" s="408" t="str">
        <f t="shared" si="2"/>
        <v/>
      </c>
      <c r="X19" s="409" t="str">
        <f t="shared" si="3"/>
        <v/>
      </c>
    </row>
    <row r="20" spans="1:24" ht="16" x14ac:dyDescent="0.25">
      <c r="A20" s="399" t="str">
        <f>IF(B20="","",CONCATENATE("GBL",B20," - ",Mantenedor!E24))</f>
        <v/>
      </c>
      <c r="B20" s="400"/>
      <c r="C20" s="400"/>
      <c r="D20" s="400"/>
      <c r="E20" s="400"/>
      <c r="F20" s="400"/>
      <c r="G20" s="400"/>
      <c r="H20" s="400"/>
      <c r="I20" s="400"/>
      <c r="J20" s="401"/>
      <c r="K20" s="402"/>
      <c r="L20" s="403"/>
      <c r="M20" s="404"/>
      <c r="N20" s="400"/>
      <c r="O20" s="400"/>
      <c r="P20" s="399" t="str">
        <f t="shared" si="0"/>
        <v/>
      </c>
      <c r="Q20" s="405" t="str" cm="1">
        <f t="array" ref="Q20">+_xlfn.IFS(O20="Nacional","CLP",O20="Extranjero","USD",O20="","")</f>
        <v/>
      </c>
      <c r="R20" s="406" t="str">
        <f>IFERROR(IF(O20="Nacional",VLOOKUP(P20,PRICING!$D$4:$E$59,2,FALSE),VLOOKUP(P20,PRICING!$J$4:$K$59,2,FALSE)),"")</f>
        <v/>
      </c>
      <c r="S20"/>
      <c r="T20" s="407"/>
      <c r="U20" s="406" t="str">
        <f t="shared" si="1"/>
        <v/>
      </c>
      <c r="V20" s="400"/>
      <c r="W20" s="408" t="str">
        <f t="shared" si="2"/>
        <v/>
      </c>
      <c r="X20" s="409" t="str">
        <f t="shared" si="3"/>
        <v/>
      </c>
    </row>
    <row r="21" spans="1:24" ht="16" x14ac:dyDescent="0.25">
      <c r="A21" s="399" t="str">
        <f>IF(B21="","",CONCATENATE("GBL",B21," - ",Mantenedor!E25))</f>
        <v/>
      </c>
      <c r="B21" s="400"/>
      <c r="C21" s="400"/>
      <c r="D21" s="400"/>
      <c r="E21" s="400"/>
      <c r="F21" s="400"/>
      <c r="G21" s="400"/>
      <c r="H21" s="400"/>
      <c r="I21" s="400"/>
      <c r="J21" s="401"/>
      <c r="K21" s="402"/>
      <c r="L21" s="403"/>
      <c r="M21" s="404"/>
      <c r="N21" s="400"/>
      <c r="O21" s="400"/>
      <c r="P21" s="399" t="str">
        <f t="shared" si="0"/>
        <v/>
      </c>
      <c r="Q21" s="405" t="str" cm="1">
        <f t="array" ref="Q21">+_xlfn.IFS(O21="Nacional","CLP",O21="Extranjero","USD",O21="","")</f>
        <v/>
      </c>
      <c r="R21" s="406" t="str">
        <f>IFERROR(IF(O21="Nacional",VLOOKUP(P21,PRICING!$D$4:$E$59,2,FALSE),VLOOKUP(P21,PRICING!$J$4:$K$59,2,FALSE)),"")</f>
        <v/>
      </c>
      <c r="S21"/>
      <c r="T21" s="407"/>
      <c r="U21" s="406" t="str">
        <f t="shared" si="1"/>
        <v/>
      </c>
      <c r="V21" s="400"/>
      <c r="W21" s="408" t="str">
        <f t="shared" si="2"/>
        <v/>
      </c>
      <c r="X21" s="409" t="str">
        <f t="shared" si="3"/>
        <v/>
      </c>
    </row>
    <row r="22" spans="1:24" ht="16" x14ac:dyDescent="0.25">
      <c r="A22" s="399" t="str">
        <f>IF(B22="","",CONCATENATE("GBL",B22," - ",Mantenedor!E26))</f>
        <v/>
      </c>
      <c r="B22" s="400"/>
      <c r="C22" s="400"/>
      <c r="D22" s="400"/>
      <c r="E22" s="400"/>
      <c r="F22" s="400"/>
      <c r="G22" s="400"/>
      <c r="H22" s="400"/>
      <c r="I22" s="400"/>
      <c r="J22" s="401"/>
      <c r="K22" s="402"/>
      <c r="L22" s="403"/>
      <c r="M22" s="404"/>
      <c r="N22" s="400"/>
      <c r="O22" s="400"/>
      <c r="P22" s="399" t="str">
        <f t="shared" si="0"/>
        <v/>
      </c>
      <c r="Q22" s="405" t="str" cm="1">
        <f t="array" ref="Q22">+_xlfn.IFS(O22="Nacional","CLP",O22="Extranjero","USD",O22="","")</f>
        <v/>
      </c>
      <c r="R22" s="406" t="str">
        <f>IFERROR(IF(O22="Nacional",VLOOKUP(P22,PRICING!$D$4:$E$59,2,FALSE),VLOOKUP(P22,PRICING!$J$4:$K$59,2,FALSE)),"")</f>
        <v/>
      </c>
      <c r="S22"/>
      <c r="T22" s="407"/>
      <c r="U22" s="406" t="str">
        <f t="shared" si="1"/>
        <v/>
      </c>
      <c r="V22" s="400"/>
      <c r="W22" s="408" t="str">
        <f t="shared" si="2"/>
        <v/>
      </c>
      <c r="X22" s="409" t="str">
        <f t="shared" si="3"/>
        <v/>
      </c>
    </row>
    <row r="23" spans="1:24" ht="16" x14ac:dyDescent="0.25">
      <c r="A23" s="399" t="str">
        <f>IF(B23="","",CONCATENATE("GBL",B23," - ",Mantenedor!E27))</f>
        <v/>
      </c>
      <c r="B23" s="400"/>
      <c r="C23" s="400"/>
      <c r="D23" s="400"/>
      <c r="E23" s="400"/>
      <c r="F23" s="400"/>
      <c r="G23" s="400"/>
      <c r="H23" s="400"/>
      <c r="I23" s="400"/>
      <c r="J23" s="401"/>
      <c r="K23" s="402"/>
      <c r="L23" s="403"/>
      <c r="M23" s="404"/>
      <c r="N23" s="400"/>
      <c r="O23" s="400"/>
      <c r="P23" s="399" t="str">
        <f t="shared" si="0"/>
        <v/>
      </c>
      <c r="Q23" s="405" t="str" cm="1">
        <f t="array" ref="Q23">+_xlfn.IFS(O23="Nacional","CLP",O23="Extranjero","USD",O23="","")</f>
        <v/>
      </c>
      <c r="R23" s="406" t="str">
        <f>IFERROR(IF(O23="Nacional",VLOOKUP(P23,PRICING!$D$4:$E$59,2,FALSE),VLOOKUP(P23,PRICING!$J$4:$K$59,2,FALSE)),"")</f>
        <v/>
      </c>
      <c r="S23"/>
      <c r="T23" s="407"/>
      <c r="U23" s="406" t="str">
        <f t="shared" si="1"/>
        <v/>
      </c>
      <c r="V23" s="400"/>
      <c r="W23" s="408" t="str">
        <f t="shared" si="2"/>
        <v/>
      </c>
      <c r="X23" s="409" t="str">
        <f t="shared" si="3"/>
        <v/>
      </c>
    </row>
    <row r="24" spans="1:24" ht="16" x14ac:dyDescent="0.25">
      <c r="A24" s="399" t="str">
        <f>IF(B24="","",CONCATENATE("GBL",B24," - ",Mantenedor!E28))</f>
        <v/>
      </c>
      <c r="B24" s="400"/>
      <c r="C24" s="400"/>
      <c r="D24" s="400"/>
      <c r="E24" s="400"/>
      <c r="F24" s="400"/>
      <c r="G24" s="400"/>
      <c r="H24" s="400"/>
      <c r="I24" s="400"/>
      <c r="J24" s="401"/>
      <c r="K24" s="402"/>
      <c r="L24" s="403"/>
      <c r="M24" s="404"/>
      <c r="N24" s="400"/>
      <c r="O24" s="400"/>
      <c r="P24" s="399" t="str">
        <f t="shared" si="0"/>
        <v/>
      </c>
      <c r="Q24" s="405" t="str" cm="1">
        <f t="array" ref="Q24">+_xlfn.IFS(O24="Nacional","CLP",O24="Extranjero","USD",O24="","")</f>
        <v/>
      </c>
      <c r="R24" s="406" t="str">
        <f>IFERROR(IF(O24="Nacional",VLOOKUP(P24,PRICING!$D$4:$E$59,2,FALSE),VLOOKUP(P24,PRICING!$J$4:$K$59,2,FALSE)),"")</f>
        <v/>
      </c>
      <c r="S24"/>
      <c r="T24" s="407"/>
      <c r="U24" s="406" t="str">
        <f t="shared" si="1"/>
        <v/>
      </c>
      <c r="V24" s="400"/>
      <c r="W24" s="408" t="str">
        <f t="shared" si="2"/>
        <v/>
      </c>
      <c r="X24" s="409" t="str">
        <f t="shared" si="3"/>
        <v/>
      </c>
    </row>
    <row r="25" spans="1:24" ht="16" x14ac:dyDescent="0.25">
      <c r="A25" s="399" t="str">
        <f>IF(B25="","",CONCATENATE("GBL",B25," - ",Mantenedor!E29))</f>
        <v/>
      </c>
      <c r="B25" s="400"/>
      <c r="C25" s="400"/>
      <c r="D25" s="400"/>
      <c r="E25" s="400"/>
      <c r="F25" s="400"/>
      <c r="G25" s="400"/>
      <c r="H25" s="400"/>
      <c r="I25" s="400"/>
      <c r="J25" s="401"/>
      <c r="K25" s="402"/>
      <c r="L25" s="403"/>
      <c r="M25" s="404"/>
      <c r="N25" s="400"/>
      <c r="O25" s="400"/>
      <c r="P25" s="399" t="str">
        <f t="shared" si="0"/>
        <v/>
      </c>
      <c r="Q25" s="405" t="str" cm="1">
        <f t="array" ref="Q25">+_xlfn.IFS(O25="Nacional","CLP",O25="Extranjero","USD",O25="","")</f>
        <v/>
      </c>
      <c r="R25" s="406" t="str">
        <f>IFERROR(IF(O25="Nacional",VLOOKUP(P25,PRICING!$D$4:$E$59,2,FALSE),VLOOKUP(P25,PRICING!$J$4:$K$59,2,FALSE)),"")</f>
        <v/>
      </c>
      <c r="S25"/>
      <c r="T25" s="407"/>
      <c r="U25" s="406" t="str">
        <f t="shared" si="1"/>
        <v/>
      </c>
      <c r="V25" s="400"/>
      <c r="W25" s="408" t="str">
        <f t="shared" si="2"/>
        <v/>
      </c>
      <c r="X25" s="409" t="str">
        <f t="shared" si="3"/>
        <v/>
      </c>
    </row>
    <row r="26" spans="1:24" ht="16" x14ac:dyDescent="0.25">
      <c r="A26" s="399" t="str">
        <f>IF(B26="","",CONCATENATE("GBL",B26," - ",Mantenedor!E30))</f>
        <v/>
      </c>
      <c r="B26" s="400"/>
      <c r="C26" s="400"/>
      <c r="D26" s="400"/>
      <c r="E26" s="400"/>
      <c r="F26" s="400"/>
      <c r="G26" s="400"/>
      <c r="H26" s="400"/>
      <c r="I26" s="400"/>
      <c r="J26" s="401"/>
      <c r="K26" s="402"/>
      <c r="L26" s="403"/>
      <c r="M26" s="404"/>
      <c r="N26" s="400"/>
      <c r="O26" s="400"/>
      <c r="P26" s="399" t="str">
        <f t="shared" si="0"/>
        <v/>
      </c>
      <c r="Q26" s="405" t="str" cm="1">
        <f t="array" ref="Q26">+_xlfn.IFS(O26="Nacional","CLP",O26="Extranjero","USD",O26="","")</f>
        <v/>
      </c>
      <c r="R26" s="406" t="str">
        <f>IFERROR(IF(O26="Nacional",VLOOKUP(P26,PRICING!$D$4:$E$59,2,FALSE),VLOOKUP(P26,PRICING!$J$4:$K$59,2,FALSE)),"")</f>
        <v/>
      </c>
      <c r="S26"/>
      <c r="T26" s="407"/>
      <c r="U26" s="406" t="str">
        <f t="shared" si="1"/>
        <v/>
      </c>
      <c r="V26" s="400"/>
      <c r="W26" s="408" t="str">
        <f t="shared" si="2"/>
        <v/>
      </c>
      <c r="X26" s="409" t="str">
        <f t="shared" si="3"/>
        <v/>
      </c>
    </row>
    <row r="27" spans="1:24" ht="16" x14ac:dyDescent="0.25">
      <c r="A27" s="399" t="str">
        <f>IF(B27="","",CONCATENATE("GBL",B27," - ",Mantenedor!E31))</f>
        <v/>
      </c>
      <c r="B27" s="400"/>
      <c r="C27" s="400"/>
      <c r="D27" s="400"/>
      <c r="E27" s="400"/>
      <c r="F27" s="400"/>
      <c r="G27" s="400"/>
      <c r="H27" s="400"/>
      <c r="I27" s="400"/>
      <c r="J27" s="401"/>
      <c r="K27" s="402"/>
      <c r="L27" s="403"/>
      <c r="M27" s="404"/>
      <c r="N27" s="400"/>
      <c r="O27" s="400"/>
      <c r="P27" s="399" t="str">
        <f t="shared" si="0"/>
        <v/>
      </c>
      <c r="Q27" s="405" t="str" cm="1">
        <f t="array" ref="Q27">+_xlfn.IFS(O27="Nacional","CLP",O27="Extranjero","USD",O27="","")</f>
        <v/>
      </c>
      <c r="R27" s="406" t="str">
        <f>IFERROR(IF(O27="Nacional",VLOOKUP(P27,PRICING!$D$4:$E$59,2,FALSE),VLOOKUP(P27,PRICING!$J$4:$K$59,2,FALSE)),"")</f>
        <v/>
      </c>
      <c r="S27"/>
      <c r="T27" s="407"/>
      <c r="U27" s="406" t="str">
        <f t="shared" si="1"/>
        <v/>
      </c>
      <c r="V27" s="400"/>
      <c r="W27" s="408" t="str">
        <f t="shared" si="2"/>
        <v/>
      </c>
      <c r="X27" s="409" t="str">
        <f t="shared" si="3"/>
        <v/>
      </c>
    </row>
    <row r="28" spans="1:24" ht="16" x14ac:dyDescent="0.25">
      <c r="A28" s="399" t="str">
        <f>IF(B28="","",CONCATENATE("GBL",B28," - ",Mantenedor!E32))</f>
        <v/>
      </c>
      <c r="B28" s="400"/>
      <c r="C28" s="400"/>
      <c r="D28" s="400"/>
      <c r="E28" s="400"/>
      <c r="F28" s="400"/>
      <c r="G28" s="400"/>
      <c r="H28" s="400"/>
      <c r="I28" s="400"/>
      <c r="J28" s="401"/>
      <c r="K28" s="402"/>
      <c r="L28" s="403"/>
      <c r="M28" s="404"/>
      <c r="N28" s="400"/>
      <c r="O28" s="400"/>
      <c r="P28" s="399" t="str">
        <f t="shared" si="0"/>
        <v/>
      </c>
      <c r="Q28" s="405" t="str" cm="1">
        <f t="array" ref="Q28">+_xlfn.IFS(O28="Nacional","CLP",O28="Extranjero","USD",O28="","")</f>
        <v/>
      </c>
      <c r="R28" s="406" t="str">
        <f>IFERROR(IF(O28="Nacional",VLOOKUP(P28,PRICING!$D$4:$E$59,2,FALSE),VLOOKUP(P28,PRICING!$J$4:$K$59,2,FALSE)),"")</f>
        <v/>
      </c>
      <c r="S28"/>
      <c r="T28" s="407"/>
      <c r="U28" s="406" t="str">
        <f t="shared" si="1"/>
        <v/>
      </c>
      <c r="V28" s="400"/>
      <c r="W28" s="408" t="str">
        <f t="shared" si="2"/>
        <v/>
      </c>
      <c r="X28" s="409" t="str">
        <f t="shared" si="3"/>
        <v/>
      </c>
    </row>
    <row r="29" spans="1:24" ht="16" x14ac:dyDescent="0.25">
      <c r="A29" s="399" t="str">
        <f>IF(B29="","",CONCATENATE("GBL",B29," - ",Mantenedor!E33))</f>
        <v/>
      </c>
      <c r="B29" s="400"/>
      <c r="C29" s="400"/>
      <c r="D29" s="400"/>
      <c r="E29" s="400"/>
      <c r="F29" s="400"/>
      <c r="G29" s="400"/>
      <c r="H29" s="400"/>
      <c r="I29" s="400"/>
      <c r="J29" s="401"/>
      <c r="K29" s="402"/>
      <c r="L29" s="403"/>
      <c r="M29" s="404"/>
      <c r="N29" s="400"/>
      <c r="O29" s="400"/>
      <c r="P29" s="399" t="str">
        <f t="shared" si="0"/>
        <v/>
      </c>
      <c r="Q29" s="405" t="str" cm="1">
        <f t="array" ref="Q29">+_xlfn.IFS(O29="Nacional","CLP",O29="Extranjero","USD",O29="","")</f>
        <v/>
      </c>
      <c r="R29" s="406" t="str">
        <f>IFERROR(IF(O29="Nacional",VLOOKUP(P29,PRICING!$D$4:$E$59,2,FALSE),VLOOKUP(P29,PRICING!$J$4:$K$59,2,FALSE)),"")</f>
        <v/>
      </c>
      <c r="S29"/>
      <c r="T29" s="407"/>
      <c r="U29" s="406" t="str">
        <f t="shared" si="1"/>
        <v/>
      </c>
      <c r="V29" s="400"/>
      <c r="W29" s="408" t="str">
        <f t="shared" si="2"/>
        <v/>
      </c>
      <c r="X29" s="409" t="str">
        <f t="shared" si="3"/>
        <v/>
      </c>
    </row>
    <row r="30" spans="1:24" ht="16" x14ac:dyDescent="0.25">
      <c r="A30" s="399" t="str">
        <f>IF(B30="","",CONCATENATE("GBL",B30," - ",Mantenedor!E34))</f>
        <v/>
      </c>
      <c r="B30" s="400"/>
      <c r="C30" s="400"/>
      <c r="D30" s="400"/>
      <c r="E30" s="400"/>
      <c r="F30" s="400"/>
      <c r="G30" s="400"/>
      <c r="H30" s="400"/>
      <c r="I30" s="400"/>
      <c r="J30" s="401"/>
      <c r="K30" s="402"/>
      <c r="L30" s="403"/>
      <c r="M30" s="404"/>
      <c r="N30" s="400"/>
      <c r="O30" s="400"/>
      <c r="P30" s="399" t="str">
        <f t="shared" si="0"/>
        <v/>
      </c>
      <c r="Q30" s="405" t="str" cm="1">
        <f t="array" ref="Q30">+_xlfn.IFS(O30="Nacional","CLP",O30="Extranjero","USD",O30="","")</f>
        <v/>
      </c>
      <c r="R30" s="406" t="str">
        <f>IFERROR(IF(O30="Nacional",VLOOKUP(P30,PRICING!$D$4:$E$59,2,FALSE),VLOOKUP(P30,PRICING!$J$4:$K$59,2,FALSE)),"")</f>
        <v/>
      </c>
      <c r="S30"/>
      <c r="T30" s="407"/>
      <c r="U30" s="406" t="str">
        <f t="shared" si="1"/>
        <v/>
      </c>
      <c r="V30" s="400"/>
      <c r="W30" s="408" t="str">
        <f t="shared" si="2"/>
        <v/>
      </c>
      <c r="X30" s="409" t="str">
        <f t="shared" si="3"/>
        <v/>
      </c>
    </row>
    <row r="31" spans="1:24" ht="16" x14ac:dyDescent="0.25">
      <c r="A31" s="399" t="str">
        <f>IF(B31="","",CONCATENATE("GBL",B31," - ",Mantenedor!E35))</f>
        <v/>
      </c>
      <c r="B31" s="400"/>
      <c r="C31" s="400"/>
      <c r="D31" s="400"/>
      <c r="E31" s="400"/>
      <c r="F31" s="400"/>
      <c r="G31" s="400"/>
      <c r="H31" s="400"/>
      <c r="I31" s="400"/>
      <c r="J31" s="401"/>
      <c r="K31" s="402"/>
      <c r="L31" s="403"/>
      <c r="M31" s="404"/>
      <c r="N31" s="400"/>
      <c r="O31" s="400"/>
      <c r="P31" s="399" t="str">
        <f t="shared" si="0"/>
        <v/>
      </c>
      <c r="Q31" s="405" t="str" cm="1">
        <f t="array" ref="Q31">+_xlfn.IFS(O31="Nacional","CLP",O31="Extranjero","USD",O31="","")</f>
        <v/>
      </c>
      <c r="R31" s="406" t="str">
        <f>IFERROR(IF(O31="Nacional",VLOOKUP(P31,PRICING!$D$4:$E$59,2,FALSE),VLOOKUP(P31,PRICING!$J$4:$K$59,2,FALSE)),"")</f>
        <v/>
      </c>
      <c r="S31"/>
      <c r="T31" s="407"/>
      <c r="U31" s="406" t="str">
        <f t="shared" si="1"/>
        <v/>
      </c>
      <c r="V31" s="400"/>
      <c r="W31" s="408" t="str">
        <f t="shared" si="2"/>
        <v/>
      </c>
      <c r="X31" s="409" t="str">
        <f t="shared" si="3"/>
        <v/>
      </c>
    </row>
    <row r="32" spans="1:24" ht="16" x14ac:dyDescent="0.25">
      <c r="A32" s="399" t="str">
        <f>IF(B32="","",CONCATENATE("GBL",B32," - ",Mantenedor!E36))</f>
        <v/>
      </c>
      <c r="B32" s="400"/>
      <c r="C32" s="400"/>
      <c r="D32" s="400"/>
      <c r="E32" s="400"/>
      <c r="F32" s="400"/>
      <c r="G32" s="400"/>
      <c r="H32" s="400"/>
      <c r="I32" s="400"/>
      <c r="J32" s="401"/>
      <c r="K32" s="402"/>
      <c r="L32" s="403"/>
      <c r="M32" s="404"/>
      <c r="N32" s="400"/>
      <c r="O32" s="400"/>
      <c r="P32" s="399" t="str">
        <f t="shared" si="0"/>
        <v/>
      </c>
      <c r="Q32" s="405" t="str" cm="1">
        <f t="array" ref="Q32">+_xlfn.IFS(O32="Nacional","CLP",O32="Extranjero","USD",O32="","")</f>
        <v/>
      </c>
      <c r="R32" s="406" t="str">
        <f>IFERROR(IF(O32="Nacional",VLOOKUP(P32,PRICING!$D$4:$E$59,2,FALSE),VLOOKUP(P32,PRICING!$J$4:$K$59,2,FALSE)),"")</f>
        <v/>
      </c>
      <c r="S32"/>
      <c r="T32" s="407"/>
      <c r="U32" s="406" t="str">
        <f t="shared" si="1"/>
        <v/>
      </c>
      <c r="V32" s="400"/>
      <c r="W32" s="408" t="str">
        <f t="shared" si="2"/>
        <v/>
      </c>
      <c r="X32" s="409" t="str">
        <f t="shared" si="3"/>
        <v/>
      </c>
    </row>
    <row r="33" spans="1:24" ht="16" x14ac:dyDescent="0.25">
      <c r="A33" s="399" t="str">
        <f>IF(B33="","",CONCATENATE("GBL",B33," - ",Mantenedor!E37))</f>
        <v/>
      </c>
      <c r="B33" s="400"/>
      <c r="C33" s="400"/>
      <c r="D33" s="400"/>
      <c r="E33" s="400"/>
      <c r="F33" s="400"/>
      <c r="G33" s="400"/>
      <c r="H33" s="400"/>
      <c r="I33" s="400"/>
      <c r="J33" s="401"/>
      <c r="K33" s="402"/>
      <c r="L33" s="403"/>
      <c r="M33" s="404"/>
      <c r="N33" s="400"/>
      <c r="O33" s="400"/>
      <c r="P33" s="399" t="str">
        <f t="shared" si="0"/>
        <v/>
      </c>
      <c r="Q33" s="405" t="str" cm="1">
        <f t="array" ref="Q33">+_xlfn.IFS(O33="Nacional","CLP",O33="Extranjero","USD",O33="","")</f>
        <v/>
      </c>
      <c r="R33" s="406" t="str">
        <f>IFERROR(IF(O33="Nacional",VLOOKUP(P33,PRICING!$D$4:$E$59,2,FALSE),VLOOKUP(P33,PRICING!$J$4:$K$59,2,FALSE)),"")</f>
        <v/>
      </c>
      <c r="S33"/>
      <c r="T33" s="407"/>
      <c r="U33" s="406" t="str">
        <f t="shared" si="1"/>
        <v/>
      </c>
      <c r="V33" s="400"/>
      <c r="W33" s="408" t="str">
        <f t="shared" si="2"/>
        <v/>
      </c>
      <c r="X33" s="409" t="str">
        <f t="shared" si="3"/>
        <v/>
      </c>
    </row>
    <row r="34" spans="1:24" ht="16" x14ac:dyDescent="0.25">
      <c r="A34" s="399" t="str">
        <f>IF(B34="","",CONCATENATE("GBL",B34," - ",Mantenedor!E38))</f>
        <v/>
      </c>
      <c r="B34" s="400"/>
      <c r="C34" s="400"/>
      <c r="D34" s="400"/>
      <c r="E34" s="400"/>
      <c r="F34" s="400"/>
      <c r="G34" s="400"/>
      <c r="H34" s="400"/>
      <c r="I34" s="400"/>
      <c r="J34" s="401"/>
      <c r="K34" s="402"/>
      <c r="L34" s="403"/>
      <c r="M34" s="404"/>
      <c r="N34" s="400"/>
      <c r="O34" s="400"/>
      <c r="P34" s="399" t="str">
        <f t="shared" si="0"/>
        <v/>
      </c>
      <c r="Q34" s="405" t="str" cm="1">
        <f t="array" ref="Q34">+_xlfn.IFS(O34="Nacional","CLP",O34="Extranjero","USD",O34="","")</f>
        <v/>
      </c>
      <c r="R34" s="406" t="str">
        <f>IFERROR(IF(O34="Nacional",VLOOKUP(P34,PRICING!$D$4:$E$59,2,FALSE),VLOOKUP(P34,PRICING!$J$4:$K$59,2,FALSE)),"")</f>
        <v/>
      </c>
      <c r="S34"/>
      <c r="T34" s="407"/>
      <c r="U34" s="406" t="str">
        <f t="shared" si="1"/>
        <v/>
      </c>
      <c r="V34" s="400"/>
      <c r="W34" s="408" t="str">
        <f t="shared" si="2"/>
        <v/>
      </c>
      <c r="X34" s="409" t="str">
        <f t="shared" si="3"/>
        <v/>
      </c>
    </row>
    <row r="35" spans="1:24" ht="16" x14ac:dyDescent="0.25">
      <c r="A35" s="399" t="str">
        <f>IF(B35="","",CONCATENATE("GBL",B35," - ",Mantenedor!E39))</f>
        <v/>
      </c>
      <c r="B35" s="400"/>
      <c r="C35" s="400"/>
      <c r="D35" s="400"/>
      <c r="E35" s="400"/>
      <c r="F35" s="400"/>
      <c r="G35" s="400"/>
      <c r="H35" s="400"/>
      <c r="I35" s="400"/>
      <c r="J35" s="401"/>
      <c r="K35" s="402"/>
      <c r="L35" s="403"/>
      <c r="M35" s="404"/>
      <c r="N35" s="400"/>
      <c r="O35" s="400"/>
      <c r="P35" s="399" t="str">
        <f t="shared" si="0"/>
        <v/>
      </c>
      <c r="Q35" s="405" t="str" cm="1">
        <f t="array" ref="Q35">+_xlfn.IFS(O35="Nacional","CLP",O35="Extranjero","USD",O35="","")</f>
        <v/>
      </c>
      <c r="R35" s="406" t="str">
        <f>IFERROR(IF(O35="Nacional",VLOOKUP(P35,PRICING!$D$4:$E$59,2,FALSE),VLOOKUP(P35,PRICING!$J$4:$K$59,2,FALSE)),"")</f>
        <v/>
      </c>
      <c r="S35"/>
      <c r="T35" s="407"/>
      <c r="U35" s="406" t="str">
        <f t="shared" si="1"/>
        <v/>
      </c>
      <c r="V35" s="400"/>
      <c r="W35" s="408" t="str">
        <f t="shared" si="2"/>
        <v/>
      </c>
      <c r="X35" s="409" t="str">
        <f t="shared" si="3"/>
        <v/>
      </c>
    </row>
    <row r="36" spans="1:24" ht="16" x14ac:dyDescent="0.25">
      <c r="A36" s="399" t="str">
        <f>IF(B36="","",CONCATENATE("GBL",B36," - ",Mantenedor!E40))</f>
        <v/>
      </c>
      <c r="B36" s="400"/>
      <c r="C36" s="400"/>
      <c r="D36" s="400"/>
      <c r="E36" s="400"/>
      <c r="F36" s="400"/>
      <c r="G36" s="400"/>
      <c r="H36" s="400"/>
      <c r="I36" s="400"/>
      <c r="J36" s="401"/>
      <c r="K36" s="402"/>
      <c r="L36" s="403"/>
      <c r="M36" s="404"/>
      <c r="N36" s="400"/>
      <c r="O36" s="400"/>
      <c r="P36" s="399" t="str">
        <f t="shared" si="0"/>
        <v/>
      </c>
      <c r="Q36" s="405" t="str" cm="1">
        <f t="array" ref="Q36">+_xlfn.IFS(O36="Nacional","CLP",O36="Extranjero","USD",O36="","")</f>
        <v/>
      </c>
      <c r="R36" s="406" t="str">
        <f>IFERROR(IF(O36="Nacional",VLOOKUP(P36,PRICING!$D$4:$E$59,2,FALSE),VLOOKUP(P36,PRICING!$J$4:$K$59,2,FALSE)),"")</f>
        <v/>
      </c>
      <c r="S36"/>
      <c r="T36" s="407"/>
      <c r="U36" s="406" t="str">
        <f t="shared" si="1"/>
        <v/>
      </c>
      <c r="V36" s="400"/>
      <c r="W36" s="408" t="str">
        <f t="shared" si="2"/>
        <v/>
      </c>
      <c r="X36" s="409" t="str">
        <f t="shared" si="3"/>
        <v/>
      </c>
    </row>
    <row r="37" spans="1:24" ht="16" x14ac:dyDescent="0.25">
      <c r="A37" s="399" t="str">
        <f>IF(B37="","",CONCATENATE("GBL",B37," - ",Mantenedor!E41))</f>
        <v/>
      </c>
      <c r="B37" s="400"/>
      <c r="C37" s="400"/>
      <c r="D37" s="400"/>
      <c r="E37" s="400"/>
      <c r="F37" s="400"/>
      <c r="G37" s="400"/>
      <c r="H37" s="400"/>
      <c r="I37" s="400"/>
      <c r="J37" s="401"/>
      <c r="K37" s="402"/>
      <c r="L37" s="403"/>
      <c r="M37" s="404"/>
      <c r="N37" s="400"/>
      <c r="O37" s="400"/>
      <c r="P37" s="399" t="str">
        <f t="shared" si="0"/>
        <v/>
      </c>
      <c r="Q37" s="405" t="str" cm="1">
        <f t="array" ref="Q37">+_xlfn.IFS(O37="Nacional","CLP",O37="Extranjero","USD",O37="","")</f>
        <v/>
      </c>
      <c r="R37" s="406" t="str">
        <f>IFERROR(IF(O37="Nacional",VLOOKUP(P37,PRICING!$D$4:$E$59,2,FALSE),VLOOKUP(P37,PRICING!$J$4:$K$59,2,FALSE)),"")</f>
        <v/>
      </c>
      <c r="S37"/>
      <c r="T37" s="407"/>
      <c r="U37" s="406" t="str">
        <f t="shared" si="1"/>
        <v/>
      </c>
      <c r="V37" s="400"/>
      <c r="W37" s="408" t="str">
        <f t="shared" si="2"/>
        <v/>
      </c>
      <c r="X37" s="409" t="str">
        <f t="shared" si="3"/>
        <v/>
      </c>
    </row>
    <row r="38" spans="1:24" ht="16" x14ac:dyDescent="0.25">
      <c r="A38" s="399" t="str">
        <f>IF(B38="","",CONCATENATE("GBL",B38," - ",Mantenedor!E42))</f>
        <v/>
      </c>
      <c r="B38" s="400"/>
      <c r="C38" s="400"/>
      <c r="D38" s="400"/>
      <c r="E38" s="400"/>
      <c r="F38" s="400"/>
      <c r="G38" s="400"/>
      <c r="H38" s="400"/>
      <c r="I38" s="400"/>
      <c r="J38" s="401"/>
      <c r="K38" s="402"/>
      <c r="L38" s="403"/>
      <c r="M38" s="404"/>
      <c r="N38" s="400"/>
      <c r="O38" s="400"/>
      <c r="P38" s="399" t="str">
        <f t="shared" si="0"/>
        <v/>
      </c>
      <c r="Q38" s="405" t="str" cm="1">
        <f t="array" ref="Q38">+_xlfn.IFS(O38="Nacional","CLP",O38="Extranjero","USD",O38="","")</f>
        <v/>
      </c>
      <c r="R38" s="406" t="str">
        <f>IFERROR(IF(O38="Nacional",VLOOKUP(P38,PRICING!$D$4:$E$59,2,FALSE),VLOOKUP(P38,PRICING!$J$4:$K$59,2,FALSE)),"")</f>
        <v/>
      </c>
      <c r="S38"/>
      <c r="T38" s="407"/>
      <c r="U38" s="406" t="str">
        <f t="shared" si="1"/>
        <v/>
      </c>
      <c r="V38" s="400"/>
      <c r="W38" s="408" t="str">
        <f t="shared" si="2"/>
        <v/>
      </c>
      <c r="X38" s="409" t="str">
        <f t="shared" si="3"/>
        <v/>
      </c>
    </row>
    <row r="39" spans="1:24" ht="16" x14ac:dyDescent="0.25">
      <c r="A39" s="399" t="str">
        <f>IF(B39="","",CONCATENATE("GBL",B39," - ",Mantenedor!E43))</f>
        <v/>
      </c>
      <c r="B39" s="400"/>
      <c r="C39" s="400"/>
      <c r="D39" s="400"/>
      <c r="E39" s="400"/>
      <c r="F39" s="400"/>
      <c r="G39" s="400"/>
      <c r="H39" s="400"/>
      <c r="I39" s="400"/>
      <c r="J39" s="401"/>
      <c r="K39" s="402"/>
      <c r="L39" s="403"/>
      <c r="M39" s="404"/>
      <c r="N39" s="400"/>
      <c r="O39" s="400"/>
      <c r="P39" s="399" t="str">
        <f t="shared" si="0"/>
        <v/>
      </c>
      <c r="Q39" s="405" t="str" cm="1">
        <f t="array" ref="Q39">+_xlfn.IFS(O39="Nacional","CLP",O39="Extranjero","USD",O39="","")</f>
        <v/>
      </c>
      <c r="R39" s="406" t="str">
        <f>IFERROR(IF(O39="Nacional",VLOOKUP(P39,PRICING!$D$4:$E$59,2,FALSE),VLOOKUP(P39,PRICING!$J$4:$K$59,2,FALSE)),"")</f>
        <v/>
      </c>
      <c r="S39"/>
      <c r="T39" s="407"/>
      <c r="U39" s="406" t="str">
        <f t="shared" si="1"/>
        <v/>
      </c>
      <c r="V39" s="400"/>
      <c r="W39" s="408" t="str">
        <f t="shared" si="2"/>
        <v/>
      </c>
      <c r="X39" s="409" t="str">
        <f t="shared" si="3"/>
        <v/>
      </c>
    </row>
    <row r="40" spans="1:24" ht="16" x14ac:dyDescent="0.25">
      <c r="A40" s="399" t="str">
        <f>IF(B40="","",CONCATENATE("GBL",B40," - ",Mantenedor!E44))</f>
        <v/>
      </c>
      <c r="B40" s="400"/>
      <c r="C40" s="400"/>
      <c r="D40" s="400"/>
      <c r="E40" s="400"/>
      <c r="F40" s="400"/>
      <c r="G40" s="400"/>
      <c r="H40" s="400"/>
      <c r="I40" s="400"/>
      <c r="J40" s="401"/>
      <c r="K40" s="402"/>
      <c r="L40" s="403"/>
      <c r="M40" s="404"/>
      <c r="N40" s="400"/>
      <c r="O40" s="400"/>
      <c r="P40" s="399" t="str">
        <f t="shared" si="0"/>
        <v/>
      </c>
      <c r="Q40" s="405" t="str" cm="1">
        <f t="array" ref="Q40">+_xlfn.IFS(O40="Nacional","CLP",O40="Extranjero","USD",O40="","")</f>
        <v/>
      </c>
      <c r="R40" s="406" t="str">
        <f>IFERROR(IF(O40="Nacional",VLOOKUP(P40,PRICING!$D$4:$E$59,2,FALSE),VLOOKUP(P40,PRICING!$J$4:$K$59,2,FALSE)),"")</f>
        <v/>
      </c>
      <c r="S40"/>
      <c r="T40" s="407"/>
      <c r="U40" s="406" t="str">
        <f t="shared" si="1"/>
        <v/>
      </c>
      <c r="V40" s="400"/>
      <c r="W40" s="408" t="str">
        <f t="shared" si="2"/>
        <v/>
      </c>
      <c r="X40" s="409" t="str">
        <f t="shared" si="3"/>
        <v/>
      </c>
    </row>
    <row r="41" spans="1:24" ht="16" x14ac:dyDescent="0.25">
      <c r="A41" s="399" t="str">
        <f>IF(B41="","",CONCATENATE("GBL",B41," - ",Mantenedor!E45))</f>
        <v/>
      </c>
      <c r="B41" s="400"/>
      <c r="C41" s="400"/>
      <c r="D41" s="400"/>
      <c r="E41" s="400"/>
      <c r="F41" s="400"/>
      <c r="G41" s="400"/>
      <c r="H41" s="400"/>
      <c r="I41" s="400"/>
      <c r="J41" s="401"/>
      <c r="K41" s="402"/>
      <c r="L41" s="403"/>
      <c r="M41" s="404"/>
      <c r="N41" s="400"/>
      <c r="O41" s="400"/>
      <c r="P41" s="399" t="str">
        <f t="shared" si="0"/>
        <v/>
      </c>
      <c r="Q41" s="405" t="str" cm="1">
        <f t="array" ref="Q41">+_xlfn.IFS(O41="Nacional","CLP",O41="Extranjero","USD",O41="","")</f>
        <v/>
      </c>
      <c r="R41" s="406" t="str">
        <f>IFERROR(IF(O41="Nacional",VLOOKUP(P41,PRICING!$D$4:$E$59,2,FALSE),VLOOKUP(P41,PRICING!$J$4:$K$59,2,FALSE)),"")</f>
        <v/>
      </c>
      <c r="S41"/>
      <c r="T41" s="407"/>
      <c r="U41" s="406" t="str">
        <f t="shared" si="1"/>
        <v/>
      </c>
      <c r="V41" s="400"/>
      <c r="W41" s="408" t="str">
        <f t="shared" si="2"/>
        <v/>
      </c>
      <c r="X41" s="409" t="str">
        <f t="shared" si="3"/>
        <v/>
      </c>
    </row>
    <row r="42" spans="1:24" ht="16" x14ac:dyDescent="0.25">
      <c r="A42" s="399" t="str">
        <f>IF(B42="","",CONCATENATE("GBL",B42," - ",Mantenedor!E46))</f>
        <v/>
      </c>
      <c r="B42" s="400"/>
      <c r="C42" s="400"/>
      <c r="D42" s="400"/>
      <c r="E42" s="400"/>
      <c r="F42" s="400"/>
      <c r="G42" s="400"/>
      <c r="H42" s="400"/>
      <c r="I42" s="400"/>
      <c r="J42" s="401"/>
      <c r="K42" s="402"/>
      <c r="L42" s="403"/>
      <c r="M42" s="404"/>
      <c r="N42" s="400"/>
      <c r="O42" s="400"/>
      <c r="P42" s="399" t="str">
        <f t="shared" si="0"/>
        <v/>
      </c>
      <c r="Q42" s="405" t="str" cm="1">
        <f t="array" ref="Q42">+_xlfn.IFS(O42="Nacional","CLP",O42="Extranjero","USD",O42="","")</f>
        <v/>
      </c>
      <c r="R42" s="406" t="str">
        <f>IFERROR(IF(O42="Nacional",VLOOKUP(P42,PRICING!$D$4:$E$59,2,FALSE),VLOOKUP(P42,PRICING!$J$4:$K$59,2,FALSE)),"")</f>
        <v/>
      </c>
      <c r="S42"/>
      <c r="T42" s="407"/>
      <c r="U42" s="406" t="str">
        <f t="shared" si="1"/>
        <v/>
      </c>
      <c r="V42" s="400"/>
      <c r="W42" s="408" t="str">
        <f t="shared" si="2"/>
        <v/>
      </c>
      <c r="X42" s="409" t="str">
        <f t="shared" si="3"/>
        <v/>
      </c>
    </row>
    <row r="43" spans="1:24" ht="16" x14ac:dyDescent="0.25">
      <c r="A43" s="399" t="str">
        <f>IF(B43="","",CONCATENATE("GBL",B43," - ",Mantenedor!E47))</f>
        <v/>
      </c>
      <c r="B43" s="400"/>
      <c r="C43" s="400"/>
      <c r="D43" s="400"/>
      <c r="E43" s="400"/>
      <c r="F43" s="400"/>
      <c r="G43" s="400"/>
      <c r="H43" s="400"/>
      <c r="I43" s="400"/>
      <c r="J43" s="401"/>
      <c r="K43" s="402"/>
      <c r="L43" s="403"/>
      <c r="M43" s="404"/>
      <c r="N43" s="400"/>
      <c r="O43" s="400"/>
      <c r="P43" s="399" t="str">
        <f t="shared" si="0"/>
        <v/>
      </c>
      <c r="Q43" s="405" t="str" cm="1">
        <f t="array" ref="Q43">+_xlfn.IFS(O43="Nacional","CLP",O43="Extranjero","USD",O43="","")</f>
        <v/>
      </c>
      <c r="R43" s="406" t="str">
        <f>IFERROR(IF(O43="Nacional",VLOOKUP(P43,PRICING!$D$4:$E$59,2,FALSE),VLOOKUP(P43,PRICING!$J$4:$K$59,2,FALSE)),"")</f>
        <v/>
      </c>
      <c r="S43"/>
      <c r="T43" s="407"/>
      <c r="U43" s="406" t="str">
        <f t="shared" si="1"/>
        <v/>
      </c>
      <c r="V43" s="400"/>
      <c r="W43" s="408" t="str">
        <f t="shared" si="2"/>
        <v/>
      </c>
      <c r="X43" s="409" t="str">
        <f t="shared" si="3"/>
        <v/>
      </c>
    </row>
    <row r="44" spans="1:24" ht="16" x14ac:dyDescent="0.25">
      <c r="A44" s="399" t="str">
        <f>IF(B44="","",CONCATENATE("GBL",B44," - ",Mantenedor!E48))</f>
        <v/>
      </c>
      <c r="B44" s="400"/>
      <c r="C44" s="400"/>
      <c r="D44" s="400"/>
      <c r="E44" s="400"/>
      <c r="F44" s="400"/>
      <c r="G44" s="400"/>
      <c r="H44" s="400"/>
      <c r="I44" s="400"/>
      <c r="J44" s="401"/>
      <c r="K44" s="402"/>
      <c r="L44" s="403"/>
      <c r="M44" s="404"/>
      <c r="N44" s="400"/>
      <c r="O44" s="400"/>
      <c r="P44" s="399" t="str">
        <f t="shared" si="0"/>
        <v/>
      </c>
      <c r="Q44" s="405" t="str" cm="1">
        <f t="array" ref="Q44">+_xlfn.IFS(O44="Nacional","CLP",O44="Extranjero","USD",O44="","")</f>
        <v/>
      </c>
      <c r="R44" s="406" t="str">
        <f>IFERROR(IF(O44="Nacional",VLOOKUP(P44,PRICING!$D$4:$E$59,2,FALSE),VLOOKUP(P44,PRICING!$J$4:$K$59,2,FALSE)),"")</f>
        <v/>
      </c>
      <c r="S44"/>
      <c r="T44" s="407"/>
      <c r="U44" s="406" t="str">
        <f t="shared" si="1"/>
        <v/>
      </c>
      <c r="V44" s="400"/>
      <c r="W44" s="408" t="str">
        <f t="shared" si="2"/>
        <v/>
      </c>
      <c r="X44" s="409" t="str">
        <f t="shared" si="3"/>
        <v/>
      </c>
    </row>
    <row r="45" spans="1:24" ht="16" x14ac:dyDescent="0.25">
      <c r="A45" s="399" t="str">
        <f>IF(B45="","",CONCATENATE("GBL",B45," - ",Mantenedor!E49))</f>
        <v/>
      </c>
      <c r="B45" s="400"/>
      <c r="C45" s="400"/>
      <c r="D45" s="400"/>
      <c r="E45" s="400"/>
      <c r="F45" s="400"/>
      <c r="G45" s="400"/>
      <c r="H45" s="400"/>
      <c r="I45" s="400"/>
      <c r="J45" s="401"/>
      <c r="K45" s="402"/>
      <c r="L45" s="403"/>
      <c r="M45" s="404"/>
      <c r="N45" s="400"/>
      <c r="O45" s="400"/>
      <c r="P45" s="399" t="str">
        <f t="shared" si="0"/>
        <v/>
      </c>
      <c r="Q45" s="405" t="str" cm="1">
        <f t="array" ref="Q45">+_xlfn.IFS(O45="Nacional","CLP",O45="Extranjero","USD",O45="","")</f>
        <v/>
      </c>
      <c r="R45" s="406" t="str">
        <f>IFERROR(IF(O45="Nacional",VLOOKUP(P45,PRICING!$D$4:$E$59,2,FALSE),VLOOKUP(P45,PRICING!$J$4:$K$59,2,FALSE)),"")</f>
        <v/>
      </c>
      <c r="S45"/>
      <c r="T45" s="407"/>
      <c r="U45" s="406" t="str">
        <f t="shared" si="1"/>
        <v/>
      </c>
      <c r="V45" s="400"/>
      <c r="W45" s="408" t="str">
        <f t="shared" si="2"/>
        <v/>
      </c>
      <c r="X45" s="409" t="str">
        <f t="shared" si="3"/>
        <v/>
      </c>
    </row>
    <row r="46" spans="1:24" ht="16" x14ac:dyDescent="0.25">
      <c r="A46" s="399" t="str">
        <f>IF(B46="","",CONCATENATE("GBL",B46," - ",Mantenedor!E50))</f>
        <v/>
      </c>
      <c r="B46" s="400"/>
      <c r="C46" s="400"/>
      <c r="D46" s="400"/>
      <c r="E46" s="400"/>
      <c r="F46" s="400"/>
      <c r="G46" s="400"/>
      <c r="H46" s="400"/>
      <c r="I46" s="400"/>
      <c r="J46" s="401"/>
      <c r="K46" s="402"/>
      <c r="L46" s="403"/>
      <c r="M46" s="404"/>
      <c r="N46" s="400"/>
      <c r="O46" s="400"/>
      <c r="P46" s="399" t="str">
        <f t="shared" si="0"/>
        <v/>
      </c>
      <c r="Q46" s="405" t="str" cm="1">
        <f t="array" ref="Q46">+_xlfn.IFS(O46="Nacional","CLP",O46="Extranjero","USD",O46="","")</f>
        <v/>
      </c>
      <c r="R46" s="406" t="str">
        <f>IFERROR(IF(O46="Nacional",VLOOKUP(P46,PRICING!$D$4:$E$59,2,FALSE),VLOOKUP(P46,PRICING!$J$4:$K$59,2,FALSE)),"")</f>
        <v/>
      </c>
      <c r="S46"/>
      <c r="T46" s="407"/>
      <c r="U46" s="406" t="str">
        <f t="shared" si="1"/>
        <v/>
      </c>
      <c r="V46" s="400"/>
      <c r="W46" s="408" t="str">
        <f t="shared" si="2"/>
        <v/>
      </c>
      <c r="X46" s="409" t="str">
        <f t="shared" si="3"/>
        <v/>
      </c>
    </row>
    <row r="47" spans="1:24" ht="16" x14ac:dyDescent="0.25">
      <c r="A47" s="399" t="str">
        <f>IF(B47="","",CONCATENATE("GBL",B47," - ",Mantenedor!E51))</f>
        <v/>
      </c>
      <c r="B47" s="400"/>
      <c r="C47" s="400"/>
      <c r="D47" s="400"/>
      <c r="E47" s="400"/>
      <c r="F47" s="400"/>
      <c r="G47" s="400"/>
      <c r="H47" s="400"/>
      <c r="I47" s="400"/>
      <c r="J47" s="401"/>
      <c r="K47" s="402"/>
      <c r="L47" s="403"/>
      <c r="M47" s="404"/>
      <c r="N47" s="400"/>
      <c r="O47" s="400"/>
      <c r="P47" s="399" t="str">
        <f t="shared" si="0"/>
        <v/>
      </c>
      <c r="Q47" s="405" t="str" cm="1">
        <f t="array" ref="Q47">+_xlfn.IFS(O47="Nacional","CLP",O47="Extranjero","USD",O47="","")</f>
        <v/>
      </c>
      <c r="R47" s="406" t="str">
        <f>IFERROR(IF(O47="Nacional",VLOOKUP(P47,PRICING!$D$4:$E$59,2,FALSE),VLOOKUP(P47,PRICING!$J$4:$K$59,2,FALSE)),"")</f>
        <v/>
      </c>
      <c r="S47"/>
      <c r="T47" s="407"/>
      <c r="U47" s="406" t="str">
        <f t="shared" si="1"/>
        <v/>
      </c>
      <c r="V47" s="400"/>
      <c r="W47" s="408" t="str">
        <f t="shared" si="2"/>
        <v/>
      </c>
      <c r="X47" s="409" t="str">
        <f t="shared" si="3"/>
        <v/>
      </c>
    </row>
    <row r="48" spans="1:24" ht="16" x14ac:dyDescent="0.25">
      <c r="A48" s="399" t="str">
        <f>IF(B48="","",CONCATENATE("GBL",B48," - ",Mantenedor!E52))</f>
        <v/>
      </c>
      <c r="B48" s="400"/>
      <c r="C48" s="400"/>
      <c r="D48" s="400"/>
      <c r="E48" s="400"/>
      <c r="F48" s="400"/>
      <c r="G48" s="400"/>
      <c r="H48" s="400"/>
      <c r="I48" s="400"/>
      <c r="J48" s="401"/>
      <c r="K48" s="402"/>
      <c r="L48" s="403"/>
      <c r="M48" s="404"/>
      <c r="N48" s="400"/>
      <c r="O48" s="400"/>
      <c r="P48" s="399" t="str">
        <f t="shared" si="0"/>
        <v/>
      </c>
      <c r="Q48" s="405" t="str" cm="1">
        <f t="array" ref="Q48">+_xlfn.IFS(O48="Nacional","CLP",O48="Extranjero","USD",O48="","")</f>
        <v/>
      </c>
      <c r="R48" s="406" t="str">
        <f>IFERROR(IF(O48="Nacional",VLOOKUP(P48,PRICING!$D$4:$E$59,2,FALSE),VLOOKUP(P48,PRICING!$J$4:$K$59,2,FALSE)),"")</f>
        <v/>
      </c>
      <c r="S48"/>
      <c r="T48" s="407"/>
      <c r="U48" s="406" t="str">
        <f t="shared" si="1"/>
        <v/>
      </c>
      <c r="V48" s="400"/>
      <c r="W48" s="408" t="str">
        <f t="shared" si="2"/>
        <v/>
      </c>
      <c r="X48" s="409" t="str">
        <f t="shared" si="3"/>
        <v/>
      </c>
    </row>
    <row r="49" spans="1:24" ht="16" x14ac:dyDescent="0.25">
      <c r="A49" s="399" t="str">
        <f>IF(B49="","",CONCATENATE("GBL",B49," - ",Mantenedor!E53))</f>
        <v/>
      </c>
      <c r="B49" s="400"/>
      <c r="C49" s="400"/>
      <c r="D49" s="400"/>
      <c r="E49" s="400"/>
      <c r="F49" s="400"/>
      <c r="G49" s="400"/>
      <c r="H49" s="400"/>
      <c r="I49" s="400"/>
      <c r="J49" s="401"/>
      <c r="K49" s="402"/>
      <c r="L49" s="403"/>
      <c r="M49" s="404"/>
      <c r="N49" s="400"/>
      <c r="O49" s="400"/>
      <c r="P49" s="399" t="str">
        <f t="shared" si="0"/>
        <v/>
      </c>
      <c r="Q49" s="405" t="str" cm="1">
        <f t="array" ref="Q49">+_xlfn.IFS(O49="Nacional","CLP",O49="Extranjero","USD",O49="","")</f>
        <v/>
      </c>
      <c r="R49" s="406" t="str">
        <f>IFERROR(IF(O49="Nacional",VLOOKUP(P49,PRICING!$D$4:$E$59,2,FALSE),VLOOKUP(P49,PRICING!$J$4:$K$59,2,FALSE)),"")</f>
        <v/>
      </c>
      <c r="S49"/>
      <c r="T49" s="407"/>
      <c r="U49" s="406" t="str">
        <f t="shared" si="1"/>
        <v/>
      </c>
      <c r="V49" s="400"/>
      <c r="W49" s="408" t="str">
        <f t="shared" si="2"/>
        <v/>
      </c>
      <c r="X49" s="409" t="str">
        <f t="shared" si="3"/>
        <v/>
      </c>
    </row>
    <row r="50" spans="1:24" ht="16" x14ac:dyDescent="0.25">
      <c r="A50" s="399" t="str">
        <f>IF(B50="","",CONCATENATE("GBL",B50," - ",Mantenedor!E54))</f>
        <v/>
      </c>
      <c r="B50" s="400"/>
      <c r="C50" s="400"/>
      <c r="D50" s="400"/>
      <c r="E50" s="400"/>
      <c r="F50" s="400"/>
      <c r="G50" s="400"/>
      <c r="H50" s="400"/>
      <c r="I50" s="400"/>
      <c r="J50" s="401"/>
      <c r="K50" s="402"/>
      <c r="L50" s="403"/>
      <c r="M50" s="404"/>
      <c r="N50" s="400"/>
      <c r="O50" s="400"/>
      <c r="P50" s="399" t="str">
        <f t="shared" si="0"/>
        <v/>
      </c>
      <c r="Q50" s="405" t="str" cm="1">
        <f t="array" ref="Q50">+_xlfn.IFS(O50="Nacional","CLP",O50="Extranjero","USD",O50="","")</f>
        <v/>
      </c>
      <c r="R50" s="406" t="str">
        <f>IFERROR(IF(O50="Nacional",VLOOKUP(P50,PRICING!$D$4:$E$59,2,FALSE),VLOOKUP(P50,PRICING!$J$4:$K$59,2,FALSE)),"")</f>
        <v/>
      </c>
      <c r="S50"/>
      <c r="T50" s="407"/>
      <c r="U50" s="406" t="str">
        <f t="shared" si="1"/>
        <v/>
      </c>
      <c r="V50" s="400"/>
      <c r="W50" s="408" t="str">
        <f t="shared" si="2"/>
        <v/>
      </c>
      <c r="X50" s="409" t="str">
        <f t="shared" si="3"/>
        <v/>
      </c>
    </row>
    <row r="51" spans="1:24" ht="16" x14ac:dyDescent="0.25">
      <c r="A51" s="399" t="str">
        <f>IF(B51="","",CONCATENATE("GBL",B51," - ",Mantenedor!E55))</f>
        <v/>
      </c>
      <c r="B51" s="400"/>
      <c r="C51" s="400"/>
      <c r="D51" s="400"/>
      <c r="E51" s="400"/>
      <c r="F51" s="400"/>
      <c r="G51" s="400"/>
      <c r="H51" s="400"/>
      <c r="I51" s="400"/>
      <c r="J51" s="401"/>
      <c r="K51" s="402"/>
      <c r="L51" s="403"/>
      <c r="M51" s="404"/>
      <c r="N51" s="400"/>
      <c r="O51" s="400"/>
      <c r="P51" s="399" t="str">
        <f t="shared" si="0"/>
        <v/>
      </c>
      <c r="Q51" s="405" t="str" cm="1">
        <f t="array" ref="Q51">+_xlfn.IFS(O51="Nacional","CLP",O51="Extranjero","USD",O51="","")</f>
        <v/>
      </c>
      <c r="R51" s="406" t="str">
        <f>IFERROR(IF(O51="Nacional",VLOOKUP(P51,PRICING!$D$4:$E$59,2,FALSE),VLOOKUP(P51,PRICING!$J$4:$K$59,2,FALSE)),"")</f>
        <v/>
      </c>
      <c r="S51"/>
      <c r="T51" s="407"/>
      <c r="U51" s="406" t="str">
        <f t="shared" si="1"/>
        <v/>
      </c>
      <c r="V51" s="400"/>
      <c r="W51" s="408" t="str">
        <f t="shared" si="2"/>
        <v/>
      </c>
      <c r="X51" s="409" t="str">
        <f t="shared" si="3"/>
        <v/>
      </c>
    </row>
    <row r="52" spans="1:24" ht="16" x14ac:dyDescent="0.25">
      <c r="A52" s="399" t="str">
        <f>IF(B52="","",CONCATENATE("GBL",B52," - ",Mantenedor!E56))</f>
        <v/>
      </c>
      <c r="B52" s="400"/>
      <c r="C52" s="400"/>
      <c r="D52" s="400"/>
      <c r="E52" s="400"/>
      <c r="F52" s="400"/>
      <c r="G52" s="400"/>
      <c r="H52" s="400"/>
      <c r="I52" s="400"/>
      <c r="J52" s="401"/>
      <c r="K52" s="402"/>
      <c r="L52" s="403"/>
      <c r="M52" s="404"/>
      <c r="N52" s="400"/>
      <c r="O52" s="400"/>
      <c r="P52" s="399" t="str">
        <f t="shared" si="0"/>
        <v/>
      </c>
      <c r="Q52" s="405" t="str" cm="1">
        <f t="array" ref="Q52">+_xlfn.IFS(O52="Nacional","CLP",O52="Extranjero","USD",O52="","")</f>
        <v/>
      </c>
      <c r="R52" s="406" t="str">
        <f>IFERROR(IF(O52="Nacional",VLOOKUP(P52,PRICING!$D$4:$E$59,2,FALSE),VLOOKUP(P52,PRICING!$J$4:$K$59,2,FALSE)),"")</f>
        <v/>
      </c>
      <c r="S52"/>
      <c r="T52" s="407"/>
      <c r="U52" s="406" t="str">
        <f t="shared" si="1"/>
        <v/>
      </c>
      <c r="V52" s="400"/>
      <c r="W52" s="408" t="str">
        <f t="shared" si="2"/>
        <v/>
      </c>
      <c r="X52" s="409" t="str">
        <f t="shared" si="3"/>
        <v/>
      </c>
    </row>
    <row r="53" spans="1:24" ht="16" x14ac:dyDescent="0.25">
      <c r="A53" s="399" t="str">
        <f>IF(B53="","",CONCATENATE("GBL",B53," - ",Mantenedor!E57))</f>
        <v/>
      </c>
      <c r="B53" s="400"/>
      <c r="C53" s="400"/>
      <c r="D53" s="400"/>
      <c r="E53" s="400"/>
      <c r="F53" s="400"/>
      <c r="G53" s="400"/>
      <c r="H53" s="400"/>
      <c r="I53" s="400"/>
      <c r="J53" s="401"/>
      <c r="K53" s="402"/>
      <c r="L53" s="403"/>
      <c r="M53" s="404"/>
      <c r="N53" s="400"/>
      <c r="O53" s="400"/>
      <c r="P53" s="399" t="str">
        <f t="shared" si="0"/>
        <v/>
      </c>
      <c r="Q53" s="405" t="str" cm="1">
        <f t="array" ref="Q53">+_xlfn.IFS(O53="Nacional","CLP",O53="Extranjero","USD",O53="","")</f>
        <v/>
      </c>
      <c r="R53" s="406" t="str">
        <f>IFERROR(IF(O53="Nacional",VLOOKUP(P53,PRICING!$D$4:$E$59,2,FALSE),VLOOKUP(P53,PRICING!$J$4:$K$59,2,FALSE)),"")</f>
        <v/>
      </c>
      <c r="S53"/>
      <c r="T53" s="407"/>
      <c r="U53" s="406" t="str">
        <f t="shared" si="1"/>
        <v/>
      </c>
      <c r="V53" s="400"/>
      <c r="W53" s="408" t="str">
        <f t="shared" si="2"/>
        <v/>
      </c>
      <c r="X53" s="409" t="str">
        <f t="shared" si="3"/>
        <v/>
      </c>
    </row>
    <row r="54" spans="1:24" ht="16" x14ac:dyDescent="0.25">
      <c r="A54" s="399" t="str">
        <f>IF(B54="","",CONCATENATE("GBL",B54," - ",Mantenedor!E58))</f>
        <v/>
      </c>
      <c r="B54" s="400"/>
      <c r="C54" s="400"/>
      <c r="D54" s="400"/>
      <c r="E54" s="400"/>
      <c r="F54" s="400"/>
      <c r="G54" s="400"/>
      <c r="H54" s="400"/>
      <c r="I54" s="400"/>
      <c r="J54" s="401"/>
      <c r="K54" s="402"/>
      <c r="L54" s="403"/>
      <c r="M54" s="404"/>
      <c r="N54" s="400"/>
      <c r="O54" s="400"/>
      <c r="P54" s="399" t="str">
        <f t="shared" si="0"/>
        <v/>
      </c>
      <c r="Q54" s="405" t="str" cm="1">
        <f t="array" ref="Q54">+_xlfn.IFS(O54="Nacional","CLP",O54="Extranjero","USD",O54="","")</f>
        <v/>
      </c>
      <c r="R54" s="406" t="str">
        <f>IFERROR(IF(O54="Nacional",VLOOKUP(P54,PRICING!$D$4:$E$59,2,FALSE),VLOOKUP(P54,PRICING!$J$4:$K$59,2,FALSE)),"")</f>
        <v/>
      </c>
      <c r="S54"/>
      <c r="T54" s="407"/>
      <c r="U54" s="406" t="str">
        <f t="shared" si="1"/>
        <v/>
      </c>
      <c r="V54" s="400"/>
      <c r="W54" s="408" t="str">
        <f t="shared" si="2"/>
        <v/>
      </c>
      <c r="X54" s="409" t="str">
        <f t="shared" si="3"/>
        <v/>
      </c>
    </row>
    <row r="55" spans="1:24" ht="16" x14ac:dyDescent="0.25">
      <c r="A55" s="399" t="str">
        <f>IF(B55="","",CONCATENATE("GBL",B55," - ",Mantenedor!E59))</f>
        <v/>
      </c>
      <c r="B55" s="400"/>
      <c r="C55" s="400"/>
      <c r="D55" s="400"/>
      <c r="E55" s="400"/>
      <c r="F55" s="400"/>
      <c r="G55" s="400"/>
      <c r="H55" s="400"/>
      <c r="I55" s="400"/>
      <c r="J55" s="401"/>
      <c r="K55" s="402"/>
      <c r="L55" s="403"/>
      <c r="M55" s="404"/>
      <c r="N55" s="400"/>
      <c r="O55" s="400"/>
      <c r="P55" s="399" t="str">
        <f t="shared" si="0"/>
        <v/>
      </c>
      <c r="Q55" s="405" t="str" cm="1">
        <f t="array" ref="Q55">+_xlfn.IFS(O55="Nacional","CLP",O55="Extranjero","USD",O55="","")</f>
        <v/>
      </c>
      <c r="R55" s="406" t="str">
        <f>IFERROR(IF(O55="Nacional",VLOOKUP(P55,PRICING!$D$4:$E$59,2,FALSE),VLOOKUP(P55,PRICING!$J$4:$K$59,2,FALSE)),"")</f>
        <v/>
      </c>
      <c r="S55"/>
      <c r="T55" s="407"/>
      <c r="U55" s="406" t="str">
        <f t="shared" si="1"/>
        <v/>
      </c>
      <c r="V55" s="400"/>
      <c r="W55" s="408" t="str">
        <f t="shared" si="2"/>
        <v/>
      </c>
      <c r="X55" s="409" t="str">
        <f t="shared" si="3"/>
        <v/>
      </c>
    </row>
    <row r="56" spans="1:24" ht="16" x14ac:dyDescent="0.25">
      <c r="A56" s="399" t="str">
        <f>IF(B56="","",CONCATENATE("GBL",B56," - ",Mantenedor!E60))</f>
        <v/>
      </c>
      <c r="B56" s="400"/>
      <c r="C56" s="400"/>
      <c r="D56" s="400"/>
      <c r="E56" s="400"/>
      <c r="F56" s="400"/>
      <c r="G56" s="400"/>
      <c r="H56" s="400"/>
      <c r="I56" s="400"/>
      <c r="J56" s="401"/>
      <c r="K56" s="402"/>
      <c r="L56" s="403"/>
      <c r="M56" s="404"/>
      <c r="N56" s="400"/>
      <c r="O56" s="400"/>
      <c r="P56" s="399" t="str">
        <f t="shared" si="0"/>
        <v/>
      </c>
      <c r="Q56" s="405" t="str" cm="1">
        <f t="array" ref="Q56">+_xlfn.IFS(O56="Nacional","CLP",O56="Extranjero","USD",O56="","")</f>
        <v/>
      </c>
      <c r="R56" s="406" t="str">
        <f>IFERROR(IF(O56="Nacional",VLOOKUP(P56,PRICING!$D$4:$E$59,2,FALSE),VLOOKUP(P56,PRICING!$J$4:$K$59,2,FALSE)),"")</f>
        <v/>
      </c>
      <c r="S56"/>
      <c r="T56" s="407"/>
      <c r="U56" s="406" t="str">
        <f t="shared" si="1"/>
        <v/>
      </c>
      <c r="V56" s="400"/>
      <c r="W56" s="408" t="str">
        <f t="shared" si="2"/>
        <v/>
      </c>
      <c r="X56" s="409" t="str">
        <f t="shared" si="3"/>
        <v/>
      </c>
    </row>
    <row r="57" spans="1:24" ht="16" x14ac:dyDescent="0.25">
      <c r="A57" s="399" t="str">
        <f>IF(B57="","",CONCATENATE("GBL",B57," - ",Mantenedor!E61))</f>
        <v/>
      </c>
      <c r="B57" s="400"/>
      <c r="C57" s="400"/>
      <c r="D57" s="400"/>
      <c r="E57" s="400"/>
      <c r="F57" s="400"/>
      <c r="G57" s="400"/>
      <c r="H57" s="400"/>
      <c r="I57" s="400"/>
      <c r="J57" s="401"/>
      <c r="K57" s="402"/>
      <c r="L57" s="403"/>
      <c r="M57" s="404"/>
      <c r="N57" s="400"/>
      <c r="O57" s="400"/>
      <c r="P57" s="399" t="str">
        <f t="shared" si="0"/>
        <v/>
      </c>
      <c r="Q57" s="405" t="str" cm="1">
        <f t="array" ref="Q57">+_xlfn.IFS(O57="Nacional","CLP",O57="Extranjero","USD",O57="","")</f>
        <v/>
      </c>
      <c r="R57" s="406" t="str">
        <f>IFERROR(IF(O57="Nacional",VLOOKUP(P57,PRICING!$D$4:$E$59,2,FALSE),VLOOKUP(P57,PRICING!$J$4:$K$59,2,FALSE)),"")</f>
        <v/>
      </c>
      <c r="S57"/>
      <c r="T57" s="407"/>
      <c r="U57" s="406" t="str">
        <f t="shared" si="1"/>
        <v/>
      </c>
      <c r="V57" s="400"/>
      <c r="W57" s="408" t="str">
        <f t="shared" si="2"/>
        <v/>
      </c>
      <c r="X57" s="409" t="str">
        <f t="shared" si="3"/>
        <v/>
      </c>
    </row>
    <row r="58" spans="1:24" ht="16" x14ac:dyDescent="0.25">
      <c r="A58" s="399" t="str">
        <f>IF(B58="","",CONCATENATE("GBL",B58," - ",Mantenedor!E62))</f>
        <v/>
      </c>
      <c r="B58" s="400"/>
      <c r="C58" s="400"/>
      <c r="D58" s="400"/>
      <c r="E58" s="400"/>
      <c r="F58" s="400"/>
      <c r="G58" s="400"/>
      <c r="H58" s="400"/>
      <c r="I58" s="400"/>
      <c r="J58" s="401"/>
      <c r="K58" s="402"/>
      <c r="L58" s="403"/>
      <c r="M58" s="404"/>
      <c r="N58" s="400"/>
      <c r="O58" s="400"/>
      <c r="P58" s="399" t="str">
        <f t="shared" si="0"/>
        <v/>
      </c>
      <c r="Q58" s="405" t="str" cm="1">
        <f t="array" ref="Q58">+_xlfn.IFS(O58="Nacional","CLP",O58="Extranjero","USD",O58="","")</f>
        <v/>
      </c>
      <c r="R58" s="406" t="str">
        <f>IFERROR(IF(O58="Nacional",VLOOKUP(P58,PRICING!$D$4:$E$59,2,FALSE),VLOOKUP(P58,PRICING!$J$4:$K$59,2,FALSE)),"")</f>
        <v/>
      </c>
      <c r="S58"/>
      <c r="T58" s="407"/>
      <c r="U58" s="406" t="str">
        <f t="shared" si="1"/>
        <v/>
      </c>
      <c r="V58" s="400"/>
      <c r="W58" s="408" t="str">
        <f t="shared" si="2"/>
        <v/>
      </c>
      <c r="X58" s="409" t="str">
        <f t="shared" si="3"/>
        <v/>
      </c>
    </row>
    <row r="59" spans="1:24" ht="16" x14ac:dyDescent="0.25">
      <c r="A59" s="399" t="str">
        <f>IF(B59="","",CONCATENATE("GBL",B59," - ",Mantenedor!E63))</f>
        <v/>
      </c>
      <c r="B59" s="400"/>
      <c r="C59" s="400"/>
      <c r="D59" s="400"/>
      <c r="E59" s="400"/>
      <c r="F59" s="400"/>
      <c r="G59" s="400"/>
      <c r="H59" s="400"/>
      <c r="I59" s="400"/>
      <c r="J59" s="401"/>
      <c r="K59" s="402"/>
      <c r="L59" s="403"/>
      <c r="M59" s="404"/>
      <c r="N59" s="400"/>
      <c r="O59" s="400"/>
      <c r="P59" s="399" t="str">
        <f t="shared" si="0"/>
        <v/>
      </c>
      <c r="Q59" s="405" t="str" cm="1">
        <f t="array" ref="Q59">+_xlfn.IFS(O59="Nacional","CLP",O59="Extranjero","USD",O59="","")</f>
        <v/>
      </c>
      <c r="R59" s="406" t="str">
        <f>IFERROR(IF(O59="Nacional",VLOOKUP(P59,PRICING!$D$4:$E$59,2,FALSE),VLOOKUP(P59,PRICING!$J$4:$K$59,2,FALSE)),"")</f>
        <v/>
      </c>
      <c r="S59"/>
      <c r="T59" s="407"/>
      <c r="U59" s="406" t="str">
        <f t="shared" si="1"/>
        <v/>
      </c>
      <c r="V59" s="400"/>
      <c r="W59" s="408" t="str">
        <f t="shared" si="2"/>
        <v/>
      </c>
      <c r="X59" s="409" t="str">
        <f t="shared" si="3"/>
        <v/>
      </c>
    </row>
    <row r="60" spans="1:24" ht="16" x14ac:dyDescent="0.25">
      <c r="A60" s="399" t="str">
        <f>IF(B60="","",CONCATENATE("GBL",B60," - ",Mantenedor!E64))</f>
        <v/>
      </c>
      <c r="B60" s="400"/>
      <c r="C60" s="400"/>
      <c r="D60" s="400"/>
      <c r="E60" s="400"/>
      <c r="F60" s="400"/>
      <c r="G60" s="400"/>
      <c r="H60" s="400"/>
      <c r="I60" s="400"/>
      <c r="J60" s="401"/>
      <c r="K60" s="402"/>
      <c r="L60" s="403"/>
      <c r="M60" s="404"/>
      <c r="N60" s="400"/>
      <c r="O60" s="400"/>
      <c r="P60" s="399" t="str">
        <f t="shared" si="0"/>
        <v/>
      </c>
      <c r="Q60" s="405" t="str" cm="1">
        <f t="array" ref="Q60">+_xlfn.IFS(O60="Nacional","CLP",O60="Extranjero","USD",O60="","")</f>
        <v/>
      </c>
      <c r="R60" s="406" t="str">
        <f>IFERROR(IF(O60="Nacional",VLOOKUP(P60,PRICING!$D$4:$E$59,2,FALSE),VLOOKUP(P60,PRICING!$J$4:$K$59,2,FALSE)),"")</f>
        <v/>
      </c>
      <c r="S60"/>
      <c r="T60" s="407"/>
      <c r="U60" s="406" t="str">
        <f t="shared" si="1"/>
        <v/>
      </c>
      <c r="V60" s="400"/>
      <c r="W60" s="408" t="str">
        <f t="shared" si="2"/>
        <v/>
      </c>
      <c r="X60" s="409" t="str">
        <f t="shared" si="3"/>
        <v/>
      </c>
    </row>
    <row r="61" spans="1:24" ht="16" x14ac:dyDescent="0.25">
      <c r="A61" s="399" t="str">
        <f>IF(B61="","",CONCATENATE("GBL",B61," - ",Mantenedor!E65))</f>
        <v/>
      </c>
      <c r="B61" s="400"/>
      <c r="C61" s="400"/>
      <c r="D61" s="400"/>
      <c r="E61" s="400"/>
      <c r="F61" s="400"/>
      <c r="G61" s="400"/>
      <c r="H61" s="400"/>
      <c r="I61" s="400"/>
      <c r="J61" s="401"/>
      <c r="K61" s="402"/>
      <c r="L61" s="403"/>
      <c r="M61" s="404"/>
      <c r="N61" s="400"/>
      <c r="O61" s="400"/>
      <c r="P61" s="399" t="str">
        <f t="shared" si="0"/>
        <v/>
      </c>
      <c r="Q61" s="405" t="str" cm="1">
        <f t="array" ref="Q61">+_xlfn.IFS(O61="Nacional","CLP",O61="Extranjero","USD",O61="","")</f>
        <v/>
      </c>
      <c r="R61" s="406" t="str">
        <f>IFERROR(IF(O61="Nacional",VLOOKUP(P61,PRICING!$D$4:$E$59,2,FALSE),VLOOKUP(P61,PRICING!$J$4:$K$59,2,FALSE)),"")</f>
        <v/>
      </c>
      <c r="S61"/>
      <c r="T61" s="407"/>
      <c r="U61" s="406" t="str">
        <f t="shared" si="1"/>
        <v/>
      </c>
      <c r="V61" s="400"/>
      <c r="W61" s="408" t="str">
        <f t="shared" si="2"/>
        <v/>
      </c>
      <c r="X61" s="409" t="str">
        <f t="shared" si="3"/>
        <v/>
      </c>
    </row>
    <row r="62" spans="1:24" ht="16" x14ac:dyDescent="0.25">
      <c r="A62" s="399" t="str">
        <f>IF(B62="","",CONCATENATE("GBL",B62," - ",Mantenedor!E66))</f>
        <v/>
      </c>
      <c r="B62" s="400"/>
      <c r="C62" s="400"/>
      <c r="D62" s="400"/>
      <c r="E62" s="400"/>
      <c r="F62" s="400"/>
      <c r="G62" s="400"/>
      <c r="H62" s="400"/>
      <c r="I62" s="400"/>
      <c r="J62" s="401"/>
      <c r="K62" s="402"/>
      <c r="L62" s="403"/>
      <c r="M62" s="404"/>
      <c r="N62" s="400"/>
      <c r="O62" s="400"/>
      <c r="P62" s="399" t="str">
        <f t="shared" si="0"/>
        <v/>
      </c>
      <c r="Q62" s="405" t="str" cm="1">
        <f t="array" ref="Q62">+_xlfn.IFS(O62="Nacional","CLP",O62="Extranjero","USD",O62="","")</f>
        <v/>
      </c>
      <c r="R62" s="406" t="str">
        <f>IFERROR(IF(O62="Nacional",VLOOKUP(P62,PRICING!$D$4:$E$59,2,FALSE),VLOOKUP(P62,PRICING!$J$4:$K$59,2,FALSE)),"")</f>
        <v/>
      </c>
      <c r="S62"/>
      <c r="T62" s="407"/>
      <c r="U62" s="406" t="str">
        <f t="shared" si="1"/>
        <v/>
      </c>
      <c r="V62" s="400"/>
      <c r="W62" s="408" t="str">
        <f t="shared" si="2"/>
        <v/>
      </c>
      <c r="X62" s="409" t="str">
        <f t="shared" si="3"/>
        <v/>
      </c>
    </row>
    <row r="63" spans="1:24" ht="16" x14ac:dyDescent="0.25">
      <c r="A63" s="399" t="str">
        <f>IF(B63="","",CONCATENATE("GBL",B63," - ",Mantenedor!E67))</f>
        <v/>
      </c>
      <c r="B63" s="400"/>
      <c r="C63" s="400"/>
      <c r="D63" s="400"/>
      <c r="E63" s="400"/>
      <c r="F63" s="400"/>
      <c r="G63" s="400"/>
      <c r="H63" s="400"/>
      <c r="I63" s="400"/>
      <c r="J63" s="401"/>
      <c r="K63" s="402"/>
      <c r="L63" s="403"/>
      <c r="M63" s="404"/>
      <c r="N63" s="400"/>
      <c r="O63" s="400"/>
      <c r="P63" s="399" t="str">
        <f t="shared" ref="P63:P126" si="4">IF(N63="","",(IF(L63=1,(CONCATENATE("Base ",N63," ",L63," noche")),(CONCATENATE("Base ",N63," ",L63," noches")))))</f>
        <v/>
      </c>
      <c r="Q63" s="405" t="str" cm="1">
        <f t="array" ref="Q63">+_xlfn.IFS(O63="Nacional","CLP",O63="Extranjero","USD",O63="","")</f>
        <v/>
      </c>
      <c r="R63" s="406" t="str">
        <f>IFERROR(IF(O63="Nacional",VLOOKUP(P63,PRICING!$D$4:$E$59,2,FALSE),VLOOKUP(P63,PRICING!$J$4:$K$59,2,FALSE)),"")</f>
        <v/>
      </c>
      <c r="S63"/>
      <c r="T63" s="407"/>
      <c r="U63" s="406" t="str">
        <f t="shared" ref="U63:U126" si="5">IFERROR(+R63*(1-S63),"")</f>
        <v/>
      </c>
      <c r="V63" s="400"/>
      <c r="W63" s="408" t="str">
        <f t="shared" ref="W63:W126" si="6">+IF(U63="","","50"%)</f>
        <v/>
      </c>
      <c r="X63" s="409" t="str">
        <f t="shared" si="3"/>
        <v/>
      </c>
    </row>
    <row r="64" spans="1:24" ht="16" x14ac:dyDescent="0.25">
      <c r="A64" s="399" t="str">
        <f>IF(B64="","",CONCATENATE("GBL",B64," - ",Mantenedor!E68))</f>
        <v/>
      </c>
      <c r="B64" s="400"/>
      <c r="C64" s="400"/>
      <c r="D64" s="400"/>
      <c r="E64" s="400"/>
      <c r="F64" s="400"/>
      <c r="G64" s="400"/>
      <c r="H64" s="400"/>
      <c r="I64" s="400"/>
      <c r="J64" s="401"/>
      <c r="K64" s="402"/>
      <c r="L64" s="403"/>
      <c r="M64" s="404"/>
      <c r="N64" s="400"/>
      <c r="O64" s="400"/>
      <c r="P64" s="399" t="str">
        <f t="shared" si="4"/>
        <v/>
      </c>
      <c r="Q64" s="405" t="str" cm="1">
        <f t="array" ref="Q64">+_xlfn.IFS(O64="Nacional","CLP",O64="Extranjero","USD",O64="","")</f>
        <v/>
      </c>
      <c r="R64" s="406" t="str">
        <f>IFERROR(IF(O64="Nacional",VLOOKUP(P64,PRICING!$D$4:$E$59,2,FALSE),VLOOKUP(P64,PRICING!$J$4:$K$59,2,FALSE)),"")</f>
        <v/>
      </c>
      <c r="S64"/>
      <c r="T64" s="407"/>
      <c r="U64" s="406" t="str">
        <f t="shared" si="5"/>
        <v/>
      </c>
      <c r="V64" s="400"/>
      <c r="W64" s="408" t="str">
        <f t="shared" si="6"/>
        <v/>
      </c>
      <c r="X64" s="409" t="str">
        <f t="shared" ref="X64:X127" si="7">+IF(W64="","",(1-W64))</f>
        <v/>
      </c>
    </row>
    <row r="65" spans="1:24" ht="16" x14ac:dyDescent="0.25">
      <c r="A65" s="399" t="str">
        <f>IF(B65="","",CONCATENATE("GBL",B65," - ",Mantenedor!E69))</f>
        <v/>
      </c>
      <c r="B65" s="400"/>
      <c r="C65" s="400"/>
      <c r="D65" s="400"/>
      <c r="E65" s="400"/>
      <c r="F65" s="400"/>
      <c r="G65" s="400"/>
      <c r="H65" s="400"/>
      <c r="I65" s="400"/>
      <c r="J65" s="401"/>
      <c r="K65" s="402"/>
      <c r="L65" s="403"/>
      <c r="M65" s="404"/>
      <c r="N65" s="400"/>
      <c r="O65" s="400"/>
      <c r="P65" s="399" t="str">
        <f t="shared" si="4"/>
        <v/>
      </c>
      <c r="Q65" s="405" t="str" cm="1">
        <f t="array" ref="Q65">+_xlfn.IFS(O65="Nacional","CLP",O65="Extranjero","USD",O65="","")</f>
        <v/>
      </c>
      <c r="R65" s="406" t="str">
        <f>IFERROR(IF(O65="Nacional",VLOOKUP(P65,PRICING!$D$4:$E$59,2,FALSE),VLOOKUP(P65,PRICING!$J$4:$K$59,2,FALSE)),"")</f>
        <v/>
      </c>
      <c r="S65"/>
      <c r="T65" s="407"/>
      <c r="U65" s="406" t="str">
        <f t="shared" si="5"/>
        <v/>
      </c>
      <c r="V65" s="400"/>
      <c r="W65" s="408" t="str">
        <f t="shared" si="6"/>
        <v/>
      </c>
      <c r="X65" s="409" t="str">
        <f t="shared" si="7"/>
        <v/>
      </c>
    </row>
    <row r="66" spans="1:24" ht="16" x14ac:dyDescent="0.25">
      <c r="A66" s="399" t="str">
        <f>IF(B66="","",CONCATENATE("GBL",B66," - ",Mantenedor!E70))</f>
        <v/>
      </c>
      <c r="B66" s="400"/>
      <c r="C66" s="400"/>
      <c r="D66" s="400"/>
      <c r="E66" s="400"/>
      <c r="F66" s="400"/>
      <c r="G66" s="400"/>
      <c r="H66" s="400"/>
      <c r="I66" s="400"/>
      <c r="J66" s="401"/>
      <c r="K66" s="402"/>
      <c r="L66" s="403"/>
      <c r="M66" s="404"/>
      <c r="N66" s="400"/>
      <c r="O66" s="400"/>
      <c r="P66" s="399" t="str">
        <f t="shared" si="4"/>
        <v/>
      </c>
      <c r="Q66" s="405" t="str" cm="1">
        <f t="array" ref="Q66">+_xlfn.IFS(O66="Nacional","CLP",O66="Extranjero","USD",O66="","")</f>
        <v/>
      </c>
      <c r="R66" s="406" t="str">
        <f>IFERROR(IF(O66="Nacional",VLOOKUP(P66,PRICING!$D$4:$E$59,2,FALSE),VLOOKUP(P66,PRICING!$J$4:$K$59,2,FALSE)),"")</f>
        <v/>
      </c>
      <c r="S66"/>
      <c r="T66" s="407"/>
      <c r="U66" s="406" t="str">
        <f t="shared" si="5"/>
        <v/>
      </c>
      <c r="V66" s="400"/>
      <c r="W66" s="408" t="str">
        <f t="shared" si="6"/>
        <v/>
      </c>
      <c r="X66" s="409" t="str">
        <f t="shared" si="7"/>
        <v/>
      </c>
    </row>
    <row r="67" spans="1:24" ht="16" x14ac:dyDescent="0.25">
      <c r="A67" s="399" t="str">
        <f>IF(B67="","",CONCATENATE("GBL",B67," - ",Mantenedor!E71))</f>
        <v/>
      </c>
      <c r="B67" s="400"/>
      <c r="C67" s="400"/>
      <c r="D67" s="400"/>
      <c r="E67" s="400"/>
      <c r="F67" s="400"/>
      <c r="G67" s="400"/>
      <c r="H67" s="400"/>
      <c r="I67" s="400"/>
      <c r="J67" s="401"/>
      <c r="K67" s="402"/>
      <c r="L67" s="403"/>
      <c r="M67" s="404"/>
      <c r="N67" s="400"/>
      <c r="O67" s="400"/>
      <c r="P67" s="399" t="str">
        <f t="shared" si="4"/>
        <v/>
      </c>
      <c r="Q67" s="405" t="str" cm="1">
        <f t="array" ref="Q67">+_xlfn.IFS(O67="Nacional","CLP",O67="Extranjero","USD",O67="","")</f>
        <v/>
      </c>
      <c r="R67" s="406" t="str">
        <f>IFERROR(IF(O67="Nacional",VLOOKUP(P67,PRICING!$D$4:$E$59,2,FALSE),VLOOKUP(P67,PRICING!$J$4:$K$59,2,FALSE)),"")</f>
        <v/>
      </c>
      <c r="S67"/>
      <c r="T67" s="407"/>
      <c r="U67" s="406" t="str">
        <f t="shared" si="5"/>
        <v/>
      </c>
      <c r="V67" s="400"/>
      <c r="W67" s="408" t="str">
        <f t="shared" si="6"/>
        <v/>
      </c>
      <c r="X67" s="409" t="str">
        <f t="shared" si="7"/>
        <v/>
      </c>
    </row>
    <row r="68" spans="1:24" ht="16" x14ac:dyDescent="0.25">
      <c r="A68" s="399" t="str">
        <f>IF(B68="","",CONCATENATE("GBL",B68," - ",Mantenedor!E72))</f>
        <v/>
      </c>
      <c r="B68" s="400"/>
      <c r="C68" s="400"/>
      <c r="D68" s="400"/>
      <c r="E68" s="400"/>
      <c r="F68" s="400"/>
      <c r="G68" s="400"/>
      <c r="H68" s="400"/>
      <c r="I68" s="400"/>
      <c r="J68" s="401"/>
      <c r="K68" s="402"/>
      <c r="L68" s="403"/>
      <c r="M68" s="404"/>
      <c r="N68" s="400"/>
      <c r="O68" s="400"/>
      <c r="P68" s="399" t="str">
        <f t="shared" si="4"/>
        <v/>
      </c>
      <c r="Q68" s="405" t="str" cm="1">
        <f t="array" ref="Q68">+_xlfn.IFS(O68="Nacional","CLP",O68="Extranjero","USD",O68="","")</f>
        <v/>
      </c>
      <c r="R68" s="406" t="str">
        <f>IFERROR(IF(O68="Nacional",VLOOKUP(P68,PRICING!$D$4:$E$59,2,FALSE),VLOOKUP(P68,PRICING!$J$4:$K$59,2,FALSE)),"")</f>
        <v/>
      </c>
      <c r="S68"/>
      <c r="T68" s="407"/>
      <c r="U68" s="406" t="str">
        <f t="shared" si="5"/>
        <v/>
      </c>
      <c r="V68" s="400"/>
      <c r="W68" s="408" t="str">
        <f t="shared" si="6"/>
        <v/>
      </c>
      <c r="X68" s="409" t="str">
        <f t="shared" si="7"/>
        <v/>
      </c>
    </row>
    <row r="69" spans="1:24" ht="16" x14ac:dyDescent="0.25">
      <c r="A69" s="399" t="str">
        <f>IF(B69="","",CONCATENATE("GBL",B69," - ",Mantenedor!E73))</f>
        <v/>
      </c>
      <c r="B69" s="400"/>
      <c r="C69" s="400"/>
      <c r="D69" s="400"/>
      <c r="E69" s="400"/>
      <c r="F69" s="400"/>
      <c r="G69" s="400"/>
      <c r="H69" s="400"/>
      <c r="I69" s="400"/>
      <c r="J69" s="401"/>
      <c r="K69" s="402"/>
      <c r="L69" s="403"/>
      <c r="M69" s="404"/>
      <c r="N69" s="400"/>
      <c r="O69" s="400"/>
      <c r="P69" s="399" t="str">
        <f t="shared" si="4"/>
        <v/>
      </c>
      <c r="Q69" s="405" t="str" cm="1">
        <f t="array" ref="Q69">+_xlfn.IFS(O69="Nacional","CLP",O69="Extranjero","USD",O69="","")</f>
        <v/>
      </c>
      <c r="R69" s="406" t="str">
        <f>IFERROR(IF(O69="Nacional",VLOOKUP(P69,PRICING!$D$4:$E$59,2,FALSE),VLOOKUP(P69,PRICING!$J$4:$K$59,2,FALSE)),"")</f>
        <v/>
      </c>
      <c r="S69"/>
      <c r="T69" s="407"/>
      <c r="U69" s="406" t="str">
        <f t="shared" si="5"/>
        <v/>
      </c>
      <c r="V69" s="400"/>
      <c r="W69" s="408" t="str">
        <f t="shared" si="6"/>
        <v/>
      </c>
      <c r="X69" s="409" t="str">
        <f t="shared" si="7"/>
        <v/>
      </c>
    </row>
    <row r="70" spans="1:24" ht="16" x14ac:dyDescent="0.25">
      <c r="A70" s="399" t="str">
        <f>IF(B70="","",CONCATENATE("GBL",B70," - ",Mantenedor!E74))</f>
        <v/>
      </c>
      <c r="B70" s="400"/>
      <c r="C70" s="400"/>
      <c r="D70" s="400"/>
      <c r="E70" s="400"/>
      <c r="F70" s="400"/>
      <c r="G70" s="400"/>
      <c r="H70" s="400"/>
      <c r="I70" s="400"/>
      <c r="J70" s="401"/>
      <c r="K70" s="402"/>
      <c r="L70" s="403"/>
      <c r="M70" s="404"/>
      <c r="N70" s="400"/>
      <c r="O70" s="400"/>
      <c r="P70" s="399" t="str">
        <f t="shared" si="4"/>
        <v/>
      </c>
      <c r="Q70" s="405" t="str" cm="1">
        <f t="array" ref="Q70">+_xlfn.IFS(O70="Nacional","CLP",O70="Extranjero","USD",O70="","")</f>
        <v/>
      </c>
      <c r="R70" s="406" t="str">
        <f>IFERROR(IF(O70="Nacional",VLOOKUP(P70,PRICING!$D$4:$E$59,2,FALSE),VLOOKUP(P70,PRICING!$J$4:$K$59,2,FALSE)),"")</f>
        <v/>
      </c>
      <c r="S70"/>
      <c r="T70" s="407"/>
      <c r="U70" s="406" t="str">
        <f t="shared" si="5"/>
        <v/>
      </c>
      <c r="V70" s="400"/>
      <c r="W70" s="408" t="str">
        <f t="shared" si="6"/>
        <v/>
      </c>
      <c r="X70" s="409" t="str">
        <f t="shared" si="7"/>
        <v/>
      </c>
    </row>
    <row r="71" spans="1:24" ht="16" x14ac:dyDescent="0.25">
      <c r="A71" s="399" t="str">
        <f>IF(B71="","",CONCATENATE("GBL",B71," - ",Mantenedor!E75))</f>
        <v/>
      </c>
      <c r="B71" s="400"/>
      <c r="C71" s="400"/>
      <c r="D71" s="400"/>
      <c r="E71" s="400"/>
      <c r="F71" s="400"/>
      <c r="G71" s="400"/>
      <c r="H71" s="400"/>
      <c r="I71" s="400"/>
      <c r="J71" s="401"/>
      <c r="K71" s="402"/>
      <c r="L71" s="403"/>
      <c r="M71" s="404"/>
      <c r="N71" s="400"/>
      <c r="O71" s="400"/>
      <c r="P71" s="399" t="str">
        <f t="shared" si="4"/>
        <v/>
      </c>
      <c r="Q71" s="405" t="str" cm="1">
        <f t="array" ref="Q71">+_xlfn.IFS(O71="Nacional","CLP",O71="Extranjero","USD",O71="","")</f>
        <v/>
      </c>
      <c r="R71" s="406" t="str">
        <f>IFERROR(IF(O71="Nacional",VLOOKUP(P71,PRICING!$D$4:$E$59,2,FALSE),VLOOKUP(P71,PRICING!$J$4:$K$59,2,FALSE)),"")</f>
        <v/>
      </c>
      <c r="S71"/>
      <c r="T71" s="407"/>
      <c r="U71" s="406" t="str">
        <f t="shared" si="5"/>
        <v/>
      </c>
      <c r="V71" s="400"/>
      <c r="W71" s="408" t="str">
        <f t="shared" si="6"/>
        <v/>
      </c>
      <c r="X71" s="409" t="str">
        <f t="shared" si="7"/>
        <v/>
      </c>
    </row>
    <row r="72" spans="1:24" ht="16" x14ac:dyDescent="0.25">
      <c r="A72" s="399" t="str">
        <f>IF(B72="","",CONCATENATE("GBL",B72," - ",Mantenedor!E76))</f>
        <v/>
      </c>
      <c r="B72" s="400"/>
      <c r="C72" s="400"/>
      <c r="D72" s="400"/>
      <c r="E72" s="400"/>
      <c r="F72" s="400"/>
      <c r="G72" s="400"/>
      <c r="H72" s="400"/>
      <c r="I72" s="400"/>
      <c r="J72" s="401"/>
      <c r="K72" s="402"/>
      <c r="L72" s="403"/>
      <c r="M72" s="404"/>
      <c r="N72" s="400"/>
      <c r="O72" s="400"/>
      <c r="P72" s="399" t="str">
        <f t="shared" si="4"/>
        <v/>
      </c>
      <c r="Q72" s="405" t="str" cm="1">
        <f t="array" ref="Q72">+_xlfn.IFS(O72="Nacional","CLP",O72="Extranjero","USD",O72="","")</f>
        <v/>
      </c>
      <c r="R72" s="406" t="str">
        <f>IFERROR(IF(O72="Nacional",VLOOKUP(P72,PRICING!$D$4:$E$59,2,FALSE),VLOOKUP(P72,PRICING!$J$4:$K$59,2,FALSE)),"")</f>
        <v/>
      </c>
      <c r="S72"/>
      <c r="T72" s="407"/>
      <c r="U72" s="406" t="str">
        <f t="shared" si="5"/>
        <v/>
      </c>
      <c r="V72" s="400"/>
      <c r="W72" s="408" t="str">
        <f t="shared" si="6"/>
        <v/>
      </c>
      <c r="X72" s="409" t="str">
        <f t="shared" si="7"/>
        <v/>
      </c>
    </row>
    <row r="73" spans="1:24" ht="16" x14ac:dyDescent="0.25">
      <c r="A73" s="399" t="str">
        <f>IF(B73="","",CONCATENATE("GBL",B73," - ",Mantenedor!E77))</f>
        <v/>
      </c>
      <c r="B73" s="400"/>
      <c r="C73" s="400"/>
      <c r="D73" s="400"/>
      <c r="E73" s="400"/>
      <c r="F73" s="400"/>
      <c r="G73" s="400"/>
      <c r="H73" s="400"/>
      <c r="I73" s="400"/>
      <c r="J73" s="401"/>
      <c r="K73" s="402"/>
      <c r="L73" s="403"/>
      <c r="M73" s="404"/>
      <c r="N73" s="400"/>
      <c r="O73" s="400"/>
      <c r="P73" s="399" t="str">
        <f t="shared" si="4"/>
        <v/>
      </c>
      <c r="Q73" s="405" t="str" cm="1">
        <f t="array" ref="Q73">+_xlfn.IFS(O73="Nacional","CLP",O73="Extranjero","USD",O73="","")</f>
        <v/>
      </c>
      <c r="R73" s="406" t="str">
        <f>IFERROR(IF(O73="Nacional",VLOOKUP(P73,PRICING!$D$4:$E$59,2,FALSE),VLOOKUP(P73,PRICING!$J$4:$K$59,2,FALSE)),"")</f>
        <v/>
      </c>
      <c r="S73"/>
      <c r="T73" s="407"/>
      <c r="U73" s="406" t="str">
        <f t="shared" si="5"/>
        <v/>
      </c>
      <c r="V73" s="400"/>
      <c r="W73" s="408" t="str">
        <f t="shared" si="6"/>
        <v/>
      </c>
      <c r="X73" s="409" t="str">
        <f t="shared" si="7"/>
        <v/>
      </c>
    </row>
    <row r="74" spans="1:24" ht="16" x14ac:dyDescent="0.25">
      <c r="A74" s="399" t="str">
        <f>IF(B74="","",CONCATENATE("GBL",B74," - ",Mantenedor!E78))</f>
        <v/>
      </c>
      <c r="B74" s="400"/>
      <c r="C74" s="400"/>
      <c r="D74" s="400"/>
      <c r="E74" s="400"/>
      <c r="F74" s="400"/>
      <c r="G74" s="400"/>
      <c r="H74" s="400"/>
      <c r="I74" s="400"/>
      <c r="J74" s="401"/>
      <c r="K74" s="402"/>
      <c r="L74" s="403"/>
      <c r="M74" s="404"/>
      <c r="N74" s="400"/>
      <c r="O74" s="400"/>
      <c r="P74" s="399" t="str">
        <f t="shared" si="4"/>
        <v/>
      </c>
      <c r="Q74" s="405" t="str" cm="1">
        <f t="array" ref="Q74">+_xlfn.IFS(O74="Nacional","CLP",O74="Extranjero","USD",O74="","")</f>
        <v/>
      </c>
      <c r="R74" s="406" t="str">
        <f>IFERROR(IF(O74="Nacional",VLOOKUP(P74,PRICING!$D$4:$E$59,2,FALSE),VLOOKUP(P74,PRICING!$J$4:$K$59,2,FALSE)),"")</f>
        <v/>
      </c>
      <c r="S74"/>
      <c r="T74" s="407"/>
      <c r="U74" s="406" t="str">
        <f t="shared" si="5"/>
        <v/>
      </c>
      <c r="V74" s="400"/>
      <c r="W74" s="408" t="str">
        <f t="shared" si="6"/>
        <v/>
      </c>
      <c r="X74" s="409" t="str">
        <f t="shared" si="7"/>
        <v/>
      </c>
    </row>
    <row r="75" spans="1:24" ht="16" x14ac:dyDescent="0.25">
      <c r="A75" s="399" t="str">
        <f>IF(B75="","",CONCATENATE("GBL",B75," - ",Mantenedor!E79))</f>
        <v/>
      </c>
      <c r="B75" s="400"/>
      <c r="C75" s="400"/>
      <c r="D75" s="400"/>
      <c r="E75" s="400"/>
      <c r="F75" s="400"/>
      <c r="G75" s="400"/>
      <c r="H75" s="400"/>
      <c r="I75" s="400"/>
      <c r="J75" s="401"/>
      <c r="K75" s="402"/>
      <c r="L75" s="403"/>
      <c r="M75" s="404"/>
      <c r="N75" s="400"/>
      <c r="O75" s="400"/>
      <c r="P75" s="399" t="str">
        <f t="shared" si="4"/>
        <v/>
      </c>
      <c r="Q75" s="405" t="str" cm="1">
        <f t="array" ref="Q75">+_xlfn.IFS(O75="Nacional","CLP",O75="Extranjero","USD",O75="","")</f>
        <v/>
      </c>
      <c r="R75" s="406" t="str">
        <f>IFERROR(IF(O75="Nacional",VLOOKUP(P75,PRICING!$D$4:$E$59,2,FALSE),VLOOKUP(P75,PRICING!$J$4:$K$59,2,FALSE)),"")</f>
        <v/>
      </c>
      <c r="S75"/>
      <c r="T75" s="407"/>
      <c r="U75" s="406" t="str">
        <f t="shared" si="5"/>
        <v/>
      </c>
      <c r="V75" s="400"/>
      <c r="W75" s="408" t="str">
        <f t="shared" si="6"/>
        <v/>
      </c>
      <c r="X75" s="409" t="str">
        <f t="shared" si="7"/>
        <v/>
      </c>
    </row>
    <row r="76" spans="1:24" ht="16" x14ac:dyDescent="0.25">
      <c r="A76" s="399" t="str">
        <f>IF(B76="","",CONCATENATE("GBL",B76," - ",Mantenedor!E80))</f>
        <v/>
      </c>
      <c r="B76" s="400"/>
      <c r="C76" s="400"/>
      <c r="D76" s="400"/>
      <c r="E76" s="400"/>
      <c r="F76" s="400"/>
      <c r="G76" s="400"/>
      <c r="H76" s="400"/>
      <c r="I76" s="400"/>
      <c r="J76" s="401"/>
      <c r="K76" s="402"/>
      <c r="L76" s="403"/>
      <c r="M76" s="404"/>
      <c r="N76" s="400"/>
      <c r="O76" s="400"/>
      <c r="P76" s="399" t="str">
        <f t="shared" si="4"/>
        <v/>
      </c>
      <c r="Q76" s="405" t="str" cm="1">
        <f t="array" ref="Q76">+_xlfn.IFS(O76="Nacional","CLP",O76="Extranjero","USD",O76="","")</f>
        <v/>
      </c>
      <c r="R76" s="406" t="str">
        <f>IFERROR(IF(O76="Nacional",VLOOKUP(P76,PRICING!$D$4:$E$59,2,FALSE),VLOOKUP(P76,PRICING!$J$4:$K$59,2,FALSE)),"")</f>
        <v/>
      </c>
      <c r="S76"/>
      <c r="T76" s="407"/>
      <c r="U76" s="406" t="str">
        <f t="shared" si="5"/>
        <v/>
      </c>
      <c r="V76" s="400"/>
      <c r="W76" s="408" t="str">
        <f t="shared" si="6"/>
        <v/>
      </c>
      <c r="X76" s="409" t="str">
        <f t="shared" si="7"/>
        <v/>
      </c>
    </row>
    <row r="77" spans="1:24" ht="16" x14ac:dyDescent="0.25">
      <c r="A77" s="399" t="str">
        <f>IF(B77="","",CONCATENATE("GBL",B77," - ",Mantenedor!E81))</f>
        <v/>
      </c>
      <c r="B77" s="400"/>
      <c r="C77" s="400"/>
      <c r="D77" s="400"/>
      <c r="E77" s="400"/>
      <c r="F77" s="400"/>
      <c r="G77" s="400"/>
      <c r="H77" s="400"/>
      <c r="I77" s="400"/>
      <c r="J77" s="401"/>
      <c r="K77" s="402"/>
      <c r="L77" s="403"/>
      <c r="M77" s="404"/>
      <c r="N77" s="400"/>
      <c r="O77" s="400"/>
      <c r="P77" s="399" t="str">
        <f t="shared" si="4"/>
        <v/>
      </c>
      <c r="Q77" s="405" t="str" cm="1">
        <f t="array" ref="Q77">+_xlfn.IFS(O77="Nacional","CLP",O77="Extranjero","USD",O77="","")</f>
        <v/>
      </c>
      <c r="R77" s="406" t="str">
        <f>IFERROR(IF(O77="Nacional",VLOOKUP(P77,PRICING!$D$4:$E$59,2,FALSE),VLOOKUP(P77,PRICING!$J$4:$K$59,2,FALSE)),"")</f>
        <v/>
      </c>
      <c r="S77"/>
      <c r="T77" s="407"/>
      <c r="U77" s="406" t="str">
        <f t="shared" si="5"/>
        <v/>
      </c>
      <c r="V77" s="400"/>
      <c r="W77" s="408" t="str">
        <f t="shared" si="6"/>
        <v/>
      </c>
      <c r="X77" s="409" t="str">
        <f t="shared" si="7"/>
        <v/>
      </c>
    </row>
    <row r="78" spans="1:24" ht="16" x14ac:dyDescent="0.25">
      <c r="A78" s="399" t="str">
        <f>IF(B78="","",CONCATENATE("GBL",B78," - ",Mantenedor!E82))</f>
        <v/>
      </c>
      <c r="B78" s="400"/>
      <c r="C78" s="400"/>
      <c r="D78" s="400"/>
      <c r="E78" s="400"/>
      <c r="F78" s="400"/>
      <c r="G78" s="400"/>
      <c r="H78" s="400"/>
      <c r="I78" s="400"/>
      <c r="J78" s="401"/>
      <c r="K78" s="402"/>
      <c r="L78" s="403"/>
      <c r="M78" s="404"/>
      <c r="N78" s="400"/>
      <c r="O78" s="400"/>
      <c r="P78" s="399" t="str">
        <f t="shared" si="4"/>
        <v/>
      </c>
      <c r="Q78" s="405" t="str" cm="1">
        <f t="array" ref="Q78">+_xlfn.IFS(O78="Nacional","CLP",O78="Extranjero","USD",O78="","")</f>
        <v/>
      </c>
      <c r="R78" s="406" t="str">
        <f>IFERROR(IF(O78="Nacional",VLOOKUP(P78,PRICING!$D$4:$E$59,2,FALSE),VLOOKUP(P78,PRICING!$J$4:$K$59,2,FALSE)),"")</f>
        <v/>
      </c>
      <c r="S78"/>
      <c r="T78" s="407"/>
      <c r="U78" s="406" t="str">
        <f t="shared" si="5"/>
        <v/>
      </c>
      <c r="V78" s="400"/>
      <c r="W78" s="408" t="str">
        <f t="shared" si="6"/>
        <v/>
      </c>
      <c r="X78" s="409" t="str">
        <f t="shared" si="7"/>
        <v/>
      </c>
    </row>
    <row r="79" spans="1:24" ht="16" x14ac:dyDescent="0.25">
      <c r="A79" s="399" t="str">
        <f>IF(B79="","",CONCATENATE("GBL",B79," - ",Mantenedor!E83))</f>
        <v/>
      </c>
      <c r="B79" s="400"/>
      <c r="C79" s="400"/>
      <c r="D79" s="400"/>
      <c r="E79" s="400"/>
      <c r="F79" s="400"/>
      <c r="G79" s="400"/>
      <c r="H79" s="400"/>
      <c r="I79" s="400"/>
      <c r="J79" s="401"/>
      <c r="K79" s="402"/>
      <c r="L79" s="403"/>
      <c r="M79" s="404"/>
      <c r="N79" s="400"/>
      <c r="O79" s="400"/>
      <c r="P79" s="399" t="str">
        <f t="shared" si="4"/>
        <v/>
      </c>
      <c r="Q79" s="405" t="str" cm="1">
        <f t="array" ref="Q79">+_xlfn.IFS(O79="Nacional","CLP",O79="Extranjero","USD",O79="","")</f>
        <v/>
      </c>
      <c r="R79" s="406" t="str">
        <f>IFERROR(IF(O79="Nacional",VLOOKUP(P79,PRICING!$D$4:$E$59,2,FALSE),VLOOKUP(P79,PRICING!$J$4:$K$59,2,FALSE)),"")</f>
        <v/>
      </c>
      <c r="S79"/>
      <c r="T79" s="407"/>
      <c r="U79" s="406" t="str">
        <f t="shared" si="5"/>
        <v/>
      </c>
      <c r="V79" s="400"/>
      <c r="W79" s="408" t="str">
        <f t="shared" si="6"/>
        <v/>
      </c>
      <c r="X79" s="409" t="str">
        <f t="shared" si="7"/>
        <v/>
      </c>
    </row>
    <row r="80" spans="1:24" ht="16" x14ac:dyDescent="0.25">
      <c r="A80" s="399" t="str">
        <f>IF(B80="","",CONCATENATE("GBL",B80," - ",Mantenedor!E84))</f>
        <v/>
      </c>
      <c r="B80" s="400"/>
      <c r="C80" s="400"/>
      <c r="D80" s="400"/>
      <c r="E80" s="400"/>
      <c r="F80" s="400"/>
      <c r="G80" s="400"/>
      <c r="H80" s="400"/>
      <c r="I80" s="400"/>
      <c r="J80" s="401"/>
      <c r="K80" s="402"/>
      <c r="L80" s="403"/>
      <c r="M80" s="404"/>
      <c r="N80" s="400"/>
      <c r="O80" s="400"/>
      <c r="P80" s="399" t="str">
        <f t="shared" si="4"/>
        <v/>
      </c>
      <c r="Q80" s="405" t="str" cm="1">
        <f t="array" ref="Q80">+_xlfn.IFS(O80="Nacional","CLP",O80="Extranjero","USD",O80="","")</f>
        <v/>
      </c>
      <c r="R80" s="406" t="str">
        <f>IFERROR(IF(O80="Nacional",VLOOKUP(P80,PRICING!$D$4:$E$59,2,FALSE),VLOOKUP(P80,PRICING!$J$4:$K$59,2,FALSE)),"")</f>
        <v/>
      </c>
      <c r="S80"/>
      <c r="T80" s="407"/>
      <c r="U80" s="406" t="str">
        <f t="shared" si="5"/>
        <v/>
      </c>
      <c r="V80" s="400"/>
      <c r="W80" s="408" t="str">
        <f t="shared" si="6"/>
        <v/>
      </c>
      <c r="X80" s="409" t="str">
        <f t="shared" si="7"/>
        <v/>
      </c>
    </row>
    <row r="81" spans="1:24" ht="16" x14ac:dyDescent="0.25">
      <c r="A81" s="399" t="str">
        <f>IF(B81="","",CONCATENATE("GBL",B81," - ",Mantenedor!E85))</f>
        <v/>
      </c>
      <c r="B81" s="400"/>
      <c r="C81" s="400"/>
      <c r="D81" s="400"/>
      <c r="E81" s="400"/>
      <c r="F81" s="400"/>
      <c r="G81" s="400"/>
      <c r="H81" s="400"/>
      <c r="I81" s="400"/>
      <c r="J81" s="401"/>
      <c r="K81" s="402"/>
      <c r="L81" s="403"/>
      <c r="M81" s="404"/>
      <c r="N81" s="400"/>
      <c r="O81" s="400"/>
      <c r="P81" s="399" t="str">
        <f t="shared" si="4"/>
        <v/>
      </c>
      <c r="Q81" s="405" t="str" cm="1">
        <f t="array" ref="Q81">+_xlfn.IFS(O81="Nacional","CLP",O81="Extranjero","USD",O81="","")</f>
        <v/>
      </c>
      <c r="R81" s="406" t="str">
        <f>IFERROR(IF(O81="Nacional",VLOOKUP(P81,PRICING!$D$4:$E$59,2,FALSE),VLOOKUP(P81,PRICING!$J$4:$K$59,2,FALSE)),"")</f>
        <v/>
      </c>
      <c r="S81"/>
      <c r="T81" s="407"/>
      <c r="U81" s="406" t="str">
        <f t="shared" si="5"/>
        <v/>
      </c>
      <c r="V81" s="400"/>
      <c r="W81" s="408" t="str">
        <f t="shared" si="6"/>
        <v/>
      </c>
      <c r="X81" s="409" t="str">
        <f t="shared" si="7"/>
        <v/>
      </c>
    </row>
    <row r="82" spans="1:24" ht="16" x14ac:dyDescent="0.25">
      <c r="A82" s="399" t="str">
        <f>IF(B82="","",CONCATENATE("GBL",B82," - ",Mantenedor!E86))</f>
        <v/>
      </c>
      <c r="B82" s="400"/>
      <c r="C82" s="400"/>
      <c r="D82" s="400"/>
      <c r="E82" s="400"/>
      <c r="F82" s="400"/>
      <c r="G82" s="400"/>
      <c r="H82" s="400"/>
      <c r="I82" s="400"/>
      <c r="J82" s="401"/>
      <c r="K82" s="402"/>
      <c r="L82" s="403"/>
      <c r="M82" s="404"/>
      <c r="N82" s="400"/>
      <c r="O82" s="400"/>
      <c r="P82" s="399" t="str">
        <f t="shared" si="4"/>
        <v/>
      </c>
      <c r="Q82" s="405" t="str" cm="1">
        <f t="array" ref="Q82">+_xlfn.IFS(O82="Nacional","CLP",O82="Extranjero","USD",O82="","")</f>
        <v/>
      </c>
      <c r="R82" s="406" t="str">
        <f>IFERROR(IF(O82="Nacional",VLOOKUP(P82,PRICING!$D$4:$E$59,2,FALSE),VLOOKUP(P82,PRICING!$J$4:$K$59,2,FALSE)),"")</f>
        <v/>
      </c>
      <c r="S82"/>
      <c r="T82" s="407"/>
      <c r="U82" s="406" t="str">
        <f t="shared" si="5"/>
        <v/>
      </c>
      <c r="V82" s="400"/>
      <c r="W82" s="408" t="str">
        <f t="shared" si="6"/>
        <v/>
      </c>
      <c r="X82" s="409" t="str">
        <f t="shared" si="7"/>
        <v/>
      </c>
    </row>
    <row r="83" spans="1:24" ht="16" x14ac:dyDescent="0.25">
      <c r="A83" s="399" t="str">
        <f>IF(B83="","",CONCATENATE("GBL",B83," - ",Mantenedor!E87))</f>
        <v/>
      </c>
      <c r="B83" s="400"/>
      <c r="C83" s="400"/>
      <c r="D83" s="400"/>
      <c r="E83" s="400"/>
      <c r="F83" s="400"/>
      <c r="G83" s="400"/>
      <c r="H83" s="400"/>
      <c r="I83" s="400"/>
      <c r="J83" s="401"/>
      <c r="K83" s="402"/>
      <c r="L83" s="403"/>
      <c r="M83" s="404"/>
      <c r="N83" s="400"/>
      <c r="O83" s="400"/>
      <c r="P83" s="399" t="str">
        <f t="shared" si="4"/>
        <v/>
      </c>
      <c r="Q83" s="405" t="str" cm="1">
        <f t="array" ref="Q83">+_xlfn.IFS(O83="Nacional","CLP",O83="Extranjero","USD",O83="","")</f>
        <v/>
      </c>
      <c r="R83" s="406" t="str">
        <f>IFERROR(IF(O83="Nacional",VLOOKUP(P83,PRICING!$D$4:$E$59,2,FALSE),VLOOKUP(P83,PRICING!$J$4:$K$59,2,FALSE)),"")</f>
        <v/>
      </c>
      <c r="S83"/>
      <c r="T83" s="407"/>
      <c r="U83" s="406" t="str">
        <f t="shared" si="5"/>
        <v/>
      </c>
      <c r="V83" s="400"/>
      <c r="W83" s="408" t="str">
        <f t="shared" si="6"/>
        <v/>
      </c>
      <c r="X83" s="409" t="str">
        <f t="shared" si="7"/>
        <v/>
      </c>
    </row>
    <row r="84" spans="1:24" ht="16" x14ac:dyDescent="0.25">
      <c r="A84" s="399" t="str">
        <f>IF(B84="","",CONCATENATE("GBL",B84," - ",Mantenedor!E88))</f>
        <v/>
      </c>
      <c r="B84" s="400"/>
      <c r="C84" s="400"/>
      <c r="D84" s="400"/>
      <c r="E84" s="400"/>
      <c r="F84" s="400"/>
      <c r="G84" s="400"/>
      <c r="H84" s="400"/>
      <c r="I84" s="400"/>
      <c r="J84" s="401"/>
      <c r="K84" s="402"/>
      <c r="L84" s="403"/>
      <c r="M84" s="404"/>
      <c r="N84" s="400"/>
      <c r="O84" s="400"/>
      <c r="P84" s="399" t="str">
        <f t="shared" si="4"/>
        <v/>
      </c>
      <c r="Q84" s="405" t="str" cm="1">
        <f t="array" ref="Q84">+_xlfn.IFS(O84="Nacional","CLP",O84="Extranjero","USD",O84="","")</f>
        <v/>
      </c>
      <c r="R84" s="406" t="str">
        <f>IFERROR(IF(O84="Nacional",VLOOKUP(P84,PRICING!$D$4:$E$59,2,FALSE),VLOOKUP(P84,PRICING!$J$4:$K$59,2,FALSE)),"")</f>
        <v/>
      </c>
      <c r="S84"/>
      <c r="T84" s="407"/>
      <c r="U84" s="406" t="str">
        <f t="shared" si="5"/>
        <v/>
      </c>
      <c r="V84" s="400"/>
      <c r="W84" s="408" t="str">
        <f t="shared" si="6"/>
        <v/>
      </c>
      <c r="X84" s="409" t="str">
        <f t="shared" si="7"/>
        <v/>
      </c>
    </row>
    <row r="85" spans="1:24" ht="16" x14ac:dyDescent="0.25">
      <c r="A85" s="399" t="str">
        <f>IF(B85="","",CONCATENATE("GBL",B85," - ",Mantenedor!E89))</f>
        <v/>
      </c>
      <c r="B85" s="400"/>
      <c r="C85" s="400"/>
      <c r="D85" s="400"/>
      <c r="E85" s="400"/>
      <c r="F85" s="400"/>
      <c r="G85" s="400"/>
      <c r="H85" s="400"/>
      <c r="I85" s="400"/>
      <c r="J85" s="401"/>
      <c r="K85" s="402"/>
      <c r="L85" s="403"/>
      <c r="M85" s="404"/>
      <c r="N85" s="400"/>
      <c r="O85" s="400"/>
      <c r="P85" s="399" t="str">
        <f t="shared" si="4"/>
        <v/>
      </c>
      <c r="Q85" s="405" t="str" cm="1">
        <f t="array" ref="Q85">+_xlfn.IFS(O85="Nacional","CLP",O85="Extranjero","USD",O85="","")</f>
        <v/>
      </c>
      <c r="R85" s="406" t="str">
        <f>IFERROR(IF(O85="Nacional",VLOOKUP(P85,PRICING!$D$4:$E$59,2,FALSE),VLOOKUP(P85,PRICING!$J$4:$K$59,2,FALSE)),"")</f>
        <v/>
      </c>
      <c r="S85"/>
      <c r="T85" s="407"/>
      <c r="U85" s="406" t="str">
        <f t="shared" si="5"/>
        <v/>
      </c>
      <c r="V85" s="400"/>
      <c r="W85" s="408" t="str">
        <f t="shared" si="6"/>
        <v/>
      </c>
      <c r="X85" s="409" t="str">
        <f t="shared" si="7"/>
        <v/>
      </c>
    </row>
    <row r="86" spans="1:24" ht="16" x14ac:dyDescent="0.25">
      <c r="A86" s="399" t="str">
        <f>IF(B86="","",CONCATENATE("GBL",B86," - ",Mantenedor!E90))</f>
        <v/>
      </c>
      <c r="B86" s="400"/>
      <c r="C86" s="400"/>
      <c r="D86" s="400"/>
      <c r="E86" s="400"/>
      <c r="F86" s="400"/>
      <c r="G86" s="400"/>
      <c r="H86" s="400"/>
      <c r="I86" s="400"/>
      <c r="J86" s="401"/>
      <c r="K86" s="402"/>
      <c r="L86" s="403"/>
      <c r="M86" s="404"/>
      <c r="N86" s="400"/>
      <c r="O86" s="400"/>
      <c r="P86" s="399" t="str">
        <f t="shared" si="4"/>
        <v/>
      </c>
      <c r="Q86" s="405" t="str" cm="1">
        <f t="array" ref="Q86">+_xlfn.IFS(O86="Nacional","CLP",O86="Extranjero","USD",O86="","")</f>
        <v/>
      </c>
      <c r="R86" s="406" t="str">
        <f>IFERROR(IF(O86="Nacional",VLOOKUP(P86,PRICING!$D$4:$E$59,2,FALSE),VLOOKUP(P86,PRICING!$J$4:$K$59,2,FALSE)),"")</f>
        <v/>
      </c>
      <c r="S86"/>
      <c r="T86" s="407"/>
      <c r="U86" s="406" t="str">
        <f t="shared" si="5"/>
        <v/>
      </c>
      <c r="V86" s="400"/>
      <c r="W86" s="408" t="str">
        <f t="shared" si="6"/>
        <v/>
      </c>
      <c r="X86" s="409" t="str">
        <f t="shared" si="7"/>
        <v/>
      </c>
    </row>
    <row r="87" spans="1:24" ht="16" x14ac:dyDescent="0.25">
      <c r="A87" s="399" t="str">
        <f>IF(B87="","",CONCATENATE("GBL",B87," - ",Mantenedor!E91))</f>
        <v/>
      </c>
      <c r="B87" s="400"/>
      <c r="C87" s="400"/>
      <c r="D87" s="400"/>
      <c r="E87" s="400"/>
      <c r="F87" s="400"/>
      <c r="G87" s="400"/>
      <c r="H87" s="400"/>
      <c r="I87" s="400"/>
      <c r="J87" s="401"/>
      <c r="K87" s="402"/>
      <c r="L87" s="403"/>
      <c r="M87" s="404"/>
      <c r="N87" s="400"/>
      <c r="O87" s="400"/>
      <c r="P87" s="399" t="str">
        <f t="shared" si="4"/>
        <v/>
      </c>
      <c r="Q87" s="405" t="str" cm="1">
        <f t="array" ref="Q87">+_xlfn.IFS(O87="Nacional","CLP",O87="Extranjero","USD",O87="","")</f>
        <v/>
      </c>
      <c r="R87" s="406" t="str">
        <f>IFERROR(IF(O87="Nacional",VLOOKUP(P87,PRICING!$D$4:$E$59,2,FALSE),VLOOKUP(P87,PRICING!$J$4:$K$59,2,FALSE)),"")</f>
        <v/>
      </c>
      <c r="S87"/>
      <c r="T87" s="407"/>
      <c r="U87" s="406" t="str">
        <f t="shared" si="5"/>
        <v/>
      </c>
      <c r="V87" s="400"/>
      <c r="W87" s="408" t="str">
        <f t="shared" si="6"/>
        <v/>
      </c>
      <c r="X87" s="409" t="str">
        <f t="shared" si="7"/>
        <v/>
      </c>
    </row>
    <row r="88" spans="1:24" ht="16" x14ac:dyDescent="0.25">
      <c r="A88" s="399" t="str">
        <f>IF(B88="","",CONCATENATE("GBL",B88," - ",Mantenedor!E92))</f>
        <v/>
      </c>
      <c r="B88" s="400"/>
      <c r="C88" s="400"/>
      <c r="D88" s="400"/>
      <c r="E88" s="400"/>
      <c r="F88" s="400"/>
      <c r="G88" s="400"/>
      <c r="H88" s="400"/>
      <c r="I88" s="400"/>
      <c r="J88" s="401"/>
      <c r="K88" s="402"/>
      <c r="L88" s="403"/>
      <c r="M88" s="404"/>
      <c r="N88" s="400"/>
      <c r="O88" s="400"/>
      <c r="P88" s="399" t="str">
        <f t="shared" si="4"/>
        <v/>
      </c>
      <c r="Q88" s="405" t="str" cm="1">
        <f t="array" ref="Q88">+_xlfn.IFS(O88="Nacional","CLP",O88="Extranjero","USD",O88="","")</f>
        <v/>
      </c>
      <c r="R88" s="406" t="str">
        <f>IFERROR(IF(O88="Nacional",VLOOKUP(P88,PRICING!$D$4:$E$59,2,FALSE),VLOOKUP(P88,PRICING!$J$4:$K$59,2,FALSE)),"")</f>
        <v/>
      </c>
      <c r="S88"/>
      <c r="T88" s="407"/>
      <c r="U88" s="406" t="str">
        <f t="shared" si="5"/>
        <v/>
      </c>
      <c r="V88" s="400"/>
      <c r="W88" s="408" t="str">
        <f t="shared" si="6"/>
        <v/>
      </c>
      <c r="X88" s="409" t="str">
        <f t="shared" si="7"/>
        <v/>
      </c>
    </row>
    <row r="89" spans="1:24" ht="16" x14ac:dyDescent="0.25">
      <c r="A89" s="399" t="str">
        <f>IF(B89="","",CONCATENATE("GBL",B89," - ",Mantenedor!E93))</f>
        <v/>
      </c>
      <c r="B89" s="400"/>
      <c r="C89" s="400"/>
      <c r="D89" s="400"/>
      <c r="E89" s="400"/>
      <c r="F89" s="400"/>
      <c r="G89" s="400"/>
      <c r="H89" s="400"/>
      <c r="I89" s="400"/>
      <c r="J89" s="401"/>
      <c r="K89" s="402"/>
      <c r="L89" s="403"/>
      <c r="M89" s="404"/>
      <c r="N89" s="400"/>
      <c r="O89" s="400"/>
      <c r="P89" s="399" t="str">
        <f t="shared" si="4"/>
        <v/>
      </c>
      <c r="Q89" s="405" t="str" cm="1">
        <f t="array" ref="Q89">+_xlfn.IFS(O89="Nacional","CLP",O89="Extranjero","USD",O89="","")</f>
        <v/>
      </c>
      <c r="R89" s="406" t="str">
        <f>IFERROR(IF(O89="Nacional",VLOOKUP(P89,PRICING!$D$4:$E$59,2,FALSE),VLOOKUP(P89,PRICING!$J$4:$K$59,2,FALSE)),"")</f>
        <v/>
      </c>
      <c r="S89"/>
      <c r="T89" s="407"/>
      <c r="U89" s="406" t="str">
        <f t="shared" si="5"/>
        <v/>
      </c>
      <c r="V89" s="400"/>
      <c r="W89" s="408" t="str">
        <f t="shared" si="6"/>
        <v/>
      </c>
      <c r="X89" s="409" t="str">
        <f t="shared" si="7"/>
        <v/>
      </c>
    </row>
    <row r="90" spans="1:24" ht="16" x14ac:dyDescent="0.25">
      <c r="A90" s="399" t="str">
        <f>IF(B90="","",CONCATENATE("GBL",B90," - ",Mantenedor!E94))</f>
        <v/>
      </c>
      <c r="B90" s="400"/>
      <c r="C90" s="400"/>
      <c r="D90" s="400"/>
      <c r="E90" s="400"/>
      <c r="F90" s="400"/>
      <c r="G90" s="400"/>
      <c r="H90" s="400"/>
      <c r="I90" s="400"/>
      <c r="J90" s="401"/>
      <c r="K90" s="402"/>
      <c r="L90" s="403"/>
      <c r="M90" s="404"/>
      <c r="N90" s="400"/>
      <c r="O90" s="400"/>
      <c r="P90" s="399" t="str">
        <f t="shared" si="4"/>
        <v/>
      </c>
      <c r="Q90" s="405" t="str" cm="1">
        <f t="array" ref="Q90">+_xlfn.IFS(O90="Nacional","CLP",O90="Extranjero","USD",O90="","")</f>
        <v/>
      </c>
      <c r="R90" s="406" t="str">
        <f>IFERROR(IF(O90="Nacional",VLOOKUP(P90,PRICING!$D$4:$E$59,2,FALSE),VLOOKUP(P90,PRICING!$J$4:$K$59,2,FALSE)),"")</f>
        <v/>
      </c>
      <c r="S90"/>
      <c r="T90" s="407"/>
      <c r="U90" s="406" t="str">
        <f t="shared" si="5"/>
        <v/>
      </c>
      <c r="V90" s="400"/>
      <c r="W90" s="408" t="str">
        <f t="shared" si="6"/>
        <v/>
      </c>
      <c r="X90" s="409" t="str">
        <f t="shared" si="7"/>
        <v/>
      </c>
    </row>
    <row r="91" spans="1:24" ht="16" x14ac:dyDescent="0.25">
      <c r="A91" s="399" t="str">
        <f>IF(B91="","",CONCATENATE("GBL",B91," - ",Mantenedor!E95))</f>
        <v/>
      </c>
      <c r="B91" s="400"/>
      <c r="C91" s="400"/>
      <c r="D91" s="400"/>
      <c r="E91" s="400"/>
      <c r="F91" s="400"/>
      <c r="G91" s="400"/>
      <c r="H91" s="400"/>
      <c r="I91" s="400"/>
      <c r="J91" s="401"/>
      <c r="K91" s="402"/>
      <c r="L91" s="403"/>
      <c r="M91" s="404"/>
      <c r="N91" s="400"/>
      <c r="O91" s="400"/>
      <c r="P91" s="399" t="str">
        <f t="shared" si="4"/>
        <v/>
      </c>
      <c r="Q91" s="405" t="str" cm="1">
        <f t="array" ref="Q91">+_xlfn.IFS(O91="Nacional","CLP",O91="Extranjero","USD",O91="","")</f>
        <v/>
      </c>
      <c r="R91" s="406" t="str">
        <f>IFERROR(IF(O91="Nacional",VLOOKUP(P91,PRICING!$D$4:$E$59,2,FALSE),VLOOKUP(P91,PRICING!$J$4:$K$59,2,FALSE)),"")</f>
        <v/>
      </c>
      <c r="S91"/>
      <c r="T91" s="407"/>
      <c r="U91" s="406" t="str">
        <f t="shared" si="5"/>
        <v/>
      </c>
      <c r="V91" s="400"/>
      <c r="W91" s="408" t="str">
        <f t="shared" si="6"/>
        <v/>
      </c>
      <c r="X91" s="409" t="str">
        <f t="shared" si="7"/>
        <v/>
      </c>
    </row>
    <row r="92" spans="1:24" ht="16" x14ac:dyDescent="0.25">
      <c r="A92" s="399" t="str">
        <f>IF(B92="","",CONCATENATE("GBL",B92," - ",Mantenedor!E96))</f>
        <v/>
      </c>
      <c r="B92" s="400"/>
      <c r="C92" s="400"/>
      <c r="D92" s="400"/>
      <c r="E92" s="400"/>
      <c r="F92" s="400"/>
      <c r="G92" s="400"/>
      <c r="H92" s="400"/>
      <c r="I92" s="400"/>
      <c r="J92" s="401"/>
      <c r="K92" s="402"/>
      <c r="L92" s="403"/>
      <c r="M92" s="404"/>
      <c r="N92" s="400"/>
      <c r="O92" s="400"/>
      <c r="P92" s="399" t="str">
        <f t="shared" si="4"/>
        <v/>
      </c>
      <c r="Q92" s="405" t="str" cm="1">
        <f t="array" ref="Q92">+_xlfn.IFS(O92="Nacional","CLP",O92="Extranjero","USD",O92="","")</f>
        <v/>
      </c>
      <c r="R92" s="406" t="str">
        <f>IFERROR(IF(O92="Nacional",VLOOKUP(P92,PRICING!$D$4:$E$59,2,FALSE),VLOOKUP(P92,PRICING!$J$4:$K$59,2,FALSE)),"")</f>
        <v/>
      </c>
      <c r="S92"/>
      <c r="T92" s="407"/>
      <c r="U92" s="406" t="str">
        <f t="shared" si="5"/>
        <v/>
      </c>
      <c r="V92" s="400"/>
      <c r="W92" s="408" t="str">
        <f t="shared" si="6"/>
        <v/>
      </c>
      <c r="X92" s="409" t="str">
        <f t="shared" si="7"/>
        <v/>
      </c>
    </row>
    <row r="93" spans="1:24" ht="16" x14ac:dyDescent="0.25">
      <c r="A93" s="399" t="str">
        <f>IF(B93="","",CONCATENATE("GBL",B93," - ",Mantenedor!E97))</f>
        <v/>
      </c>
      <c r="B93" s="400"/>
      <c r="C93" s="400"/>
      <c r="D93" s="400"/>
      <c r="E93" s="400"/>
      <c r="F93" s="400"/>
      <c r="G93" s="400"/>
      <c r="H93" s="400"/>
      <c r="I93" s="400"/>
      <c r="J93" s="401"/>
      <c r="K93" s="402"/>
      <c r="L93" s="403"/>
      <c r="M93" s="404"/>
      <c r="N93" s="400"/>
      <c r="O93" s="400"/>
      <c r="P93" s="399" t="str">
        <f t="shared" si="4"/>
        <v/>
      </c>
      <c r="Q93" s="405" t="str" cm="1">
        <f t="array" ref="Q93">+_xlfn.IFS(O93="Nacional","CLP",O93="Extranjero","USD",O93="","")</f>
        <v/>
      </c>
      <c r="R93" s="406" t="str">
        <f>IFERROR(IF(O93="Nacional",VLOOKUP(P93,PRICING!$D$4:$E$59,2,FALSE),VLOOKUP(P93,PRICING!$J$4:$K$59,2,FALSE)),"")</f>
        <v/>
      </c>
      <c r="S93"/>
      <c r="T93" s="407"/>
      <c r="U93" s="406" t="str">
        <f t="shared" si="5"/>
        <v/>
      </c>
      <c r="V93" s="400"/>
      <c r="W93" s="408" t="str">
        <f t="shared" si="6"/>
        <v/>
      </c>
      <c r="X93" s="409" t="str">
        <f t="shared" si="7"/>
        <v/>
      </c>
    </row>
    <row r="94" spans="1:24" ht="16" x14ac:dyDescent="0.25">
      <c r="A94" s="399" t="str">
        <f>IF(B94="","",CONCATENATE("GBL",B94," - ",Mantenedor!E98))</f>
        <v/>
      </c>
      <c r="B94" s="400"/>
      <c r="C94" s="400"/>
      <c r="D94" s="400"/>
      <c r="E94" s="400"/>
      <c r="F94" s="400"/>
      <c r="G94" s="400"/>
      <c r="H94" s="400"/>
      <c r="I94" s="400"/>
      <c r="J94" s="401"/>
      <c r="K94" s="402"/>
      <c r="L94" s="403"/>
      <c r="M94" s="404"/>
      <c r="N94" s="400"/>
      <c r="O94" s="400"/>
      <c r="P94" s="399" t="str">
        <f t="shared" si="4"/>
        <v/>
      </c>
      <c r="Q94" s="405" t="str" cm="1">
        <f t="array" ref="Q94">+_xlfn.IFS(O94="Nacional","CLP",O94="Extranjero","USD",O94="","")</f>
        <v/>
      </c>
      <c r="R94" s="406" t="str">
        <f>IFERROR(IF(O94="Nacional",VLOOKUP(P94,PRICING!$D$4:$E$59,2,FALSE),VLOOKUP(P94,PRICING!$J$4:$K$59,2,FALSE)),"")</f>
        <v/>
      </c>
      <c r="S94"/>
      <c r="T94" s="407"/>
      <c r="U94" s="406" t="str">
        <f t="shared" si="5"/>
        <v/>
      </c>
      <c r="V94" s="400"/>
      <c r="W94" s="408" t="str">
        <f t="shared" si="6"/>
        <v/>
      </c>
      <c r="X94" s="409" t="str">
        <f t="shared" si="7"/>
        <v/>
      </c>
    </row>
    <row r="95" spans="1:24" ht="16" x14ac:dyDescent="0.25">
      <c r="A95" s="399" t="str">
        <f>IF(B95="","",CONCATENATE("GBL",B95," - ",Mantenedor!E99))</f>
        <v/>
      </c>
      <c r="B95" s="400"/>
      <c r="C95" s="400"/>
      <c r="D95" s="400"/>
      <c r="E95" s="400"/>
      <c r="F95" s="400"/>
      <c r="G95" s="400"/>
      <c r="H95" s="400"/>
      <c r="I95" s="400"/>
      <c r="J95" s="401"/>
      <c r="K95" s="402"/>
      <c r="L95" s="403"/>
      <c r="M95" s="404"/>
      <c r="N95" s="400"/>
      <c r="O95" s="400"/>
      <c r="P95" s="399" t="str">
        <f t="shared" si="4"/>
        <v/>
      </c>
      <c r="Q95" s="405" t="str" cm="1">
        <f t="array" ref="Q95">+_xlfn.IFS(O95="Nacional","CLP",O95="Extranjero","USD",O95="","")</f>
        <v/>
      </c>
      <c r="R95" s="406" t="str">
        <f>IFERROR(IF(O95="Nacional",VLOOKUP(P95,PRICING!$D$4:$E$59,2,FALSE),VLOOKUP(P95,PRICING!$J$4:$K$59,2,FALSE)),"")</f>
        <v/>
      </c>
      <c r="S95"/>
      <c r="T95" s="407"/>
      <c r="U95" s="406" t="str">
        <f t="shared" si="5"/>
        <v/>
      </c>
      <c r="V95" s="400"/>
      <c r="W95" s="408" t="str">
        <f t="shared" si="6"/>
        <v/>
      </c>
      <c r="X95" s="409" t="str">
        <f t="shared" si="7"/>
        <v/>
      </c>
    </row>
    <row r="96" spans="1:24" ht="16" x14ac:dyDescent="0.25">
      <c r="A96" s="399" t="str">
        <f>IF(B96="","",CONCATENATE("GBL",B96," - ",Mantenedor!E100))</f>
        <v/>
      </c>
      <c r="B96" s="400"/>
      <c r="C96" s="400"/>
      <c r="D96" s="400"/>
      <c r="E96" s="400"/>
      <c r="F96" s="400"/>
      <c r="G96" s="400"/>
      <c r="H96" s="400"/>
      <c r="I96" s="400"/>
      <c r="J96" s="401"/>
      <c r="K96" s="402"/>
      <c r="L96" s="403"/>
      <c r="M96" s="404"/>
      <c r="N96" s="400"/>
      <c r="O96" s="400"/>
      <c r="P96" s="399" t="str">
        <f t="shared" si="4"/>
        <v/>
      </c>
      <c r="Q96" s="405" t="str" cm="1">
        <f t="array" ref="Q96">+_xlfn.IFS(O96="Nacional","CLP",O96="Extranjero","USD",O96="","")</f>
        <v/>
      </c>
      <c r="R96" s="406" t="str">
        <f>IFERROR(IF(O96="Nacional",VLOOKUP(P96,PRICING!$D$4:$E$59,2,FALSE),VLOOKUP(P96,PRICING!$J$4:$K$59,2,FALSE)),"")</f>
        <v/>
      </c>
      <c r="S96"/>
      <c r="T96" s="407"/>
      <c r="U96" s="406" t="str">
        <f t="shared" si="5"/>
        <v/>
      </c>
      <c r="V96" s="400"/>
      <c r="W96" s="408" t="str">
        <f t="shared" si="6"/>
        <v/>
      </c>
      <c r="X96" s="409" t="str">
        <f t="shared" si="7"/>
        <v/>
      </c>
    </row>
    <row r="97" spans="1:24" ht="16" x14ac:dyDescent="0.25">
      <c r="A97" s="399" t="str">
        <f>IF(B97="","",CONCATENATE("GBL",B97," - ",Mantenedor!E101))</f>
        <v/>
      </c>
      <c r="B97" s="400"/>
      <c r="C97" s="400"/>
      <c r="D97" s="400"/>
      <c r="E97" s="400"/>
      <c r="F97" s="400"/>
      <c r="G97" s="400"/>
      <c r="H97" s="400"/>
      <c r="I97" s="400"/>
      <c r="J97" s="401"/>
      <c r="K97" s="402"/>
      <c r="L97" s="403"/>
      <c r="M97" s="404"/>
      <c r="N97" s="400"/>
      <c r="O97" s="400"/>
      <c r="P97" s="399" t="str">
        <f t="shared" si="4"/>
        <v/>
      </c>
      <c r="Q97" s="405" t="str" cm="1">
        <f t="array" ref="Q97">+_xlfn.IFS(O97="Nacional","CLP",O97="Extranjero","USD",O97="","")</f>
        <v/>
      </c>
      <c r="R97" s="406" t="str">
        <f>IFERROR(IF(O97="Nacional",VLOOKUP(P97,PRICING!$D$4:$E$59,2,FALSE),VLOOKUP(P97,PRICING!$J$4:$K$59,2,FALSE)),"")</f>
        <v/>
      </c>
      <c r="S97"/>
      <c r="T97" s="407"/>
      <c r="U97" s="406" t="str">
        <f t="shared" si="5"/>
        <v/>
      </c>
      <c r="V97" s="400"/>
      <c r="W97" s="408" t="str">
        <f t="shared" si="6"/>
        <v/>
      </c>
      <c r="X97" s="409" t="str">
        <f t="shared" si="7"/>
        <v/>
      </c>
    </row>
    <row r="98" spans="1:24" ht="16" x14ac:dyDescent="0.25">
      <c r="A98" s="399" t="str">
        <f>IF(B98="","",CONCATENATE("GBL",B98," - ",Mantenedor!E102))</f>
        <v/>
      </c>
      <c r="B98" s="400"/>
      <c r="C98" s="400"/>
      <c r="D98" s="400"/>
      <c r="E98" s="400"/>
      <c r="F98" s="400"/>
      <c r="G98" s="400"/>
      <c r="H98" s="400"/>
      <c r="I98" s="400"/>
      <c r="J98" s="401"/>
      <c r="K98" s="402"/>
      <c r="L98" s="403"/>
      <c r="M98" s="404"/>
      <c r="N98" s="400"/>
      <c r="O98" s="400"/>
      <c r="P98" s="399" t="str">
        <f t="shared" si="4"/>
        <v/>
      </c>
      <c r="Q98" s="405" t="str" cm="1">
        <f t="array" ref="Q98">+_xlfn.IFS(O98="Nacional","CLP",O98="Extranjero","USD",O98="","")</f>
        <v/>
      </c>
      <c r="R98" s="406" t="str">
        <f>IFERROR(IF(O98="Nacional",VLOOKUP(P98,PRICING!$D$4:$E$59,2,FALSE),VLOOKUP(P98,PRICING!$J$4:$K$59,2,FALSE)),"")</f>
        <v/>
      </c>
      <c r="S98"/>
      <c r="T98" s="407"/>
      <c r="U98" s="406" t="str">
        <f t="shared" si="5"/>
        <v/>
      </c>
      <c r="V98" s="400"/>
      <c r="W98" s="408" t="str">
        <f t="shared" si="6"/>
        <v/>
      </c>
      <c r="X98" s="409" t="str">
        <f t="shared" si="7"/>
        <v/>
      </c>
    </row>
    <row r="99" spans="1:24" ht="16" x14ac:dyDescent="0.25">
      <c r="A99" s="399" t="str">
        <f>IF(B99="","",CONCATENATE("GBL",B99," - ",Mantenedor!E103))</f>
        <v/>
      </c>
      <c r="B99" s="400"/>
      <c r="C99" s="400"/>
      <c r="D99" s="400"/>
      <c r="E99" s="400"/>
      <c r="F99" s="400"/>
      <c r="G99" s="400"/>
      <c r="H99" s="400"/>
      <c r="I99" s="400"/>
      <c r="J99" s="401"/>
      <c r="K99" s="402"/>
      <c r="L99" s="403"/>
      <c r="M99" s="404"/>
      <c r="N99" s="400"/>
      <c r="O99" s="400"/>
      <c r="P99" s="399" t="str">
        <f t="shared" si="4"/>
        <v/>
      </c>
      <c r="Q99" s="405" t="str" cm="1">
        <f t="array" ref="Q99">+_xlfn.IFS(O99="Nacional","CLP",O99="Extranjero","USD",O99="","")</f>
        <v/>
      </c>
      <c r="R99" s="406" t="str">
        <f>IFERROR(IF(O99="Nacional",VLOOKUP(P99,PRICING!$D$4:$E$59,2,FALSE),VLOOKUP(P99,PRICING!$J$4:$K$59,2,FALSE)),"")</f>
        <v/>
      </c>
      <c r="S99"/>
      <c r="T99" s="407"/>
      <c r="U99" s="406" t="str">
        <f t="shared" si="5"/>
        <v/>
      </c>
      <c r="V99" s="400"/>
      <c r="W99" s="408" t="str">
        <f t="shared" si="6"/>
        <v/>
      </c>
      <c r="X99" s="409" t="str">
        <f t="shared" si="7"/>
        <v/>
      </c>
    </row>
    <row r="100" spans="1:24" ht="16" x14ac:dyDescent="0.25">
      <c r="A100" s="399" t="str">
        <f>IF(B100="","",CONCATENATE("GBL",B100," - ",Mantenedor!E104))</f>
        <v/>
      </c>
      <c r="B100" s="400"/>
      <c r="C100" s="400"/>
      <c r="D100" s="400"/>
      <c r="E100" s="400"/>
      <c r="F100" s="400"/>
      <c r="G100" s="400"/>
      <c r="H100" s="400"/>
      <c r="I100" s="400"/>
      <c r="J100" s="401"/>
      <c r="K100" s="402"/>
      <c r="L100" s="403"/>
      <c r="M100" s="404"/>
      <c r="N100" s="400"/>
      <c r="O100" s="400"/>
      <c r="P100" s="399" t="str">
        <f t="shared" si="4"/>
        <v/>
      </c>
      <c r="Q100" s="405" t="str" cm="1">
        <f t="array" ref="Q100">+_xlfn.IFS(O100="Nacional","CLP",O100="Extranjero","USD",O100="","")</f>
        <v/>
      </c>
      <c r="R100" s="406" t="str">
        <f>IFERROR(IF(O100="Nacional",VLOOKUP(P100,PRICING!$D$4:$E$59,2,FALSE),VLOOKUP(P100,PRICING!$J$4:$K$59,2,FALSE)),"")</f>
        <v/>
      </c>
      <c r="S100"/>
      <c r="T100" s="407"/>
      <c r="U100" s="406" t="str">
        <f t="shared" si="5"/>
        <v/>
      </c>
      <c r="V100" s="400"/>
      <c r="W100" s="408" t="str">
        <f t="shared" si="6"/>
        <v/>
      </c>
      <c r="X100" s="409" t="str">
        <f t="shared" si="7"/>
        <v/>
      </c>
    </row>
    <row r="101" spans="1:24" ht="16" x14ac:dyDescent="0.25">
      <c r="A101" s="399" t="str">
        <f>IF(B101="","",CONCATENATE("GBL",B101," - ",Mantenedor!E105))</f>
        <v/>
      </c>
      <c r="B101" s="400"/>
      <c r="C101" s="400"/>
      <c r="D101" s="400"/>
      <c r="E101" s="400"/>
      <c r="F101" s="400"/>
      <c r="G101" s="400"/>
      <c r="H101" s="400"/>
      <c r="I101" s="400"/>
      <c r="J101" s="401"/>
      <c r="K101" s="402"/>
      <c r="L101" s="403"/>
      <c r="M101" s="404"/>
      <c r="N101" s="400"/>
      <c r="O101" s="400"/>
      <c r="P101" s="399" t="str">
        <f t="shared" si="4"/>
        <v/>
      </c>
      <c r="Q101" s="405" t="str" cm="1">
        <f t="array" ref="Q101">+_xlfn.IFS(O101="Nacional","CLP",O101="Extranjero","USD",O101="","")</f>
        <v/>
      </c>
      <c r="R101" s="406" t="str">
        <f>IFERROR(IF(O101="Nacional",VLOOKUP(P101,PRICING!$D$4:$E$59,2,FALSE),VLOOKUP(P101,PRICING!$J$4:$K$59,2,FALSE)),"")</f>
        <v/>
      </c>
      <c r="S101"/>
      <c r="T101" s="407"/>
      <c r="U101" s="406" t="str">
        <f t="shared" si="5"/>
        <v/>
      </c>
      <c r="V101" s="400"/>
      <c r="W101" s="408" t="str">
        <f t="shared" si="6"/>
        <v/>
      </c>
      <c r="X101" s="409" t="str">
        <f t="shared" si="7"/>
        <v/>
      </c>
    </row>
    <row r="102" spans="1:24" ht="16" x14ac:dyDescent="0.25">
      <c r="A102" s="399" t="str">
        <f>IF(B102="","",CONCATENATE("GBL",B102," - ",Mantenedor!E106))</f>
        <v/>
      </c>
      <c r="B102" s="400"/>
      <c r="C102" s="400"/>
      <c r="D102" s="400"/>
      <c r="E102" s="400"/>
      <c r="F102" s="400"/>
      <c r="G102" s="400"/>
      <c r="H102" s="400"/>
      <c r="I102" s="400"/>
      <c r="J102" s="401"/>
      <c r="K102" s="402"/>
      <c r="L102" s="403"/>
      <c r="M102" s="404"/>
      <c r="N102" s="400"/>
      <c r="O102" s="400"/>
      <c r="P102" s="399" t="str">
        <f t="shared" si="4"/>
        <v/>
      </c>
      <c r="Q102" s="405" t="str" cm="1">
        <f t="array" ref="Q102">+_xlfn.IFS(O102="Nacional","CLP",O102="Extranjero","USD",O102="","")</f>
        <v/>
      </c>
      <c r="R102" s="406" t="str">
        <f>IFERROR(IF(O102="Nacional",VLOOKUP(P102,PRICING!$D$4:$E$59,2,FALSE),VLOOKUP(P102,PRICING!$J$4:$K$59,2,FALSE)),"")</f>
        <v/>
      </c>
      <c r="S102"/>
      <c r="T102" s="407"/>
      <c r="U102" s="406" t="str">
        <f t="shared" si="5"/>
        <v/>
      </c>
      <c r="V102" s="400"/>
      <c r="W102" s="408" t="str">
        <f t="shared" si="6"/>
        <v/>
      </c>
      <c r="X102" s="409" t="str">
        <f t="shared" si="7"/>
        <v/>
      </c>
    </row>
    <row r="103" spans="1:24" ht="16" x14ac:dyDescent="0.25">
      <c r="A103" s="399" t="str">
        <f>IF(B103="","",CONCATENATE("GBL",B103," - ",Mantenedor!E107))</f>
        <v/>
      </c>
      <c r="B103" s="400"/>
      <c r="C103" s="400"/>
      <c r="D103" s="400"/>
      <c r="E103" s="400"/>
      <c r="F103" s="400"/>
      <c r="G103" s="400"/>
      <c r="H103" s="400"/>
      <c r="I103" s="400"/>
      <c r="J103" s="401"/>
      <c r="K103" s="402"/>
      <c r="L103" s="403"/>
      <c r="M103" s="404"/>
      <c r="N103" s="400"/>
      <c r="O103" s="400"/>
      <c r="P103" s="399" t="str">
        <f t="shared" si="4"/>
        <v/>
      </c>
      <c r="Q103" s="405" t="str" cm="1">
        <f t="array" ref="Q103">+_xlfn.IFS(O103="Nacional","CLP",O103="Extranjero","USD",O103="","")</f>
        <v/>
      </c>
      <c r="R103" s="406" t="str">
        <f>IFERROR(IF(O103="Nacional",VLOOKUP(P103,PRICING!$D$4:$E$59,2,FALSE),VLOOKUP(P103,PRICING!$J$4:$K$59,2,FALSE)),"")</f>
        <v/>
      </c>
      <c r="S103"/>
      <c r="T103" s="407"/>
      <c r="U103" s="406" t="str">
        <f t="shared" si="5"/>
        <v/>
      </c>
      <c r="V103" s="400"/>
      <c r="W103" s="408" t="str">
        <f t="shared" si="6"/>
        <v/>
      </c>
      <c r="X103" s="409" t="str">
        <f t="shared" si="7"/>
        <v/>
      </c>
    </row>
    <row r="104" spans="1:24" ht="16" x14ac:dyDescent="0.25">
      <c r="A104" s="399" t="str">
        <f>IF(B104="","",CONCATENATE("GBL",B104," - ",Mantenedor!E108))</f>
        <v/>
      </c>
      <c r="B104" s="400"/>
      <c r="C104" s="400"/>
      <c r="D104" s="400"/>
      <c r="E104" s="400"/>
      <c r="F104" s="400"/>
      <c r="G104" s="400"/>
      <c r="H104" s="400"/>
      <c r="I104" s="400"/>
      <c r="J104" s="401"/>
      <c r="K104" s="402"/>
      <c r="L104" s="403"/>
      <c r="M104" s="404"/>
      <c r="N104" s="400"/>
      <c r="O104" s="400"/>
      <c r="P104" s="399" t="str">
        <f t="shared" si="4"/>
        <v/>
      </c>
      <c r="Q104" s="405" t="str" cm="1">
        <f t="array" ref="Q104">+_xlfn.IFS(O104="Nacional","CLP",O104="Extranjero","USD",O104="","")</f>
        <v/>
      </c>
      <c r="R104" s="406" t="str">
        <f>IFERROR(IF(O104="Nacional",VLOOKUP(P104,PRICING!$D$4:$E$59,2,FALSE),VLOOKUP(P104,PRICING!$J$4:$K$59,2,FALSE)),"")</f>
        <v/>
      </c>
      <c r="S104"/>
      <c r="T104" s="407"/>
      <c r="U104" s="406" t="str">
        <f t="shared" si="5"/>
        <v/>
      </c>
      <c r="V104" s="400"/>
      <c r="W104" s="408" t="str">
        <f t="shared" si="6"/>
        <v/>
      </c>
      <c r="X104" s="409" t="str">
        <f t="shared" si="7"/>
        <v/>
      </c>
    </row>
    <row r="105" spans="1:24" ht="16" x14ac:dyDescent="0.25">
      <c r="A105" s="399" t="str">
        <f>IF(B105="","",CONCATENATE("GBL",B105," - ",Mantenedor!E109))</f>
        <v/>
      </c>
      <c r="B105" s="400"/>
      <c r="C105" s="400"/>
      <c r="D105" s="400"/>
      <c r="E105" s="400"/>
      <c r="F105" s="400"/>
      <c r="G105" s="400"/>
      <c r="H105" s="400"/>
      <c r="I105" s="400"/>
      <c r="J105" s="401"/>
      <c r="K105" s="402"/>
      <c r="L105" s="403"/>
      <c r="M105" s="404"/>
      <c r="N105" s="400"/>
      <c r="O105" s="400"/>
      <c r="P105" s="399" t="str">
        <f t="shared" si="4"/>
        <v/>
      </c>
      <c r="Q105" s="405" t="str" cm="1">
        <f t="array" ref="Q105">+_xlfn.IFS(O105="Nacional","CLP",O105="Extranjero","USD",O105="","")</f>
        <v/>
      </c>
      <c r="R105" s="406" t="str">
        <f>IFERROR(IF(O105="Nacional",VLOOKUP(P105,PRICING!$D$4:$E$59,2,FALSE),VLOOKUP(P105,PRICING!$J$4:$K$59,2,FALSE)),"")</f>
        <v/>
      </c>
      <c r="S105"/>
      <c r="T105" s="407"/>
      <c r="U105" s="406" t="str">
        <f t="shared" si="5"/>
        <v/>
      </c>
      <c r="V105" s="400"/>
      <c r="W105" s="408" t="str">
        <f t="shared" si="6"/>
        <v/>
      </c>
      <c r="X105" s="409" t="str">
        <f t="shared" si="7"/>
        <v/>
      </c>
    </row>
    <row r="106" spans="1:24" ht="16" x14ac:dyDescent="0.25">
      <c r="A106" s="399" t="str">
        <f>IF(B106="","",CONCATENATE("GBL",B106," - ",Mantenedor!E110))</f>
        <v/>
      </c>
      <c r="B106" s="400"/>
      <c r="C106" s="400"/>
      <c r="D106" s="400"/>
      <c r="E106" s="400"/>
      <c r="F106" s="400"/>
      <c r="G106" s="400"/>
      <c r="H106" s="400"/>
      <c r="I106" s="400"/>
      <c r="J106" s="401"/>
      <c r="K106" s="402"/>
      <c r="L106" s="403"/>
      <c r="M106" s="404"/>
      <c r="N106" s="400"/>
      <c r="O106" s="400"/>
      <c r="P106" s="399" t="str">
        <f t="shared" si="4"/>
        <v/>
      </c>
      <c r="Q106" s="405" t="str" cm="1">
        <f t="array" ref="Q106">+_xlfn.IFS(O106="Nacional","CLP",O106="Extranjero","USD",O106="","")</f>
        <v/>
      </c>
      <c r="R106" s="406" t="str">
        <f>IFERROR(IF(O106="Nacional",VLOOKUP(P106,PRICING!$D$4:$E$59,2,FALSE),VLOOKUP(P106,PRICING!$J$4:$K$59,2,FALSE)),"")</f>
        <v/>
      </c>
      <c r="S106"/>
      <c r="T106" s="407"/>
      <c r="U106" s="406" t="str">
        <f t="shared" si="5"/>
        <v/>
      </c>
      <c r="V106" s="400"/>
      <c r="W106" s="408" t="str">
        <f t="shared" si="6"/>
        <v/>
      </c>
      <c r="X106" s="409" t="str">
        <f t="shared" si="7"/>
        <v/>
      </c>
    </row>
    <row r="107" spans="1:24" ht="16" x14ac:dyDescent="0.25">
      <c r="A107" s="399" t="str">
        <f>IF(B107="","",CONCATENATE("GBL",B107," - ",Mantenedor!E111))</f>
        <v/>
      </c>
      <c r="B107" s="400"/>
      <c r="C107" s="400"/>
      <c r="D107" s="400"/>
      <c r="E107" s="400"/>
      <c r="F107" s="400"/>
      <c r="G107" s="400"/>
      <c r="H107" s="400"/>
      <c r="I107" s="400"/>
      <c r="J107" s="401"/>
      <c r="K107" s="402"/>
      <c r="L107" s="403"/>
      <c r="M107" s="404"/>
      <c r="N107" s="400"/>
      <c r="O107" s="400"/>
      <c r="P107" s="399" t="str">
        <f t="shared" si="4"/>
        <v/>
      </c>
      <c r="Q107" s="405" t="str" cm="1">
        <f t="array" ref="Q107">+_xlfn.IFS(O107="Nacional","CLP",O107="Extranjero","USD",O107="","")</f>
        <v/>
      </c>
      <c r="R107" s="406" t="str">
        <f>IFERROR(IF(O107="Nacional",VLOOKUP(P107,PRICING!$D$4:$E$59,2,FALSE),VLOOKUP(P107,PRICING!$J$4:$K$59,2,FALSE)),"")</f>
        <v/>
      </c>
      <c r="S107"/>
      <c r="T107" s="407"/>
      <c r="U107" s="406" t="str">
        <f t="shared" si="5"/>
        <v/>
      </c>
      <c r="V107" s="400"/>
      <c r="W107" s="408" t="str">
        <f t="shared" si="6"/>
        <v/>
      </c>
      <c r="X107" s="409" t="str">
        <f t="shared" si="7"/>
        <v/>
      </c>
    </row>
    <row r="108" spans="1:24" ht="16" x14ac:dyDescent="0.25">
      <c r="A108" s="399" t="str">
        <f>IF(B108="","",CONCATENATE("GBL",B108," - ",Mantenedor!E112))</f>
        <v/>
      </c>
      <c r="B108" s="400"/>
      <c r="C108" s="400"/>
      <c r="D108" s="400"/>
      <c r="E108" s="400"/>
      <c r="F108" s="400"/>
      <c r="G108" s="400"/>
      <c r="H108" s="400"/>
      <c r="I108" s="400"/>
      <c r="J108" s="401"/>
      <c r="K108" s="402"/>
      <c r="L108" s="403"/>
      <c r="M108" s="404"/>
      <c r="N108" s="400"/>
      <c r="O108" s="400"/>
      <c r="P108" s="399" t="str">
        <f t="shared" si="4"/>
        <v/>
      </c>
      <c r="Q108" s="405" t="str" cm="1">
        <f t="array" ref="Q108">+_xlfn.IFS(O108="Nacional","CLP",O108="Extranjero","USD",O108="","")</f>
        <v/>
      </c>
      <c r="R108" s="406" t="str">
        <f>IFERROR(IF(O108="Nacional",VLOOKUP(P108,PRICING!$D$4:$E$59,2,FALSE),VLOOKUP(P108,PRICING!$J$4:$K$59,2,FALSE)),"")</f>
        <v/>
      </c>
      <c r="S108"/>
      <c r="T108" s="407"/>
      <c r="U108" s="406" t="str">
        <f t="shared" si="5"/>
        <v/>
      </c>
      <c r="V108" s="400"/>
      <c r="W108" s="408" t="str">
        <f t="shared" si="6"/>
        <v/>
      </c>
      <c r="X108" s="409" t="str">
        <f t="shared" si="7"/>
        <v/>
      </c>
    </row>
    <row r="109" spans="1:24" ht="16" x14ac:dyDescent="0.25">
      <c r="A109" s="399" t="str">
        <f>IF(B109="","",CONCATENATE("GBL",B109," - ",Mantenedor!E113))</f>
        <v/>
      </c>
      <c r="B109" s="400"/>
      <c r="C109" s="400"/>
      <c r="D109" s="400"/>
      <c r="E109" s="400"/>
      <c r="F109" s="400"/>
      <c r="G109" s="400"/>
      <c r="H109" s="400"/>
      <c r="I109" s="400"/>
      <c r="J109" s="401"/>
      <c r="K109" s="402"/>
      <c r="L109" s="403"/>
      <c r="M109" s="404"/>
      <c r="N109" s="400"/>
      <c r="O109" s="400"/>
      <c r="P109" s="399" t="str">
        <f t="shared" si="4"/>
        <v/>
      </c>
      <c r="Q109" s="405" t="str" cm="1">
        <f t="array" ref="Q109">+_xlfn.IFS(O109="Nacional","CLP",O109="Extranjero","USD",O109="","")</f>
        <v/>
      </c>
      <c r="R109" s="406" t="str">
        <f>IFERROR(IF(O109="Nacional",VLOOKUP(P109,PRICING!$D$4:$E$59,2,FALSE),VLOOKUP(P109,PRICING!$J$4:$K$59,2,FALSE)),"")</f>
        <v/>
      </c>
      <c r="S109"/>
      <c r="T109" s="407"/>
      <c r="U109" s="406" t="str">
        <f t="shared" si="5"/>
        <v/>
      </c>
      <c r="V109" s="400"/>
      <c r="W109" s="408" t="str">
        <f t="shared" si="6"/>
        <v/>
      </c>
      <c r="X109" s="409" t="str">
        <f t="shared" si="7"/>
        <v/>
      </c>
    </row>
    <row r="110" spans="1:24" ht="16" x14ac:dyDescent="0.25">
      <c r="A110" s="399" t="str">
        <f>IF(B110="","",CONCATENATE("GBL",B110," - ",Mantenedor!E114))</f>
        <v/>
      </c>
      <c r="B110" s="400"/>
      <c r="C110" s="400"/>
      <c r="D110" s="400"/>
      <c r="E110" s="400"/>
      <c r="F110" s="400"/>
      <c r="G110" s="400"/>
      <c r="H110" s="400"/>
      <c r="I110" s="400"/>
      <c r="J110" s="401"/>
      <c r="K110" s="402"/>
      <c r="L110" s="403"/>
      <c r="M110" s="404"/>
      <c r="N110" s="400"/>
      <c r="O110" s="400"/>
      <c r="P110" s="399" t="str">
        <f t="shared" si="4"/>
        <v/>
      </c>
      <c r="Q110" s="405" t="str" cm="1">
        <f t="array" ref="Q110">+_xlfn.IFS(O110="Nacional","CLP",O110="Extranjero","USD",O110="","")</f>
        <v/>
      </c>
      <c r="R110" s="406" t="str">
        <f>IFERROR(IF(O110="Nacional",VLOOKUP(P110,PRICING!$D$4:$E$59,2,FALSE),VLOOKUP(P110,PRICING!$J$4:$K$59,2,FALSE)),"")</f>
        <v/>
      </c>
      <c r="S110"/>
      <c r="T110" s="407"/>
      <c r="U110" s="406" t="str">
        <f t="shared" si="5"/>
        <v/>
      </c>
      <c r="V110" s="400"/>
      <c r="W110" s="408" t="str">
        <f t="shared" si="6"/>
        <v/>
      </c>
      <c r="X110" s="409" t="str">
        <f t="shared" si="7"/>
        <v/>
      </c>
    </row>
    <row r="111" spans="1:24" ht="16" x14ac:dyDescent="0.25">
      <c r="A111" s="399" t="str">
        <f>IF(B111="","",CONCATENATE("GBL",B111," - ",Mantenedor!E115))</f>
        <v/>
      </c>
      <c r="B111" s="400"/>
      <c r="C111" s="400"/>
      <c r="D111" s="400"/>
      <c r="E111" s="400"/>
      <c r="F111" s="400"/>
      <c r="G111" s="400"/>
      <c r="H111" s="400"/>
      <c r="I111" s="400"/>
      <c r="J111" s="401"/>
      <c r="K111" s="402"/>
      <c r="L111" s="403"/>
      <c r="M111" s="404"/>
      <c r="N111" s="400"/>
      <c r="O111" s="400"/>
      <c r="P111" s="399" t="str">
        <f t="shared" si="4"/>
        <v/>
      </c>
      <c r="Q111" s="405" t="str" cm="1">
        <f t="array" ref="Q111">+_xlfn.IFS(O111="Nacional","CLP",O111="Extranjero","USD",O111="","")</f>
        <v/>
      </c>
      <c r="R111" s="406" t="str">
        <f>IFERROR(IF(O111="Nacional",VLOOKUP(P111,PRICING!$D$4:$E$59,2,FALSE),VLOOKUP(P111,PRICING!$J$4:$K$59,2,FALSE)),"")</f>
        <v/>
      </c>
      <c r="S111"/>
      <c r="T111" s="407"/>
      <c r="U111" s="406" t="str">
        <f t="shared" si="5"/>
        <v/>
      </c>
      <c r="V111" s="400"/>
      <c r="W111" s="408" t="str">
        <f t="shared" si="6"/>
        <v/>
      </c>
      <c r="X111" s="409" t="str">
        <f t="shared" si="7"/>
        <v/>
      </c>
    </row>
    <row r="112" spans="1:24" ht="16" x14ac:dyDescent="0.25">
      <c r="A112" s="399" t="str">
        <f>IF(B112="","",CONCATENATE("GBL",B112," - ",Mantenedor!E116))</f>
        <v/>
      </c>
      <c r="B112" s="400"/>
      <c r="C112" s="400"/>
      <c r="D112" s="400"/>
      <c r="E112" s="400"/>
      <c r="F112" s="400"/>
      <c r="G112" s="400"/>
      <c r="H112" s="400"/>
      <c r="I112" s="400"/>
      <c r="J112" s="401"/>
      <c r="K112" s="402"/>
      <c r="L112" s="403"/>
      <c r="M112" s="404"/>
      <c r="N112" s="400"/>
      <c r="O112" s="400"/>
      <c r="P112" s="399" t="str">
        <f t="shared" si="4"/>
        <v/>
      </c>
      <c r="Q112" s="405" t="str" cm="1">
        <f t="array" ref="Q112">+_xlfn.IFS(O112="Nacional","CLP",O112="Extranjero","USD",O112="","")</f>
        <v/>
      </c>
      <c r="R112" s="406" t="str">
        <f>IFERROR(IF(O112="Nacional",VLOOKUP(P112,PRICING!$D$4:$E$59,2,FALSE),VLOOKUP(P112,PRICING!$J$4:$K$59,2,FALSE)),"")</f>
        <v/>
      </c>
      <c r="S112"/>
      <c r="T112" s="407"/>
      <c r="U112" s="406" t="str">
        <f t="shared" si="5"/>
        <v/>
      </c>
      <c r="V112" s="400"/>
      <c r="W112" s="408" t="str">
        <f t="shared" si="6"/>
        <v/>
      </c>
      <c r="X112" s="409" t="str">
        <f t="shared" si="7"/>
        <v/>
      </c>
    </row>
    <row r="113" spans="1:24" ht="16" x14ac:dyDescent="0.25">
      <c r="A113" s="399" t="str">
        <f>IF(B113="","",CONCATENATE("GBL",B113," - ",Mantenedor!E117))</f>
        <v/>
      </c>
      <c r="B113" s="400"/>
      <c r="C113" s="400"/>
      <c r="D113" s="400"/>
      <c r="E113" s="400"/>
      <c r="F113" s="400"/>
      <c r="G113" s="400"/>
      <c r="H113" s="400"/>
      <c r="I113" s="400"/>
      <c r="J113" s="401"/>
      <c r="K113" s="402"/>
      <c r="L113" s="403"/>
      <c r="M113" s="404"/>
      <c r="N113" s="400"/>
      <c r="O113" s="400"/>
      <c r="P113" s="399" t="str">
        <f t="shared" si="4"/>
        <v/>
      </c>
      <c r="Q113" s="405" t="str" cm="1">
        <f t="array" ref="Q113">+_xlfn.IFS(O113="Nacional","CLP",O113="Extranjero","USD",O113="","")</f>
        <v/>
      </c>
      <c r="R113" s="406" t="str">
        <f>IFERROR(IF(O113="Nacional",VLOOKUP(P113,PRICING!$D$4:$E$59,2,FALSE),VLOOKUP(P113,PRICING!$J$4:$K$59,2,FALSE)),"")</f>
        <v/>
      </c>
      <c r="S113"/>
      <c r="T113" s="407"/>
      <c r="U113" s="406" t="str">
        <f t="shared" si="5"/>
        <v/>
      </c>
      <c r="V113" s="400"/>
      <c r="W113" s="408" t="str">
        <f t="shared" si="6"/>
        <v/>
      </c>
      <c r="X113" s="409" t="str">
        <f t="shared" si="7"/>
        <v/>
      </c>
    </row>
    <row r="114" spans="1:24" ht="16" x14ac:dyDescent="0.25">
      <c r="A114" s="399" t="str">
        <f>IF(B114="","",CONCATENATE("GBL",B114," - ",Mantenedor!E118))</f>
        <v/>
      </c>
      <c r="B114" s="400"/>
      <c r="C114" s="400"/>
      <c r="D114" s="400"/>
      <c r="E114" s="400"/>
      <c r="F114" s="400"/>
      <c r="G114" s="400"/>
      <c r="H114" s="400"/>
      <c r="I114" s="400"/>
      <c r="J114" s="401"/>
      <c r="K114" s="402"/>
      <c r="L114" s="403"/>
      <c r="M114" s="404"/>
      <c r="N114" s="400"/>
      <c r="O114" s="400"/>
      <c r="P114" s="399" t="str">
        <f t="shared" si="4"/>
        <v/>
      </c>
      <c r="Q114" s="405" t="str" cm="1">
        <f t="array" ref="Q114">+_xlfn.IFS(O114="Nacional","CLP",O114="Extranjero","USD",O114="","")</f>
        <v/>
      </c>
      <c r="R114" s="406" t="str">
        <f>IFERROR(IF(O114="Nacional",VLOOKUP(P114,PRICING!$D$4:$E$59,2,FALSE),VLOOKUP(P114,PRICING!$J$4:$K$59,2,FALSE)),"")</f>
        <v/>
      </c>
      <c r="S114"/>
      <c r="T114" s="407"/>
      <c r="U114" s="406" t="str">
        <f t="shared" si="5"/>
        <v/>
      </c>
      <c r="V114" s="400"/>
      <c r="W114" s="408" t="str">
        <f t="shared" si="6"/>
        <v/>
      </c>
      <c r="X114" s="409" t="str">
        <f t="shared" si="7"/>
        <v/>
      </c>
    </row>
    <row r="115" spans="1:24" ht="16" x14ac:dyDescent="0.25">
      <c r="A115" s="399" t="str">
        <f>IF(B115="","",CONCATENATE("GBL",B115," - ",Mantenedor!E119))</f>
        <v/>
      </c>
      <c r="B115" s="400"/>
      <c r="C115" s="400"/>
      <c r="D115" s="400"/>
      <c r="E115" s="400"/>
      <c r="F115" s="400"/>
      <c r="G115" s="400"/>
      <c r="H115" s="400"/>
      <c r="I115" s="400"/>
      <c r="J115" s="401"/>
      <c r="K115" s="402"/>
      <c r="L115" s="403"/>
      <c r="M115" s="404"/>
      <c r="N115" s="400"/>
      <c r="O115" s="400"/>
      <c r="P115" s="399" t="str">
        <f t="shared" si="4"/>
        <v/>
      </c>
      <c r="Q115" s="405" t="str" cm="1">
        <f t="array" ref="Q115">+_xlfn.IFS(O115="Nacional","CLP",O115="Extranjero","USD",O115="","")</f>
        <v/>
      </c>
      <c r="R115" s="406" t="str">
        <f>IFERROR(IF(O115="Nacional",VLOOKUP(P115,PRICING!$D$4:$E$59,2,FALSE),VLOOKUP(P115,PRICING!$J$4:$K$59,2,FALSE)),"")</f>
        <v/>
      </c>
      <c r="S115"/>
      <c r="T115" s="407"/>
      <c r="U115" s="406" t="str">
        <f t="shared" si="5"/>
        <v/>
      </c>
      <c r="V115" s="400"/>
      <c r="W115" s="408" t="str">
        <f t="shared" si="6"/>
        <v/>
      </c>
      <c r="X115" s="409" t="str">
        <f t="shared" si="7"/>
        <v/>
      </c>
    </row>
    <row r="116" spans="1:24" ht="16" x14ac:dyDescent="0.25">
      <c r="A116" s="399" t="str">
        <f>IF(B116="","",CONCATENATE("GBL",B116," - ",Mantenedor!E120))</f>
        <v/>
      </c>
      <c r="B116" s="400"/>
      <c r="C116" s="400"/>
      <c r="D116" s="400"/>
      <c r="E116" s="400"/>
      <c r="F116" s="400"/>
      <c r="G116" s="400"/>
      <c r="H116" s="400"/>
      <c r="I116" s="400"/>
      <c r="J116" s="401"/>
      <c r="K116" s="402"/>
      <c r="L116" s="403"/>
      <c r="M116" s="404"/>
      <c r="N116" s="400"/>
      <c r="O116" s="400"/>
      <c r="P116" s="399" t="str">
        <f t="shared" si="4"/>
        <v/>
      </c>
      <c r="Q116" s="405" t="str" cm="1">
        <f t="array" ref="Q116">+_xlfn.IFS(O116="Nacional","CLP",O116="Extranjero","USD",O116="","")</f>
        <v/>
      </c>
      <c r="R116" s="406" t="str">
        <f>IFERROR(IF(O116="Nacional",VLOOKUP(P116,PRICING!$D$4:$E$59,2,FALSE),VLOOKUP(P116,PRICING!$J$4:$K$59,2,FALSE)),"")</f>
        <v/>
      </c>
      <c r="S116"/>
      <c r="T116" s="407"/>
      <c r="U116" s="406" t="str">
        <f t="shared" si="5"/>
        <v/>
      </c>
      <c r="V116" s="400"/>
      <c r="W116" s="408" t="str">
        <f t="shared" si="6"/>
        <v/>
      </c>
      <c r="X116" s="409" t="str">
        <f t="shared" si="7"/>
        <v/>
      </c>
    </row>
    <row r="117" spans="1:24" ht="16" x14ac:dyDescent="0.25">
      <c r="A117" s="399" t="str">
        <f>IF(B117="","",CONCATENATE("GBL",B117," - ",Mantenedor!E121))</f>
        <v/>
      </c>
      <c r="B117" s="400"/>
      <c r="C117" s="400"/>
      <c r="D117" s="400"/>
      <c r="E117" s="400"/>
      <c r="F117" s="400"/>
      <c r="G117" s="400"/>
      <c r="H117" s="400"/>
      <c r="I117" s="400"/>
      <c r="J117" s="401"/>
      <c r="K117" s="402"/>
      <c r="L117" s="403"/>
      <c r="M117" s="404"/>
      <c r="N117" s="400"/>
      <c r="O117" s="400"/>
      <c r="P117" s="399" t="str">
        <f t="shared" si="4"/>
        <v/>
      </c>
      <c r="Q117" s="405" t="str" cm="1">
        <f t="array" ref="Q117">+_xlfn.IFS(O117="Nacional","CLP",O117="Extranjero","USD",O117="","")</f>
        <v/>
      </c>
      <c r="R117" s="406" t="str">
        <f>IFERROR(IF(O117="Nacional",VLOOKUP(P117,PRICING!$D$4:$E$59,2,FALSE),VLOOKUP(P117,PRICING!$J$4:$K$59,2,FALSE)),"")</f>
        <v/>
      </c>
      <c r="S117"/>
      <c r="T117" s="407"/>
      <c r="U117" s="406" t="str">
        <f t="shared" si="5"/>
        <v/>
      </c>
      <c r="V117" s="400"/>
      <c r="W117" s="408" t="str">
        <f t="shared" si="6"/>
        <v/>
      </c>
      <c r="X117" s="409" t="str">
        <f t="shared" si="7"/>
        <v/>
      </c>
    </row>
    <row r="118" spans="1:24" ht="16" x14ac:dyDescent="0.25">
      <c r="A118" s="399" t="str">
        <f>IF(B118="","",CONCATENATE("GBL",B118," - ",Mantenedor!E122))</f>
        <v/>
      </c>
      <c r="B118" s="400"/>
      <c r="C118" s="400"/>
      <c r="D118" s="400"/>
      <c r="E118" s="400"/>
      <c r="F118" s="400"/>
      <c r="G118" s="400"/>
      <c r="H118" s="400"/>
      <c r="I118" s="400"/>
      <c r="J118" s="401"/>
      <c r="K118" s="402"/>
      <c r="L118" s="403"/>
      <c r="M118" s="404"/>
      <c r="N118" s="400"/>
      <c r="O118" s="400"/>
      <c r="P118" s="399" t="str">
        <f t="shared" si="4"/>
        <v/>
      </c>
      <c r="Q118" s="405" t="str" cm="1">
        <f t="array" ref="Q118">+_xlfn.IFS(O118="Nacional","CLP",O118="Extranjero","USD",O118="","")</f>
        <v/>
      </c>
      <c r="R118" s="406" t="str">
        <f>IFERROR(IF(O118="Nacional",VLOOKUP(P118,PRICING!$D$4:$E$59,2,FALSE),VLOOKUP(P118,PRICING!$J$4:$K$59,2,FALSE)),"")</f>
        <v/>
      </c>
      <c r="S118"/>
      <c r="T118" s="407"/>
      <c r="U118" s="406" t="str">
        <f t="shared" si="5"/>
        <v/>
      </c>
      <c r="V118" s="400"/>
      <c r="W118" s="408" t="str">
        <f t="shared" si="6"/>
        <v/>
      </c>
      <c r="X118" s="409" t="str">
        <f t="shared" si="7"/>
        <v/>
      </c>
    </row>
    <row r="119" spans="1:24" ht="16" x14ac:dyDescent="0.25">
      <c r="A119" s="399" t="str">
        <f>IF(B119="","",CONCATENATE("GBL",B119," - ",Mantenedor!E123))</f>
        <v/>
      </c>
      <c r="B119" s="400"/>
      <c r="C119" s="400"/>
      <c r="D119" s="400"/>
      <c r="E119" s="400"/>
      <c r="F119" s="400"/>
      <c r="G119" s="400"/>
      <c r="H119" s="400"/>
      <c r="I119" s="400"/>
      <c r="J119" s="401"/>
      <c r="K119" s="402"/>
      <c r="L119" s="403"/>
      <c r="M119" s="404"/>
      <c r="N119" s="400"/>
      <c r="O119" s="400"/>
      <c r="P119" s="399" t="str">
        <f t="shared" si="4"/>
        <v/>
      </c>
      <c r="Q119" s="405" t="str" cm="1">
        <f t="array" ref="Q119">+_xlfn.IFS(O119="Nacional","CLP",O119="Extranjero","USD",O119="","")</f>
        <v/>
      </c>
      <c r="R119" s="406" t="str">
        <f>IFERROR(IF(O119="Nacional",VLOOKUP(P119,PRICING!$D$4:$E$59,2,FALSE),VLOOKUP(P119,PRICING!$J$4:$K$59,2,FALSE)),"")</f>
        <v/>
      </c>
      <c r="S119"/>
      <c r="T119" s="407"/>
      <c r="U119" s="406" t="str">
        <f t="shared" si="5"/>
        <v/>
      </c>
      <c r="V119" s="400"/>
      <c r="W119" s="408" t="str">
        <f t="shared" si="6"/>
        <v/>
      </c>
      <c r="X119" s="409" t="str">
        <f t="shared" si="7"/>
        <v/>
      </c>
    </row>
    <row r="120" spans="1:24" ht="16" x14ac:dyDescent="0.25">
      <c r="A120" s="399" t="str">
        <f>IF(B120="","",CONCATENATE("GBL",B120," - ",Mantenedor!E124))</f>
        <v/>
      </c>
      <c r="B120" s="400"/>
      <c r="C120" s="400"/>
      <c r="D120" s="400"/>
      <c r="E120" s="400"/>
      <c r="F120" s="400"/>
      <c r="G120" s="400"/>
      <c r="H120" s="400"/>
      <c r="I120" s="400"/>
      <c r="J120" s="401"/>
      <c r="K120" s="402"/>
      <c r="L120" s="403"/>
      <c r="M120" s="404"/>
      <c r="N120" s="400"/>
      <c r="O120" s="400"/>
      <c r="P120" s="399" t="str">
        <f t="shared" si="4"/>
        <v/>
      </c>
      <c r="Q120" s="405" t="str" cm="1">
        <f t="array" ref="Q120">+_xlfn.IFS(O120="Nacional","CLP",O120="Extranjero","USD",O120="","")</f>
        <v/>
      </c>
      <c r="R120" s="406" t="str">
        <f>IFERROR(IF(O120="Nacional",VLOOKUP(P120,PRICING!$D$4:$E$59,2,FALSE),VLOOKUP(P120,PRICING!$J$4:$K$59,2,FALSE)),"")</f>
        <v/>
      </c>
      <c r="S120"/>
      <c r="T120" s="407"/>
      <c r="U120" s="406" t="str">
        <f t="shared" si="5"/>
        <v/>
      </c>
      <c r="V120" s="400"/>
      <c r="W120" s="408" t="str">
        <f t="shared" si="6"/>
        <v/>
      </c>
      <c r="X120" s="409" t="str">
        <f t="shared" si="7"/>
        <v/>
      </c>
    </row>
    <row r="121" spans="1:24" ht="16" x14ac:dyDescent="0.25">
      <c r="A121" s="399" t="str">
        <f>IF(B121="","",CONCATENATE("GBL",B121," - ",Mantenedor!E125))</f>
        <v/>
      </c>
      <c r="B121" s="400"/>
      <c r="C121" s="400"/>
      <c r="D121" s="400"/>
      <c r="E121" s="400"/>
      <c r="F121" s="400"/>
      <c r="G121" s="400"/>
      <c r="H121" s="400"/>
      <c r="I121" s="400"/>
      <c r="J121" s="401"/>
      <c r="K121" s="402"/>
      <c r="L121" s="403"/>
      <c r="M121" s="404"/>
      <c r="N121" s="400"/>
      <c r="O121" s="400"/>
      <c r="P121" s="399" t="str">
        <f t="shared" si="4"/>
        <v/>
      </c>
      <c r="Q121" s="405" t="str" cm="1">
        <f t="array" ref="Q121">+_xlfn.IFS(O121="Nacional","CLP",O121="Extranjero","USD",O121="","")</f>
        <v/>
      </c>
      <c r="R121" s="406" t="str">
        <f>IFERROR(IF(O121="Nacional",VLOOKUP(P121,PRICING!$D$4:$E$59,2,FALSE),VLOOKUP(P121,PRICING!$J$4:$K$59,2,FALSE)),"")</f>
        <v/>
      </c>
      <c r="S121"/>
      <c r="T121" s="407"/>
      <c r="U121" s="406" t="str">
        <f t="shared" si="5"/>
        <v/>
      </c>
      <c r="V121" s="400"/>
      <c r="W121" s="408" t="str">
        <f t="shared" si="6"/>
        <v/>
      </c>
      <c r="X121" s="409" t="str">
        <f t="shared" si="7"/>
        <v/>
      </c>
    </row>
    <row r="122" spans="1:24" ht="16" x14ac:dyDescent="0.25">
      <c r="A122" s="399" t="str">
        <f>IF(B122="","",CONCATENATE("GBL",B122," - ",Mantenedor!E126))</f>
        <v/>
      </c>
      <c r="B122" s="400"/>
      <c r="C122" s="400"/>
      <c r="D122" s="400"/>
      <c r="E122" s="400"/>
      <c r="F122" s="400"/>
      <c r="G122" s="400"/>
      <c r="H122" s="400"/>
      <c r="I122" s="400"/>
      <c r="J122" s="401"/>
      <c r="K122" s="402"/>
      <c r="L122" s="403"/>
      <c r="M122" s="404"/>
      <c r="N122" s="400"/>
      <c r="O122" s="400"/>
      <c r="P122" s="399" t="str">
        <f t="shared" si="4"/>
        <v/>
      </c>
      <c r="Q122" s="405" t="str" cm="1">
        <f t="array" ref="Q122">+_xlfn.IFS(O122="Nacional","CLP",O122="Extranjero","USD",O122="","")</f>
        <v/>
      </c>
      <c r="R122" s="406" t="str">
        <f>IFERROR(IF(O122="Nacional",VLOOKUP(P122,PRICING!$D$4:$E$59,2,FALSE),VLOOKUP(P122,PRICING!$J$4:$K$59,2,FALSE)),"")</f>
        <v/>
      </c>
      <c r="S122"/>
      <c r="T122" s="407"/>
      <c r="U122" s="406" t="str">
        <f t="shared" si="5"/>
        <v/>
      </c>
      <c r="V122" s="400"/>
      <c r="W122" s="408" t="str">
        <f t="shared" si="6"/>
        <v/>
      </c>
      <c r="X122" s="409" t="str">
        <f t="shared" si="7"/>
        <v/>
      </c>
    </row>
    <row r="123" spans="1:24" ht="16" x14ac:dyDescent="0.25">
      <c r="A123" s="399" t="str">
        <f>IF(B123="","",CONCATENATE("GBL",B123," - ",Mantenedor!E127))</f>
        <v/>
      </c>
      <c r="B123" s="400"/>
      <c r="C123" s="400"/>
      <c r="D123" s="400"/>
      <c r="E123" s="400"/>
      <c r="F123" s="400"/>
      <c r="G123" s="400"/>
      <c r="H123" s="400"/>
      <c r="I123" s="400"/>
      <c r="J123" s="401"/>
      <c r="K123" s="402"/>
      <c r="L123" s="403"/>
      <c r="M123" s="404"/>
      <c r="N123" s="400"/>
      <c r="O123" s="400"/>
      <c r="P123" s="399" t="str">
        <f t="shared" si="4"/>
        <v/>
      </c>
      <c r="Q123" s="405" t="str" cm="1">
        <f t="array" ref="Q123">+_xlfn.IFS(O123="Nacional","CLP",O123="Extranjero","USD",O123="","")</f>
        <v/>
      </c>
      <c r="R123" s="406" t="str">
        <f>IFERROR(IF(O123="Nacional",VLOOKUP(P123,PRICING!$D$4:$E$59,2,FALSE),VLOOKUP(P123,PRICING!$J$4:$K$59,2,FALSE)),"")</f>
        <v/>
      </c>
      <c r="S123"/>
      <c r="T123" s="407"/>
      <c r="U123" s="406" t="str">
        <f t="shared" si="5"/>
        <v/>
      </c>
      <c r="V123" s="400"/>
      <c r="W123" s="408" t="str">
        <f t="shared" si="6"/>
        <v/>
      </c>
      <c r="X123" s="409" t="str">
        <f t="shared" si="7"/>
        <v/>
      </c>
    </row>
    <row r="124" spans="1:24" ht="16" x14ac:dyDescent="0.25">
      <c r="A124" s="399" t="str">
        <f>IF(B124="","",CONCATENATE("GBL",B124," - ",Mantenedor!E128))</f>
        <v/>
      </c>
      <c r="B124" s="400"/>
      <c r="C124" s="400"/>
      <c r="D124" s="400"/>
      <c r="E124" s="400"/>
      <c r="F124" s="400"/>
      <c r="G124" s="400"/>
      <c r="H124" s="400"/>
      <c r="I124" s="400"/>
      <c r="J124" s="401"/>
      <c r="K124" s="402"/>
      <c r="L124" s="403"/>
      <c r="M124" s="404"/>
      <c r="N124" s="400"/>
      <c r="O124" s="400"/>
      <c r="P124" s="399" t="str">
        <f t="shared" si="4"/>
        <v/>
      </c>
      <c r="Q124" s="405" t="str" cm="1">
        <f t="array" ref="Q124">+_xlfn.IFS(O124="Nacional","CLP",O124="Extranjero","USD",O124="","")</f>
        <v/>
      </c>
      <c r="R124" s="406" t="str">
        <f>IFERROR(IF(O124="Nacional",VLOOKUP(P124,PRICING!$D$4:$E$59,2,FALSE),VLOOKUP(P124,PRICING!$J$4:$K$59,2,FALSE)),"")</f>
        <v/>
      </c>
      <c r="S124"/>
      <c r="T124" s="407"/>
      <c r="U124" s="406" t="str">
        <f t="shared" si="5"/>
        <v/>
      </c>
      <c r="V124" s="400"/>
      <c r="W124" s="408" t="str">
        <f t="shared" si="6"/>
        <v/>
      </c>
      <c r="X124" s="409" t="str">
        <f t="shared" si="7"/>
        <v/>
      </c>
    </row>
    <row r="125" spans="1:24" ht="16" x14ac:dyDescent="0.25">
      <c r="A125" s="399" t="str">
        <f>IF(B125="","",CONCATENATE("GBL",B125," - ",Mantenedor!E129))</f>
        <v/>
      </c>
      <c r="B125" s="400"/>
      <c r="C125" s="400"/>
      <c r="D125" s="400"/>
      <c r="E125" s="400"/>
      <c r="F125" s="400"/>
      <c r="G125" s="400"/>
      <c r="H125" s="400"/>
      <c r="I125" s="400"/>
      <c r="J125" s="401"/>
      <c r="K125" s="402"/>
      <c r="L125" s="403"/>
      <c r="M125" s="404"/>
      <c r="N125" s="400"/>
      <c r="O125" s="400"/>
      <c r="P125" s="399" t="str">
        <f t="shared" si="4"/>
        <v/>
      </c>
      <c r="Q125" s="405" t="str" cm="1">
        <f t="array" ref="Q125">+_xlfn.IFS(O125="Nacional","CLP",O125="Extranjero","USD",O125="","")</f>
        <v/>
      </c>
      <c r="R125" s="406" t="str">
        <f>IFERROR(IF(O125="Nacional",VLOOKUP(P125,PRICING!$D$4:$E$59,2,FALSE),VLOOKUP(P125,PRICING!$J$4:$K$59,2,FALSE)),"")</f>
        <v/>
      </c>
      <c r="S125"/>
      <c r="T125" s="407"/>
      <c r="U125" s="406" t="str">
        <f t="shared" si="5"/>
        <v/>
      </c>
      <c r="V125" s="400"/>
      <c r="W125" s="408" t="str">
        <f t="shared" si="6"/>
        <v/>
      </c>
      <c r="X125" s="409" t="str">
        <f t="shared" si="7"/>
        <v/>
      </c>
    </row>
    <row r="126" spans="1:24" ht="16" x14ac:dyDescent="0.25">
      <c r="A126" s="399" t="str">
        <f>IF(B126="","",CONCATENATE("GBL",B126," - ",Mantenedor!E130))</f>
        <v/>
      </c>
      <c r="B126" s="400"/>
      <c r="C126" s="400"/>
      <c r="D126" s="400"/>
      <c r="E126" s="400"/>
      <c r="F126" s="400"/>
      <c r="G126" s="400"/>
      <c r="H126" s="400"/>
      <c r="I126" s="400"/>
      <c r="J126" s="401"/>
      <c r="K126" s="402"/>
      <c r="L126" s="403"/>
      <c r="M126" s="404"/>
      <c r="N126" s="400"/>
      <c r="O126" s="400"/>
      <c r="P126" s="399" t="str">
        <f t="shared" si="4"/>
        <v/>
      </c>
      <c r="Q126" s="405" t="str" cm="1">
        <f t="array" ref="Q126">+_xlfn.IFS(O126="Nacional","CLP",O126="Extranjero","USD",O126="","")</f>
        <v/>
      </c>
      <c r="R126" s="406" t="str">
        <f>IFERROR(IF(O126="Nacional",VLOOKUP(P126,PRICING!$D$4:$E$59,2,FALSE),VLOOKUP(P126,PRICING!$J$4:$K$59,2,FALSE)),"")</f>
        <v/>
      </c>
      <c r="S126"/>
      <c r="T126" s="407"/>
      <c r="U126" s="406" t="str">
        <f t="shared" si="5"/>
        <v/>
      </c>
      <c r="V126" s="400"/>
      <c r="W126" s="408" t="str">
        <f t="shared" si="6"/>
        <v/>
      </c>
      <c r="X126" s="409" t="str">
        <f t="shared" si="7"/>
        <v/>
      </c>
    </row>
    <row r="127" spans="1:24" ht="16" x14ac:dyDescent="0.25">
      <c r="A127" s="399" t="str">
        <f>IF(B127="","",CONCATENATE("GBL",B127," - ",Mantenedor!E131))</f>
        <v/>
      </c>
      <c r="B127" s="400"/>
      <c r="C127" s="400"/>
      <c r="D127" s="400"/>
      <c r="E127" s="400"/>
      <c r="F127" s="400"/>
      <c r="G127" s="400"/>
      <c r="H127" s="400"/>
      <c r="I127" s="400"/>
      <c r="J127" s="401"/>
      <c r="K127" s="402"/>
      <c r="L127" s="403"/>
      <c r="M127" s="404"/>
      <c r="N127" s="400"/>
      <c r="O127" s="400"/>
      <c r="P127" s="399" t="str">
        <f t="shared" ref="P127:P190" si="8">IF(N127="","",(IF(L127=1,(CONCATENATE("Base ",N127," ",L127," noche")),(CONCATENATE("Base ",N127," ",L127," noches")))))</f>
        <v/>
      </c>
      <c r="Q127" s="405" t="str" cm="1">
        <f t="array" ref="Q127">+_xlfn.IFS(O127="Nacional","CLP",O127="Extranjero","USD",O127="","")</f>
        <v/>
      </c>
      <c r="R127" s="406" t="str">
        <f>IFERROR(IF(O127="Nacional",VLOOKUP(P127,PRICING!$D$4:$E$59,2,FALSE),VLOOKUP(P127,PRICING!$J$4:$K$59,2,FALSE)),"")</f>
        <v/>
      </c>
      <c r="S127"/>
      <c r="T127" s="407"/>
      <c r="U127" s="406" t="str">
        <f t="shared" ref="U127:U190" si="9">IFERROR(+R127*(1-S127),"")</f>
        <v/>
      </c>
      <c r="V127" s="400"/>
      <c r="W127" s="408" t="str">
        <f t="shared" ref="W127:W190" si="10">+IF(U127="","","50"%)</f>
        <v/>
      </c>
      <c r="X127" s="409" t="str">
        <f t="shared" si="7"/>
        <v/>
      </c>
    </row>
    <row r="128" spans="1:24" ht="16" x14ac:dyDescent="0.25">
      <c r="A128" s="399" t="str">
        <f>IF(B128="","",CONCATENATE("GBL",B128," - ",Mantenedor!E132))</f>
        <v/>
      </c>
      <c r="B128" s="400"/>
      <c r="C128" s="400"/>
      <c r="D128" s="400"/>
      <c r="E128" s="400"/>
      <c r="F128" s="400"/>
      <c r="G128" s="400"/>
      <c r="H128" s="400"/>
      <c r="I128" s="400"/>
      <c r="J128" s="401"/>
      <c r="K128" s="402"/>
      <c r="L128" s="403"/>
      <c r="M128" s="404"/>
      <c r="N128" s="400"/>
      <c r="O128" s="400"/>
      <c r="P128" s="399" t="str">
        <f t="shared" si="8"/>
        <v/>
      </c>
      <c r="Q128" s="405" t="str" cm="1">
        <f t="array" ref="Q128">+_xlfn.IFS(O128="Nacional","CLP",O128="Extranjero","USD",O128="","")</f>
        <v/>
      </c>
      <c r="R128" s="406" t="str">
        <f>IFERROR(IF(O128="Nacional",VLOOKUP(P128,PRICING!$D$4:$E$59,2,FALSE),VLOOKUP(P128,PRICING!$J$4:$K$59,2,FALSE)),"")</f>
        <v/>
      </c>
      <c r="S128"/>
      <c r="T128" s="407"/>
      <c r="U128" s="406" t="str">
        <f t="shared" si="9"/>
        <v/>
      </c>
      <c r="V128" s="400"/>
      <c r="W128" s="408" t="str">
        <f t="shared" si="10"/>
        <v/>
      </c>
      <c r="X128" s="409" t="str">
        <f t="shared" ref="X128:X191" si="11">+IF(W128="","",(1-W128))</f>
        <v/>
      </c>
    </row>
    <row r="129" spans="1:24" ht="16" x14ac:dyDescent="0.25">
      <c r="A129" s="399" t="str">
        <f>IF(B129="","",CONCATENATE("GBL",B129," - ",Mantenedor!E133))</f>
        <v/>
      </c>
      <c r="B129" s="400"/>
      <c r="C129" s="400"/>
      <c r="D129" s="400"/>
      <c r="E129" s="400"/>
      <c r="F129" s="400"/>
      <c r="G129" s="400"/>
      <c r="H129" s="400"/>
      <c r="I129" s="400"/>
      <c r="J129" s="401"/>
      <c r="K129" s="402"/>
      <c r="L129" s="403"/>
      <c r="M129" s="404"/>
      <c r="N129" s="400"/>
      <c r="O129" s="400"/>
      <c r="P129" s="399" t="str">
        <f t="shared" si="8"/>
        <v/>
      </c>
      <c r="Q129" s="405" t="str" cm="1">
        <f t="array" ref="Q129">+_xlfn.IFS(O129="Nacional","CLP",O129="Extranjero","USD",O129="","")</f>
        <v/>
      </c>
      <c r="R129" s="406" t="str">
        <f>IFERROR(IF(O129="Nacional",VLOOKUP(P129,PRICING!$D$4:$E$59,2,FALSE),VLOOKUP(P129,PRICING!$J$4:$K$59,2,FALSE)),"")</f>
        <v/>
      </c>
      <c r="S129"/>
      <c r="T129" s="407"/>
      <c r="U129" s="406" t="str">
        <f t="shared" si="9"/>
        <v/>
      </c>
      <c r="V129" s="400"/>
      <c r="W129" s="408" t="str">
        <f t="shared" si="10"/>
        <v/>
      </c>
      <c r="X129" s="409" t="str">
        <f t="shared" si="11"/>
        <v/>
      </c>
    </row>
    <row r="130" spans="1:24" ht="16" x14ac:dyDescent="0.25">
      <c r="A130" s="399" t="str">
        <f>IF(B130="","",CONCATENATE("GBL",B130," - ",Mantenedor!E134))</f>
        <v/>
      </c>
      <c r="B130" s="400"/>
      <c r="C130" s="400"/>
      <c r="D130" s="400"/>
      <c r="E130" s="400"/>
      <c r="F130" s="400"/>
      <c r="G130" s="400"/>
      <c r="H130" s="400"/>
      <c r="I130" s="400"/>
      <c r="J130" s="401"/>
      <c r="K130" s="402"/>
      <c r="L130" s="403"/>
      <c r="M130" s="404"/>
      <c r="N130" s="400"/>
      <c r="O130" s="400"/>
      <c r="P130" s="399" t="str">
        <f t="shared" si="8"/>
        <v/>
      </c>
      <c r="Q130" s="405" t="str" cm="1">
        <f t="array" ref="Q130">+_xlfn.IFS(O130="Nacional","CLP",O130="Extranjero","USD",O130="","")</f>
        <v/>
      </c>
      <c r="R130" s="406" t="str">
        <f>IFERROR(IF(O130="Nacional",VLOOKUP(P130,PRICING!$D$4:$E$59,2,FALSE),VLOOKUP(P130,PRICING!$J$4:$K$59,2,FALSE)),"")</f>
        <v/>
      </c>
      <c r="S130"/>
      <c r="T130" s="407"/>
      <c r="U130" s="406" t="str">
        <f t="shared" si="9"/>
        <v/>
      </c>
      <c r="V130" s="400"/>
      <c r="W130" s="408" t="str">
        <f t="shared" si="10"/>
        <v/>
      </c>
      <c r="X130" s="409" t="str">
        <f t="shared" si="11"/>
        <v/>
      </c>
    </row>
    <row r="131" spans="1:24" ht="16" x14ac:dyDescent="0.25">
      <c r="A131" s="399" t="str">
        <f>IF(B131="","",CONCATENATE("GBL",B131," - ",Mantenedor!E135))</f>
        <v/>
      </c>
      <c r="B131" s="400"/>
      <c r="C131" s="400"/>
      <c r="D131" s="400"/>
      <c r="E131" s="400"/>
      <c r="F131" s="400"/>
      <c r="G131" s="400"/>
      <c r="H131" s="400"/>
      <c r="I131" s="400"/>
      <c r="J131" s="401"/>
      <c r="K131" s="402"/>
      <c r="L131" s="403"/>
      <c r="M131" s="404"/>
      <c r="N131" s="400"/>
      <c r="O131" s="400"/>
      <c r="P131" s="399" t="str">
        <f t="shared" si="8"/>
        <v/>
      </c>
      <c r="Q131" s="405" t="str" cm="1">
        <f t="array" ref="Q131">+_xlfn.IFS(O131="Nacional","CLP",O131="Extranjero","USD",O131="","")</f>
        <v/>
      </c>
      <c r="R131" s="406" t="str">
        <f>IFERROR(IF(O131="Nacional",VLOOKUP(P131,PRICING!$D$4:$E$59,2,FALSE),VLOOKUP(P131,PRICING!$J$4:$K$59,2,FALSE)),"")</f>
        <v/>
      </c>
      <c r="S131"/>
      <c r="T131" s="407"/>
      <c r="U131" s="406" t="str">
        <f t="shared" si="9"/>
        <v/>
      </c>
      <c r="V131" s="400"/>
      <c r="W131" s="408" t="str">
        <f t="shared" si="10"/>
        <v/>
      </c>
      <c r="X131" s="409" t="str">
        <f t="shared" si="11"/>
        <v/>
      </c>
    </row>
    <row r="132" spans="1:24" ht="16" x14ac:dyDescent="0.25">
      <c r="A132" s="399" t="str">
        <f>IF(B132="","",CONCATENATE("GBL",B132," - ",Mantenedor!E136))</f>
        <v/>
      </c>
      <c r="B132" s="400"/>
      <c r="C132" s="400"/>
      <c r="D132" s="400"/>
      <c r="E132" s="400"/>
      <c r="F132" s="400"/>
      <c r="G132" s="400"/>
      <c r="H132" s="400"/>
      <c r="I132" s="400"/>
      <c r="J132" s="401"/>
      <c r="K132" s="402"/>
      <c r="L132" s="403"/>
      <c r="M132" s="404"/>
      <c r="N132" s="400"/>
      <c r="O132" s="400"/>
      <c r="P132" s="399" t="str">
        <f t="shared" si="8"/>
        <v/>
      </c>
      <c r="Q132" s="405" t="str" cm="1">
        <f t="array" ref="Q132">+_xlfn.IFS(O132="Nacional","CLP",O132="Extranjero","USD",O132="","")</f>
        <v/>
      </c>
      <c r="R132" s="406" t="str">
        <f>IFERROR(IF(O132="Nacional",VLOOKUP(P132,PRICING!$D$4:$E$59,2,FALSE),VLOOKUP(P132,PRICING!$J$4:$K$59,2,FALSE)),"")</f>
        <v/>
      </c>
      <c r="S132"/>
      <c r="T132" s="407"/>
      <c r="U132" s="406" t="str">
        <f t="shared" si="9"/>
        <v/>
      </c>
      <c r="V132" s="400"/>
      <c r="W132" s="408" t="str">
        <f t="shared" si="10"/>
        <v/>
      </c>
      <c r="X132" s="409" t="str">
        <f t="shared" si="11"/>
        <v/>
      </c>
    </row>
    <row r="133" spans="1:24" ht="16" x14ac:dyDescent="0.25">
      <c r="A133" s="399" t="str">
        <f>IF(B133="","",CONCATENATE("GBL",B133," - ",Mantenedor!E137))</f>
        <v/>
      </c>
      <c r="B133" s="400"/>
      <c r="C133" s="400"/>
      <c r="D133" s="400"/>
      <c r="E133" s="400"/>
      <c r="F133" s="400"/>
      <c r="G133" s="400"/>
      <c r="H133" s="400"/>
      <c r="I133" s="400"/>
      <c r="J133" s="401"/>
      <c r="K133" s="402"/>
      <c r="L133" s="403"/>
      <c r="M133" s="404"/>
      <c r="N133" s="400"/>
      <c r="O133" s="400"/>
      <c r="P133" s="399" t="str">
        <f t="shared" si="8"/>
        <v/>
      </c>
      <c r="Q133" s="405" t="str" cm="1">
        <f t="array" ref="Q133">+_xlfn.IFS(O133="Nacional","CLP",O133="Extranjero","USD",O133="","")</f>
        <v/>
      </c>
      <c r="R133" s="406" t="str">
        <f>IFERROR(IF(O133="Nacional",VLOOKUP(P133,PRICING!$D$4:$E$59,2,FALSE),VLOOKUP(P133,PRICING!$J$4:$K$59,2,FALSE)),"")</f>
        <v/>
      </c>
      <c r="S133"/>
      <c r="T133" s="407"/>
      <c r="U133" s="406" t="str">
        <f t="shared" si="9"/>
        <v/>
      </c>
      <c r="V133" s="400"/>
      <c r="W133" s="408" t="str">
        <f t="shared" si="10"/>
        <v/>
      </c>
      <c r="X133" s="409" t="str">
        <f t="shared" si="11"/>
        <v/>
      </c>
    </row>
    <row r="134" spans="1:24" ht="16" x14ac:dyDescent="0.25">
      <c r="A134" s="399" t="str">
        <f>IF(B134="","",CONCATENATE("GBL",B134," - ",Mantenedor!E138))</f>
        <v/>
      </c>
      <c r="B134" s="400"/>
      <c r="C134" s="400"/>
      <c r="D134" s="400"/>
      <c r="E134" s="400"/>
      <c r="F134" s="400"/>
      <c r="G134" s="400"/>
      <c r="H134" s="400"/>
      <c r="I134" s="400"/>
      <c r="J134" s="401"/>
      <c r="K134" s="402"/>
      <c r="L134" s="403"/>
      <c r="M134" s="404"/>
      <c r="N134" s="400"/>
      <c r="O134" s="400"/>
      <c r="P134" s="399" t="str">
        <f t="shared" si="8"/>
        <v/>
      </c>
      <c r="Q134" s="405" t="str" cm="1">
        <f t="array" ref="Q134">+_xlfn.IFS(O134="Nacional","CLP",O134="Extranjero","USD",O134="","")</f>
        <v/>
      </c>
      <c r="R134" s="406" t="str">
        <f>IFERROR(IF(O134="Nacional",VLOOKUP(P134,PRICING!$D$4:$E$59,2,FALSE),VLOOKUP(P134,PRICING!$J$4:$K$59,2,FALSE)),"")</f>
        <v/>
      </c>
      <c r="S134"/>
      <c r="T134" s="407"/>
      <c r="U134" s="406" t="str">
        <f t="shared" si="9"/>
        <v/>
      </c>
      <c r="V134" s="400"/>
      <c r="W134" s="408" t="str">
        <f t="shared" si="10"/>
        <v/>
      </c>
      <c r="X134" s="409" t="str">
        <f t="shared" si="11"/>
        <v/>
      </c>
    </row>
    <row r="135" spans="1:24" ht="16" x14ac:dyDescent="0.25">
      <c r="A135" s="399" t="str">
        <f>IF(B135="","",CONCATENATE("GBL",B135," - ",Mantenedor!E139))</f>
        <v/>
      </c>
      <c r="B135" s="400"/>
      <c r="C135" s="400"/>
      <c r="D135" s="400"/>
      <c r="E135" s="400"/>
      <c r="F135" s="400"/>
      <c r="G135" s="400"/>
      <c r="H135" s="400"/>
      <c r="I135" s="400"/>
      <c r="J135" s="401"/>
      <c r="K135" s="402"/>
      <c r="L135" s="403"/>
      <c r="M135" s="404"/>
      <c r="N135" s="400"/>
      <c r="O135" s="400"/>
      <c r="P135" s="399" t="str">
        <f t="shared" si="8"/>
        <v/>
      </c>
      <c r="Q135" s="405" t="str" cm="1">
        <f t="array" ref="Q135">+_xlfn.IFS(O135="Nacional","CLP",O135="Extranjero","USD",O135="","")</f>
        <v/>
      </c>
      <c r="R135" s="406" t="str">
        <f>IFERROR(IF(O135="Nacional",VLOOKUP(P135,PRICING!$D$4:$E$59,2,FALSE),VLOOKUP(P135,PRICING!$J$4:$K$59,2,FALSE)),"")</f>
        <v/>
      </c>
      <c r="S135"/>
      <c r="T135" s="407"/>
      <c r="U135" s="406" t="str">
        <f t="shared" si="9"/>
        <v/>
      </c>
      <c r="V135" s="400"/>
      <c r="W135" s="408" t="str">
        <f t="shared" si="10"/>
        <v/>
      </c>
      <c r="X135" s="409" t="str">
        <f t="shared" si="11"/>
        <v/>
      </c>
    </row>
    <row r="136" spans="1:24" ht="16" x14ac:dyDescent="0.25">
      <c r="A136" s="399" t="str">
        <f>IF(B136="","",CONCATENATE("GBL",B136," - ",Mantenedor!E140))</f>
        <v/>
      </c>
      <c r="B136" s="400"/>
      <c r="C136" s="400"/>
      <c r="D136" s="400"/>
      <c r="E136" s="400"/>
      <c r="F136" s="400"/>
      <c r="G136" s="400"/>
      <c r="H136" s="400"/>
      <c r="I136" s="400"/>
      <c r="J136" s="401"/>
      <c r="K136" s="402"/>
      <c r="L136" s="403"/>
      <c r="M136" s="404"/>
      <c r="N136" s="400"/>
      <c r="O136" s="400"/>
      <c r="P136" s="399" t="str">
        <f t="shared" si="8"/>
        <v/>
      </c>
      <c r="Q136" s="405" t="str" cm="1">
        <f t="array" ref="Q136">+_xlfn.IFS(O136="Nacional","CLP",O136="Extranjero","USD",O136="","")</f>
        <v/>
      </c>
      <c r="R136" s="406" t="str">
        <f>IFERROR(IF(O136="Nacional",VLOOKUP(P136,PRICING!$D$4:$E$59,2,FALSE),VLOOKUP(P136,PRICING!$J$4:$K$59,2,FALSE)),"")</f>
        <v/>
      </c>
      <c r="S136"/>
      <c r="T136" s="407"/>
      <c r="U136" s="406" t="str">
        <f t="shared" si="9"/>
        <v/>
      </c>
      <c r="V136" s="400"/>
      <c r="W136" s="408" t="str">
        <f t="shared" si="10"/>
        <v/>
      </c>
      <c r="X136" s="409" t="str">
        <f t="shared" si="11"/>
        <v/>
      </c>
    </row>
    <row r="137" spans="1:24" ht="16" x14ac:dyDescent="0.25">
      <c r="A137" s="399" t="str">
        <f>IF(B137="","",CONCATENATE("GBL",B137," - ",Mantenedor!E141))</f>
        <v/>
      </c>
      <c r="B137" s="400"/>
      <c r="C137" s="400"/>
      <c r="D137" s="400"/>
      <c r="E137" s="400"/>
      <c r="F137" s="400"/>
      <c r="G137" s="400"/>
      <c r="H137" s="400"/>
      <c r="I137" s="400"/>
      <c r="J137" s="401"/>
      <c r="K137" s="402"/>
      <c r="L137" s="403"/>
      <c r="M137" s="404"/>
      <c r="N137" s="400"/>
      <c r="O137" s="400"/>
      <c r="P137" s="399" t="str">
        <f t="shared" si="8"/>
        <v/>
      </c>
      <c r="Q137" s="405" t="str" cm="1">
        <f t="array" ref="Q137">+_xlfn.IFS(O137="Nacional","CLP",O137="Extranjero","USD",O137="","")</f>
        <v/>
      </c>
      <c r="R137" s="406" t="str">
        <f>IFERROR(IF(O137="Nacional",VLOOKUP(P137,PRICING!$D$4:$E$59,2,FALSE),VLOOKUP(P137,PRICING!$J$4:$K$59,2,FALSE)),"")</f>
        <v/>
      </c>
      <c r="S137"/>
      <c r="T137" s="407"/>
      <c r="U137" s="406" t="str">
        <f t="shared" si="9"/>
        <v/>
      </c>
      <c r="V137" s="400"/>
      <c r="W137" s="408" t="str">
        <f t="shared" si="10"/>
        <v/>
      </c>
      <c r="X137" s="409" t="str">
        <f t="shared" si="11"/>
        <v/>
      </c>
    </row>
    <row r="138" spans="1:24" ht="16" x14ac:dyDescent="0.25">
      <c r="A138" s="399" t="str">
        <f>IF(B138="","",CONCATENATE("GBL",B138," - ",Mantenedor!E142))</f>
        <v/>
      </c>
      <c r="B138" s="400"/>
      <c r="C138" s="400"/>
      <c r="D138" s="400"/>
      <c r="E138" s="400"/>
      <c r="F138" s="400"/>
      <c r="G138" s="400"/>
      <c r="H138" s="400"/>
      <c r="I138" s="400"/>
      <c r="J138" s="401"/>
      <c r="K138" s="402"/>
      <c r="L138" s="403"/>
      <c r="M138" s="404"/>
      <c r="N138" s="400"/>
      <c r="O138" s="400"/>
      <c r="P138" s="399" t="str">
        <f t="shared" si="8"/>
        <v/>
      </c>
      <c r="Q138" s="405" t="str" cm="1">
        <f t="array" ref="Q138">+_xlfn.IFS(O138="Nacional","CLP",O138="Extranjero","USD",O138="","")</f>
        <v/>
      </c>
      <c r="R138" s="406" t="str">
        <f>IFERROR(IF(O138="Nacional",VLOOKUP(P138,PRICING!$D$4:$E$59,2,FALSE),VLOOKUP(P138,PRICING!$J$4:$K$59,2,FALSE)),"")</f>
        <v/>
      </c>
      <c r="S138"/>
      <c r="T138" s="407"/>
      <c r="U138" s="406" t="str">
        <f t="shared" si="9"/>
        <v/>
      </c>
      <c r="V138" s="400"/>
      <c r="W138" s="408" t="str">
        <f t="shared" si="10"/>
        <v/>
      </c>
      <c r="X138" s="409" t="str">
        <f t="shared" si="11"/>
        <v/>
      </c>
    </row>
    <row r="139" spans="1:24" ht="16" x14ac:dyDescent="0.25">
      <c r="A139" s="399" t="str">
        <f>IF(B139="","",CONCATENATE("GBL",B139," - ",Mantenedor!E143))</f>
        <v/>
      </c>
      <c r="B139" s="400"/>
      <c r="C139" s="400"/>
      <c r="D139" s="400"/>
      <c r="E139" s="400"/>
      <c r="F139" s="400"/>
      <c r="G139" s="400"/>
      <c r="H139" s="400"/>
      <c r="I139" s="400"/>
      <c r="J139" s="401"/>
      <c r="K139" s="402"/>
      <c r="L139" s="403"/>
      <c r="M139" s="404"/>
      <c r="N139" s="400"/>
      <c r="O139" s="400"/>
      <c r="P139" s="399" t="str">
        <f t="shared" si="8"/>
        <v/>
      </c>
      <c r="Q139" s="405" t="str" cm="1">
        <f t="array" ref="Q139">+_xlfn.IFS(O139="Nacional","CLP",O139="Extranjero","USD",O139="","")</f>
        <v/>
      </c>
      <c r="R139" s="406" t="str">
        <f>IFERROR(IF(O139="Nacional",VLOOKUP(P139,PRICING!$D$4:$E$59,2,FALSE),VLOOKUP(P139,PRICING!$J$4:$K$59,2,FALSE)),"")</f>
        <v/>
      </c>
      <c r="S139"/>
      <c r="T139" s="407"/>
      <c r="U139" s="406" t="str">
        <f t="shared" si="9"/>
        <v/>
      </c>
      <c r="V139" s="400"/>
      <c r="W139" s="408" t="str">
        <f t="shared" si="10"/>
        <v/>
      </c>
      <c r="X139" s="409" t="str">
        <f t="shared" si="11"/>
        <v/>
      </c>
    </row>
    <row r="140" spans="1:24" ht="16" x14ac:dyDescent="0.25">
      <c r="A140" s="399" t="str">
        <f>IF(B140="","",CONCATENATE("GBL",B140," - ",Mantenedor!E144))</f>
        <v/>
      </c>
      <c r="B140" s="400"/>
      <c r="C140" s="400"/>
      <c r="D140" s="400"/>
      <c r="E140" s="400"/>
      <c r="F140" s="400"/>
      <c r="G140" s="400"/>
      <c r="H140" s="400"/>
      <c r="I140" s="400"/>
      <c r="J140" s="401"/>
      <c r="K140" s="402"/>
      <c r="L140" s="403"/>
      <c r="M140" s="404"/>
      <c r="N140" s="400"/>
      <c r="O140" s="400"/>
      <c r="P140" s="399" t="str">
        <f t="shared" si="8"/>
        <v/>
      </c>
      <c r="Q140" s="405" t="str" cm="1">
        <f t="array" ref="Q140">+_xlfn.IFS(O140="Nacional","CLP",O140="Extranjero","USD",O140="","")</f>
        <v/>
      </c>
      <c r="R140" s="406" t="str">
        <f>IFERROR(IF(O140="Nacional",VLOOKUP(P140,PRICING!$D$4:$E$59,2,FALSE),VLOOKUP(P140,PRICING!$J$4:$K$59,2,FALSE)),"")</f>
        <v/>
      </c>
      <c r="S140"/>
      <c r="T140" s="407"/>
      <c r="U140" s="406" t="str">
        <f t="shared" si="9"/>
        <v/>
      </c>
      <c r="V140" s="400"/>
      <c r="W140" s="408" t="str">
        <f t="shared" si="10"/>
        <v/>
      </c>
      <c r="X140" s="409" t="str">
        <f t="shared" si="11"/>
        <v/>
      </c>
    </row>
    <row r="141" spans="1:24" ht="16" x14ac:dyDescent="0.25">
      <c r="A141" s="399" t="str">
        <f>IF(B141="","",CONCATENATE("GBL",B141," - ",Mantenedor!E145))</f>
        <v/>
      </c>
      <c r="B141" s="400"/>
      <c r="C141" s="400"/>
      <c r="D141" s="400"/>
      <c r="E141" s="400"/>
      <c r="F141" s="400"/>
      <c r="G141" s="400"/>
      <c r="H141" s="400"/>
      <c r="I141" s="400"/>
      <c r="J141" s="401"/>
      <c r="K141" s="402"/>
      <c r="L141" s="403"/>
      <c r="M141" s="404"/>
      <c r="N141" s="400"/>
      <c r="O141" s="400"/>
      <c r="P141" s="399" t="str">
        <f t="shared" si="8"/>
        <v/>
      </c>
      <c r="Q141" s="405" t="str" cm="1">
        <f t="array" ref="Q141">+_xlfn.IFS(O141="Nacional","CLP",O141="Extranjero","USD",O141="","")</f>
        <v/>
      </c>
      <c r="R141" s="406" t="str">
        <f>IFERROR(IF(O141="Nacional",VLOOKUP(P141,PRICING!$D$4:$E$59,2,FALSE),VLOOKUP(P141,PRICING!$J$4:$K$59,2,FALSE)),"")</f>
        <v/>
      </c>
      <c r="S141"/>
      <c r="T141" s="407"/>
      <c r="U141" s="406" t="str">
        <f t="shared" si="9"/>
        <v/>
      </c>
      <c r="V141" s="400"/>
      <c r="W141" s="408" t="str">
        <f t="shared" si="10"/>
        <v/>
      </c>
      <c r="X141" s="409" t="str">
        <f t="shared" si="11"/>
        <v/>
      </c>
    </row>
    <row r="142" spans="1:24" ht="16" x14ac:dyDescent="0.25">
      <c r="A142" s="399" t="str">
        <f>IF(B142="","",CONCATENATE("GBL",B142," - ",Mantenedor!E146))</f>
        <v/>
      </c>
      <c r="B142" s="400"/>
      <c r="C142" s="400"/>
      <c r="D142" s="400"/>
      <c r="E142" s="400"/>
      <c r="F142" s="400"/>
      <c r="G142" s="400"/>
      <c r="H142" s="400"/>
      <c r="I142" s="400"/>
      <c r="J142" s="401"/>
      <c r="K142" s="402"/>
      <c r="L142" s="403"/>
      <c r="M142" s="404"/>
      <c r="N142" s="400"/>
      <c r="O142" s="400"/>
      <c r="P142" s="399" t="str">
        <f t="shared" si="8"/>
        <v/>
      </c>
      <c r="Q142" s="405" t="str" cm="1">
        <f t="array" ref="Q142">+_xlfn.IFS(O142="Nacional","CLP",O142="Extranjero","USD",O142="","")</f>
        <v/>
      </c>
      <c r="R142" s="406" t="str">
        <f>IFERROR(IF(O142="Nacional",VLOOKUP(P142,PRICING!$D$4:$E$59,2,FALSE),VLOOKUP(P142,PRICING!$J$4:$K$59,2,FALSE)),"")</f>
        <v/>
      </c>
      <c r="S142"/>
      <c r="T142" s="407"/>
      <c r="U142" s="406" t="str">
        <f t="shared" si="9"/>
        <v/>
      </c>
      <c r="V142" s="400"/>
      <c r="W142" s="408" t="str">
        <f t="shared" si="10"/>
        <v/>
      </c>
      <c r="X142" s="409" t="str">
        <f t="shared" si="11"/>
        <v/>
      </c>
    </row>
    <row r="143" spans="1:24" ht="16" x14ac:dyDescent="0.25">
      <c r="A143" s="399" t="str">
        <f>IF(B143="","",CONCATENATE("GBL",B143," - ",Mantenedor!E147))</f>
        <v/>
      </c>
      <c r="B143" s="400"/>
      <c r="C143" s="400"/>
      <c r="D143" s="400"/>
      <c r="E143" s="400"/>
      <c r="F143" s="400"/>
      <c r="G143" s="400"/>
      <c r="H143" s="400"/>
      <c r="I143" s="400"/>
      <c r="J143" s="401"/>
      <c r="K143" s="402"/>
      <c r="L143" s="403"/>
      <c r="M143" s="404"/>
      <c r="N143" s="400"/>
      <c r="O143" s="400"/>
      <c r="P143" s="399" t="str">
        <f t="shared" si="8"/>
        <v/>
      </c>
      <c r="Q143" s="405" t="str" cm="1">
        <f t="array" ref="Q143">+_xlfn.IFS(O143="Nacional","CLP",O143="Extranjero","USD",O143="","")</f>
        <v/>
      </c>
      <c r="R143" s="406" t="str">
        <f>IFERROR(IF(O143="Nacional",VLOOKUP(P143,PRICING!$D$4:$E$59,2,FALSE),VLOOKUP(P143,PRICING!$J$4:$K$59,2,FALSE)),"")</f>
        <v/>
      </c>
      <c r="S143"/>
      <c r="T143" s="407"/>
      <c r="U143" s="406" t="str">
        <f t="shared" si="9"/>
        <v/>
      </c>
      <c r="V143" s="400"/>
      <c r="W143" s="408" t="str">
        <f t="shared" si="10"/>
        <v/>
      </c>
      <c r="X143" s="409" t="str">
        <f t="shared" si="11"/>
        <v/>
      </c>
    </row>
    <row r="144" spans="1:24" ht="16" x14ac:dyDescent="0.25">
      <c r="A144" s="399" t="str">
        <f>IF(B144="","",CONCATENATE("GBL",B144," - ",Mantenedor!E148))</f>
        <v/>
      </c>
      <c r="B144" s="400"/>
      <c r="C144" s="400"/>
      <c r="D144" s="400"/>
      <c r="E144" s="400"/>
      <c r="F144" s="400"/>
      <c r="G144" s="400"/>
      <c r="H144" s="400"/>
      <c r="I144" s="400"/>
      <c r="J144" s="401"/>
      <c r="K144" s="402"/>
      <c r="L144" s="403"/>
      <c r="M144" s="404"/>
      <c r="N144" s="400"/>
      <c r="O144" s="400"/>
      <c r="P144" s="399" t="str">
        <f t="shared" si="8"/>
        <v/>
      </c>
      <c r="Q144" s="405" t="str" cm="1">
        <f t="array" ref="Q144">+_xlfn.IFS(O144="Nacional","CLP",O144="Extranjero","USD",O144="","")</f>
        <v/>
      </c>
      <c r="R144" s="406" t="str">
        <f>IFERROR(IF(O144="Nacional",VLOOKUP(P144,PRICING!$D$4:$E$59,2,FALSE),VLOOKUP(P144,PRICING!$J$4:$K$59,2,FALSE)),"")</f>
        <v/>
      </c>
      <c r="S144"/>
      <c r="T144" s="407"/>
      <c r="U144" s="406" t="str">
        <f t="shared" si="9"/>
        <v/>
      </c>
      <c r="V144" s="400"/>
      <c r="W144" s="408" t="str">
        <f t="shared" si="10"/>
        <v/>
      </c>
      <c r="X144" s="409" t="str">
        <f t="shared" si="11"/>
        <v/>
      </c>
    </row>
    <row r="145" spans="1:24" ht="16" x14ac:dyDescent="0.25">
      <c r="A145" s="399" t="str">
        <f>IF(B145="","",CONCATENATE("GBL",B145," - ",Mantenedor!E149))</f>
        <v/>
      </c>
      <c r="B145" s="400"/>
      <c r="C145" s="400"/>
      <c r="D145" s="400"/>
      <c r="E145" s="400"/>
      <c r="F145" s="400"/>
      <c r="G145" s="400"/>
      <c r="H145" s="400"/>
      <c r="I145" s="400"/>
      <c r="J145" s="401"/>
      <c r="K145" s="402"/>
      <c r="L145" s="403"/>
      <c r="M145" s="404"/>
      <c r="N145" s="400"/>
      <c r="O145" s="400"/>
      <c r="P145" s="399" t="str">
        <f t="shared" si="8"/>
        <v/>
      </c>
      <c r="Q145" s="405" t="str" cm="1">
        <f t="array" ref="Q145">+_xlfn.IFS(O145="Nacional","CLP",O145="Extranjero","USD",O145="","")</f>
        <v/>
      </c>
      <c r="R145" s="406" t="str">
        <f>IFERROR(IF(O145="Nacional",VLOOKUP(P145,PRICING!$D$4:$E$59,2,FALSE),VLOOKUP(P145,PRICING!$J$4:$K$59,2,FALSE)),"")</f>
        <v/>
      </c>
      <c r="S145"/>
      <c r="T145" s="407"/>
      <c r="U145" s="406" t="str">
        <f t="shared" si="9"/>
        <v/>
      </c>
      <c r="V145" s="400"/>
      <c r="W145" s="408" t="str">
        <f t="shared" si="10"/>
        <v/>
      </c>
      <c r="X145" s="409" t="str">
        <f t="shared" si="11"/>
        <v/>
      </c>
    </row>
    <row r="146" spans="1:24" ht="16" x14ac:dyDescent="0.25">
      <c r="A146" s="399" t="str">
        <f>IF(B146="","",CONCATENATE("GBL",B146," - ",Mantenedor!E150))</f>
        <v/>
      </c>
      <c r="B146" s="400"/>
      <c r="C146" s="400"/>
      <c r="D146" s="400"/>
      <c r="E146" s="400"/>
      <c r="F146" s="400"/>
      <c r="G146" s="400"/>
      <c r="H146" s="400"/>
      <c r="I146" s="400"/>
      <c r="J146" s="401"/>
      <c r="K146" s="402"/>
      <c r="L146" s="403"/>
      <c r="M146" s="404"/>
      <c r="N146" s="400"/>
      <c r="O146" s="400"/>
      <c r="P146" s="399" t="str">
        <f t="shared" si="8"/>
        <v/>
      </c>
      <c r="Q146" s="405" t="str" cm="1">
        <f t="array" ref="Q146">+_xlfn.IFS(O146="Nacional","CLP",O146="Extranjero","USD",O146="","")</f>
        <v/>
      </c>
      <c r="R146" s="406" t="str">
        <f>IFERROR(IF(O146="Nacional",VLOOKUP(P146,PRICING!$D$4:$E$59,2,FALSE),VLOOKUP(P146,PRICING!$J$4:$K$59,2,FALSE)),"")</f>
        <v/>
      </c>
      <c r="S146"/>
      <c r="T146" s="407"/>
      <c r="U146" s="406" t="str">
        <f t="shared" si="9"/>
        <v/>
      </c>
      <c r="V146" s="400"/>
      <c r="W146" s="408" t="str">
        <f t="shared" si="10"/>
        <v/>
      </c>
      <c r="X146" s="409" t="str">
        <f t="shared" si="11"/>
        <v/>
      </c>
    </row>
    <row r="147" spans="1:24" ht="16" x14ac:dyDescent="0.25">
      <c r="A147" s="399" t="str">
        <f>IF(B147="","",CONCATENATE("GBL",B147," - ",Mantenedor!E151))</f>
        <v/>
      </c>
      <c r="B147" s="400"/>
      <c r="C147" s="400"/>
      <c r="D147" s="400"/>
      <c r="E147" s="400"/>
      <c r="F147" s="400"/>
      <c r="G147" s="400"/>
      <c r="H147" s="400"/>
      <c r="I147" s="400"/>
      <c r="J147" s="401"/>
      <c r="K147" s="402"/>
      <c r="L147" s="403"/>
      <c r="M147" s="404"/>
      <c r="N147" s="400"/>
      <c r="O147" s="400"/>
      <c r="P147" s="399" t="str">
        <f t="shared" si="8"/>
        <v/>
      </c>
      <c r="Q147" s="405" t="str" cm="1">
        <f t="array" ref="Q147">+_xlfn.IFS(O147="Nacional","CLP",O147="Extranjero","USD",O147="","")</f>
        <v/>
      </c>
      <c r="R147" s="406" t="str">
        <f>IFERROR(IF(O147="Nacional",VLOOKUP(P147,PRICING!$D$4:$E$59,2,FALSE),VLOOKUP(P147,PRICING!$J$4:$K$59,2,FALSE)),"")</f>
        <v/>
      </c>
      <c r="S147"/>
      <c r="T147" s="407"/>
      <c r="U147" s="406" t="str">
        <f t="shared" si="9"/>
        <v/>
      </c>
      <c r="V147" s="400"/>
      <c r="W147" s="408" t="str">
        <f t="shared" si="10"/>
        <v/>
      </c>
      <c r="X147" s="409" t="str">
        <f t="shared" si="11"/>
        <v/>
      </c>
    </row>
    <row r="148" spans="1:24" ht="16" x14ac:dyDescent="0.25">
      <c r="A148" s="399" t="str">
        <f>IF(B148="","",CONCATENATE("GBL",B148," - ",Mantenedor!E152))</f>
        <v/>
      </c>
      <c r="B148" s="400"/>
      <c r="C148" s="400"/>
      <c r="D148" s="400"/>
      <c r="E148" s="400"/>
      <c r="F148" s="400"/>
      <c r="G148" s="400"/>
      <c r="H148" s="400"/>
      <c r="I148" s="400"/>
      <c r="J148" s="401"/>
      <c r="K148" s="402"/>
      <c r="L148" s="403"/>
      <c r="M148" s="404"/>
      <c r="N148" s="400"/>
      <c r="O148" s="400"/>
      <c r="P148" s="399" t="str">
        <f t="shared" si="8"/>
        <v/>
      </c>
      <c r="Q148" s="405" t="str" cm="1">
        <f t="array" ref="Q148">+_xlfn.IFS(O148="Nacional","CLP",O148="Extranjero","USD",O148="","")</f>
        <v/>
      </c>
      <c r="R148" s="406" t="str">
        <f>IFERROR(IF(O148="Nacional",VLOOKUP(P148,PRICING!$D$4:$E$59,2,FALSE),VLOOKUP(P148,PRICING!$J$4:$K$59,2,FALSE)),"")</f>
        <v/>
      </c>
      <c r="S148"/>
      <c r="T148" s="407"/>
      <c r="U148" s="406" t="str">
        <f t="shared" si="9"/>
        <v/>
      </c>
      <c r="V148" s="400"/>
      <c r="W148" s="408" t="str">
        <f t="shared" si="10"/>
        <v/>
      </c>
      <c r="X148" s="409" t="str">
        <f t="shared" si="11"/>
        <v/>
      </c>
    </row>
    <row r="149" spans="1:24" ht="16" x14ac:dyDescent="0.25">
      <c r="A149" s="399" t="str">
        <f>IF(B149="","",CONCATENATE("GBL",B149," - ",Mantenedor!E153))</f>
        <v/>
      </c>
      <c r="B149" s="400"/>
      <c r="C149" s="400"/>
      <c r="D149" s="400"/>
      <c r="E149" s="400"/>
      <c r="F149" s="400"/>
      <c r="G149" s="400"/>
      <c r="H149" s="400"/>
      <c r="I149" s="400"/>
      <c r="J149" s="401"/>
      <c r="K149" s="402"/>
      <c r="L149" s="403"/>
      <c r="M149" s="404"/>
      <c r="N149" s="400"/>
      <c r="O149" s="400"/>
      <c r="P149" s="399" t="str">
        <f t="shared" si="8"/>
        <v/>
      </c>
      <c r="Q149" s="405" t="str" cm="1">
        <f t="array" ref="Q149">+_xlfn.IFS(O149="Nacional","CLP",O149="Extranjero","USD",O149="","")</f>
        <v/>
      </c>
      <c r="R149" s="406" t="str">
        <f>IFERROR(IF(O149="Nacional",VLOOKUP(P149,PRICING!$D$4:$E$59,2,FALSE),VLOOKUP(P149,PRICING!$J$4:$K$59,2,FALSE)),"")</f>
        <v/>
      </c>
      <c r="S149"/>
      <c r="T149" s="407"/>
      <c r="U149" s="406" t="str">
        <f t="shared" si="9"/>
        <v/>
      </c>
      <c r="V149" s="400"/>
      <c r="W149" s="408" t="str">
        <f t="shared" si="10"/>
        <v/>
      </c>
      <c r="X149" s="409" t="str">
        <f t="shared" si="11"/>
        <v/>
      </c>
    </row>
    <row r="150" spans="1:24" ht="16" x14ac:dyDescent="0.25">
      <c r="A150" s="399" t="str">
        <f>IF(B150="","",CONCATENATE("GBL",B150," - ",Mantenedor!E154))</f>
        <v/>
      </c>
      <c r="B150" s="400"/>
      <c r="C150" s="400"/>
      <c r="D150" s="400"/>
      <c r="E150" s="400"/>
      <c r="F150" s="400"/>
      <c r="G150" s="400"/>
      <c r="H150" s="400"/>
      <c r="I150" s="400"/>
      <c r="J150" s="401"/>
      <c r="K150" s="402"/>
      <c r="L150" s="403"/>
      <c r="M150" s="404"/>
      <c r="N150" s="400"/>
      <c r="O150" s="400"/>
      <c r="P150" s="399" t="str">
        <f t="shared" si="8"/>
        <v/>
      </c>
      <c r="Q150" s="405" t="str" cm="1">
        <f t="array" ref="Q150">+_xlfn.IFS(O150="Nacional","CLP",O150="Extranjero","USD",O150="","")</f>
        <v/>
      </c>
      <c r="R150" s="406" t="str">
        <f>IFERROR(IF(O150="Nacional",VLOOKUP(P150,PRICING!$D$4:$E$59,2,FALSE),VLOOKUP(P150,PRICING!$J$4:$K$59,2,FALSE)),"")</f>
        <v/>
      </c>
      <c r="S150"/>
      <c r="T150" s="407"/>
      <c r="U150" s="406" t="str">
        <f t="shared" si="9"/>
        <v/>
      </c>
      <c r="V150" s="400"/>
      <c r="W150" s="408" t="str">
        <f t="shared" si="10"/>
        <v/>
      </c>
      <c r="X150" s="409" t="str">
        <f t="shared" si="11"/>
        <v/>
      </c>
    </row>
    <row r="151" spans="1:24" ht="16" x14ac:dyDescent="0.25">
      <c r="A151" s="399" t="str">
        <f>IF(B151="","",CONCATENATE("GBL",B151," - ",Mantenedor!E155))</f>
        <v/>
      </c>
      <c r="B151" s="400"/>
      <c r="C151" s="400"/>
      <c r="D151" s="400"/>
      <c r="E151" s="400"/>
      <c r="F151" s="400"/>
      <c r="G151" s="400"/>
      <c r="H151" s="400"/>
      <c r="I151" s="400"/>
      <c r="J151" s="401"/>
      <c r="K151" s="402"/>
      <c r="L151" s="403"/>
      <c r="M151" s="404"/>
      <c r="N151" s="400"/>
      <c r="O151" s="400"/>
      <c r="P151" s="399" t="str">
        <f t="shared" si="8"/>
        <v/>
      </c>
      <c r="Q151" s="405" t="str" cm="1">
        <f t="array" ref="Q151">+_xlfn.IFS(O151="Nacional","CLP",O151="Extranjero","USD",O151="","")</f>
        <v/>
      </c>
      <c r="R151" s="406" t="str">
        <f>IFERROR(IF(O151="Nacional",VLOOKUP(P151,PRICING!$D$4:$E$59,2,FALSE),VLOOKUP(P151,PRICING!$J$4:$K$59,2,FALSE)),"")</f>
        <v/>
      </c>
      <c r="S151"/>
      <c r="T151" s="407"/>
      <c r="U151" s="406" t="str">
        <f t="shared" si="9"/>
        <v/>
      </c>
      <c r="V151" s="400"/>
      <c r="W151" s="408" t="str">
        <f t="shared" si="10"/>
        <v/>
      </c>
      <c r="X151" s="409" t="str">
        <f t="shared" si="11"/>
        <v/>
      </c>
    </row>
    <row r="152" spans="1:24" ht="16" x14ac:dyDescent="0.25">
      <c r="A152" s="399" t="str">
        <f>IF(B152="","",CONCATENATE("GBL",B152," - ",Mantenedor!E156))</f>
        <v/>
      </c>
      <c r="B152" s="400"/>
      <c r="C152" s="400"/>
      <c r="D152" s="400"/>
      <c r="E152" s="400"/>
      <c r="F152" s="400"/>
      <c r="G152" s="400"/>
      <c r="H152" s="400"/>
      <c r="I152" s="400"/>
      <c r="J152" s="401"/>
      <c r="K152" s="402"/>
      <c r="L152" s="403"/>
      <c r="M152" s="404"/>
      <c r="N152" s="400"/>
      <c r="O152" s="400"/>
      <c r="P152" s="399" t="str">
        <f t="shared" si="8"/>
        <v/>
      </c>
      <c r="Q152" s="405" t="str" cm="1">
        <f t="array" ref="Q152">+_xlfn.IFS(O152="Nacional","CLP",O152="Extranjero","USD",O152="","")</f>
        <v/>
      </c>
      <c r="R152" s="406" t="str">
        <f>IFERROR(IF(O152="Nacional",VLOOKUP(P152,PRICING!$D$4:$E$59,2,FALSE),VLOOKUP(P152,PRICING!$J$4:$K$59,2,FALSE)),"")</f>
        <v/>
      </c>
      <c r="S152"/>
      <c r="T152" s="407"/>
      <c r="U152" s="406" t="str">
        <f t="shared" si="9"/>
        <v/>
      </c>
      <c r="V152" s="400"/>
      <c r="W152" s="408" t="str">
        <f t="shared" si="10"/>
        <v/>
      </c>
      <c r="X152" s="409" t="str">
        <f t="shared" si="11"/>
        <v/>
      </c>
    </row>
    <row r="153" spans="1:24" ht="16" x14ac:dyDescent="0.25">
      <c r="A153" s="399" t="str">
        <f>IF(B153="","",CONCATENATE("GBL",B153," - ",Mantenedor!E157))</f>
        <v/>
      </c>
      <c r="B153" s="400"/>
      <c r="C153" s="400"/>
      <c r="D153" s="400"/>
      <c r="E153" s="400"/>
      <c r="F153" s="400"/>
      <c r="G153" s="400"/>
      <c r="H153" s="400"/>
      <c r="I153" s="400"/>
      <c r="J153" s="401"/>
      <c r="K153" s="402"/>
      <c r="L153" s="403"/>
      <c r="M153" s="404"/>
      <c r="N153" s="400"/>
      <c r="O153" s="400"/>
      <c r="P153" s="399" t="str">
        <f t="shared" si="8"/>
        <v/>
      </c>
      <c r="Q153" s="405" t="str" cm="1">
        <f t="array" ref="Q153">+_xlfn.IFS(O153="Nacional","CLP",O153="Extranjero","USD",O153="","")</f>
        <v/>
      </c>
      <c r="R153" s="406" t="str">
        <f>IFERROR(IF(O153="Nacional",VLOOKUP(P153,PRICING!$D$4:$E$59,2,FALSE),VLOOKUP(P153,PRICING!$J$4:$K$59,2,FALSE)),"")</f>
        <v/>
      </c>
      <c r="S153"/>
      <c r="T153" s="407"/>
      <c r="U153" s="406" t="str">
        <f t="shared" si="9"/>
        <v/>
      </c>
      <c r="V153" s="400"/>
      <c r="W153" s="408" t="str">
        <f t="shared" si="10"/>
        <v/>
      </c>
      <c r="X153" s="409" t="str">
        <f t="shared" si="11"/>
        <v/>
      </c>
    </row>
    <row r="154" spans="1:24" ht="16" x14ac:dyDescent="0.25">
      <c r="A154" s="399" t="str">
        <f>IF(B154="","",CONCATENATE("GBL",B154," - ",Mantenedor!E158))</f>
        <v/>
      </c>
      <c r="B154" s="400"/>
      <c r="C154" s="400"/>
      <c r="D154" s="400"/>
      <c r="E154" s="400"/>
      <c r="F154" s="400"/>
      <c r="G154" s="400"/>
      <c r="H154" s="400"/>
      <c r="I154" s="400"/>
      <c r="J154" s="401"/>
      <c r="K154" s="402"/>
      <c r="L154" s="403"/>
      <c r="M154" s="404"/>
      <c r="N154" s="400"/>
      <c r="O154" s="400"/>
      <c r="P154" s="399" t="str">
        <f t="shared" si="8"/>
        <v/>
      </c>
      <c r="Q154" s="405" t="str" cm="1">
        <f t="array" ref="Q154">+_xlfn.IFS(O154="Nacional","CLP",O154="Extranjero","USD",O154="","")</f>
        <v/>
      </c>
      <c r="R154" s="406" t="str">
        <f>IFERROR(IF(O154="Nacional",VLOOKUP(P154,PRICING!$D$4:$E$59,2,FALSE),VLOOKUP(P154,PRICING!$J$4:$K$59,2,FALSE)),"")</f>
        <v/>
      </c>
      <c r="S154"/>
      <c r="T154" s="407"/>
      <c r="U154" s="406" t="str">
        <f t="shared" si="9"/>
        <v/>
      </c>
      <c r="V154" s="400"/>
      <c r="W154" s="408" t="str">
        <f t="shared" si="10"/>
        <v/>
      </c>
      <c r="X154" s="409" t="str">
        <f t="shared" si="11"/>
        <v/>
      </c>
    </row>
    <row r="155" spans="1:24" ht="16" x14ac:dyDescent="0.25">
      <c r="A155" s="399" t="str">
        <f>IF(B155="","",CONCATENATE("GBL",B155," - ",Mantenedor!E159))</f>
        <v/>
      </c>
      <c r="B155" s="400"/>
      <c r="C155" s="400"/>
      <c r="D155" s="400"/>
      <c r="E155" s="400"/>
      <c r="F155" s="400"/>
      <c r="G155" s="400"/>
      <c r="H155" s="400"/>
      <c r="I155" s="400"/>
      <c r="J155" s="401"/>
      <c r="K155" s="402"/>
      <c r="L155" s="403"/>
      <c r="M155" s="404"/>
      <c r="N155" s="400"/>
      <c r="O155" s="400"/>
      <c r="P155" s="399" t="str">
        <f t="shared" si="8"/>
        <v/>
      </c>
      <c r="Q155" s="405" t="str" cm="1">
        <f t="array" ref="Q155">+_xlfn.IFS(O155="Nacional","CLP",O155="Extranjero","USD",O155="","")</f>
        <v/>
      </c>
      <c r="R155" s="406" t="str">
        <f>IFERROR(IF(O155="Nacional",VLOOKUP(P155,PRICING!$D$4:$E$59,2,FALSE),VLOOKUP(P155,PRICING!$J$4:$K$59,2,FALSE)),"")</f>
        <v/>
      </c>
      <c r="S155"/>
      <c r="T155" s="407"/>
      <c r="U155" s="406" t="str">
        <f t="shared" si="9"/>
        <v/>
      </c>
      <c r="V155" s="400"/>
      <c r="W155" s="408" t="str">
        <f t="shared" si="10"/>
        <v/>
      </c>
      <c r="X155" s="409" t="str">
        <f t="shared" si="11"/>
        <v/>
      </c>
    </row>
    <row r="156" spans="1:24" ht="16" x14ac:dyDescent="0.25">
      <c r="A156" s="399" t="str">
        <f>IF(B156="","",CONCATENATE("GBL",B156," - ",Mantenedor!E160))</f>
        <v/>
      </c>
      <c r="B156" s="400"/>
      <c r="C156" s="400"/>
      <c r="D156" s="400"/>
      <c r="E156" s="400"/>
      <c r="F156" s="400"/>
      <c r="G156" s="400"/>
      <c r="H156" s="400"/>
      <c r="I156" s="400"/>
      <c r="J156" s="401"/>
      <c r="K156" s="402"/>
      <c r="L156" s="403"/>
      <c r="M156" s="404"/>
      <c r="N156" s="400"/>
      <c r="O156" s="400"/>
      <c r="P156" s="399" t="str">
        <f t="shared" si="8"/>
        <v/>
      </c>
      <c r="Q156" s="405" t="str" cm="1">
        <f t="array" ref="Q156">+_xlfn.IFS(O156="Nacional","CLP",O156="Extranjero","USD",O156="","")</f>
        <v/>
      </c>
      <c r="R156" s="406" t="str">
        <f>IFERROR(IF(O156="Nacional",VLOOKUP(P156,PRICING!$D$4:$E$59,2,FALSE),VLOOKUP(P156,PRICING!$J$4:$K$59,2,FALSE)),"")</f>
        <v/>
      </c>
      <c r="S156"/>
      <c r="T156" s="407"/>
      <c r="U156" s="406" t="str">
        <f t="shared" si="9"/>
        <v/>
      </c>
      <c r="V156" s="400"/>
      <c r="W156" s="408" t="str">
        <f t="shared" si="10"/>
        <v/>
      </c>
      <c r="X156" s="409" t="str">
        <f t="shared" si="11"/>
        <v/>
      </c>
    </row>
    <row r="157" spans="1:24" ht="16" x14ac:dyDescent="0.25">
      <c r="A157" s="399" t="str">
        <f>IF(B157="","",CONCATENATE("GBL",B157," - ",Mantenedor!E161))</f>
        <v/>
      </c>
      <c r="B157" s="400"/>
      <c r="C157" s="400"/>
      <c r="D157" s="400"/>
      <c r="E157" s="400"/>
      <c r="F157" s="400"/>
      <c r="G157" s="400"/>
      <c r="H157" s="400"/>
      <c r="I157" s="400"/>
      <c r="J157" s="401"/>
      <c r="K157" s="402"/>
      <c r="L157" s="403"/>
      <c r="M157" s="404"/>
      <c r="N157" s="400"/>
      <c r="O157" s="400"/>
      <c r="P157" s="399" t="str">
        <f t="shared" si="8"/>
        <v/>
      </c>
      <c r="Q157" s="405" t="str" cm="1">
        <f t="array" ref="Q157">+_xlfn.IFS(O157="Nacional","CLP",O157="Extranjero","USD",O157="","")</f>
        <v/>
      </c>
      <c r="R157" s="406" t="str">
        <f>IFERROR(IF(O157="Nacional",VLOOKUP(P157,PRICING!$D$4:$E$59,2,FALSE),VLOOKUP(P157,PRICING!$J$4:$K$59,2,FALSE)),"")</f>
        <v/>
      </c>
      <c r="S157"/>
      <c r="T157" s="407"/>
      <c r="U157" s="406" t="str">
        <f t="shared" si="9"/>
        <v/>
      </c>
      <c r="V157" s="400"/>
      <c r="W157" s="408" t="str">
        <f t="shared" si="10"/>
        <v/>
      </c>
      <c r="X157" s="409" t="str">
        <f t="shared" si="11"/>
        <v/>
      </c>
    </row>
    <row r="158" spans="1:24" ht="16" x14ac:dyDescent="0.25">
      <c r="A158" s="399" t="str">
        <f>IF(B158="","",CONCATENATE("GBL",B158," - ",Mantenedor!E162))</f>
        <v/>
      </c>
      <c r="B158" s="400"/>
      <c r="C158" s="400"/>
      <c r="D158" s="400"/>
      <c r="E158" s="400"/>
      <c r="F158" s="400"/>
      <c r="G158" s="400"/>
      <c r="H158" s="400"/>
      <c r="I158" s="400"/>
      <c r="J158" s="401"/>
      <c r="K158" s="402"/>
      <c r="L158" s="403"/>
      <c r="M158" s="404"/>
      <c r="N158" s="400"/>
      <c r="O158" s="400"/>
      <c r="P158" s="399" t="str">
        <f t="shared" si="8"/>
        <v/>
      </c>
      <c r="Q158" s="405" t="str" cm="1">
        <f t="array" ref="Q158">+_xlfn.IFS(O158="Nacional","CLP",O158="Extranjero","USD",O158="","")</f>
        <v/>
      </c>
      <c r="R158" s="406" t="str">
        <f>IFERROR(IF(O158="Nacional",VLOOKUP(P158,PRICING!$D$4:$E$59,2,FALSE),VLOOKUP(P158,PRICING!$J$4:$K$59,2,FALSE)),"")</f>
        <v/>
      </c>
      <c r="S158"/>
      <c r="T158" s="407"/>
      <c r="U158" s="406" t="str">
        <f t="shared" si="9"/>
        <v/>
      </c>
      <c r="V158" s="400"/>
      <c r="W158" s="408" t="str">
        <f t="shared" si="10"/>
        <v/>
      </c>
      <c r="X158" s="409" t="str">
        <f t="shared" si="11"/>
        <v/>
      </c>
    </row>
    <row r="159" spans="1:24" ht="16" x14ac:dyDescent="0.25">
      <c r="A159" s="399" t="str">
        <f>IF(B159="","",CONCATENATE("GBL",B159," - ",Mantenedor!E163))</f>
        <v/>
      </c>
      <c r="B159" s="400"/>
      <c r="C159" s="400"/>
      <c r="D159" s="400"/>
      <c r="E159" s="400"/>
      <c r="F159" s="400"/>
      <c r="G159" s="400"/>
      <c r="H159" s="400"/>
      <c r="I159" s="400"/>
      <c r="J159" s="401"/>
      <c r="K159" s="402"/>
      <c r="L159" s="403"/>
      <c r="M159" s="404"/>
      <c r="N159" s="400"/>
      <c r="O159" s="400"/>
      <c r="P159" s="399" t="str">
        <f t="shared" si="8"/>
        <v/>
      </c>
      <c r="Q159" s="405" t="str" cm="1">
        <f t="array" ref="Q159">+_xlfn.IFS(O159="Nacional","CLP",O159="Extranjero","USD",O159="","")</f>
        <v/>
      </c>
      <c r="R159" s="406" t="str">
        <f>IFERROR(IF(O159="Nacional",VLOOKUP(P159,PRICING!$D$4:$E$59,2,FALSE),VLOOKUP(P159,PRICING!$J$4:$K$59,2,FALSE)),"")</f>
        <v/>
      </c>
      <c r="S159"/>
      <c r="T159" s="407"/>
      <c r="U159" s="406" t="str">
        <f t="shared" si="9"/>
        <v/>
      </c>
      <c r="V159" s="400"/>
      <c r="W159" s="408" t="str">
        <f t="shared" si="10"/>
        <v/>
      </c>
      <c r="X159" s="409" t="str">
        <f t="shared" si="11"/>
        <v/>
      </c>
    </row>
    <row r="160" spans="1:24" ht="16" x14ac:dyDescent="0.25">
      <c r="A160" s="399" t="str">
        <f>IF(B160="","",CONCATENATE("GBL",B160," - ",Mantenedor!E164))</f>
        <v/>
      </c>
      <c r="B160" s="400"/>
      <c r="C160" s="400"/>
      <c r="D160" s="400"/>
      <c r="E160" s="400"/>
      <c r="F160" s="400"/>
      <c r="G160" s="400"/>
      <c r="H160" s="400"/>
      <c r="I160" s="400"/>
      <c r="J160" s="401"/>
      <c r="K160" s="402"/>
      <c r="L160" s="403"/>
      <c r="M160" s="404"/>
      <c r="N160" s="400"/>
      <c r="O160" s="400"/>
      <c r="P160" s="399" t="str">
        <f t="shared" si="8"/>
        <v/>
      </c>
      <c r="Q160" s="405" t="str" cm="1">
        <f t="array" ref="Q160">+_xlfn.IFS(O160="Nacional","CLP",O160="Extranjero","USD",O160="","")</f>
        <v/>
      </c>
      <c r="R160" s="406" t="str">
        <f>IFERROR(IF(O160="Nacional",VLOOKUP(P160,PRICING!$D$4:$E$59,2,FALSE),VLOOKUP(P160,PRICING!$J$4:$K$59,2,FALSE)),"")</f>
        <v/>
      </c>
      <c r="S160"/>
      <c r="T160" s="407"/>
      <c r="U160" s="406" t="str">
        <f t="shared" si="9"/>
        <v/>
      </c>
      <c r="V160" s="400"/>
      <c r="W160" s="408" t="str">
        <f t="shared" si="10"/>
        <v/>
      </c>
      <c r="X160" s="409" t="str">
        <f t="shared" si="11"/>
        <v/>
      </c>
    </row>
    <row r="161" spans="1:24" ht="16" x14ac:dyDescent="0.25">
      <c r="A161" s="399" t="str">
        <f>IF(B161="","",CONCATENATE("GBL",B161," - ",Mantenedor!E165))</f>
        <v/>
      </c>
      <c r="B161" s="400"/>
      <c r="C161" s="400"/>
      <c r="D161" s="400"/>
      <c r="E161" s="400"/>
      <c r="F161" s="400"/>
      <c r="G161" s="400"/>
      <c r="H161" s="400"/>
      <c r="I161" s="400"/>
      <c r="J161" s="401"/>
      <c r="K161" s="402"/>
      <c r="L161" s="403"/>
      <c r="M161" s="404"/>
      <c r="N161" s="400"/>
      <c r="O161" s="400"/>
      <c r="P161" s="399" t="str">
        <f t="shared" si="8"/>
        <v/>
      </c>
      <c r="Q161" s="405" t="str" cm="1">
        <f t="array" ref="Q161">+_xlfn.IFS(O161="Nacional","CLP",O161="Extranjero","USD",O161="","")</f>
        <v/>
      </c>
      <c r="R161" s="406" t="str">
        <f>IFERROR(IF(O161="Nacional",VLOOKUP(P161,PRICING!$D$4:$E$59,2,FALSE),VLOOKUP(P161,PRICING!$J$4:$K$59,2,FALSE)),"")</f>
        <v/>
      </c>
      <c r="S161"/>
      <c r="T161" s="407"/>
      <c r="U161" s="406" t="str">
        <f t="shared" si="9"/>
        <v/>
      </c>
      <c r="V161" s="400"/>
      <c r="W161" s="408" t="str">
        <f t="shared" si="10"/>
        <v/>
      </c>
      <c r="X161" s="409" t="str">
        <f t="shared" si="11"/>
        <v/>
      </c>
    </row>
    <row r="162" spans="1:24" ht="16" x14ac:dyDescent="0.25">
      <c r="A162" s="399" t="str">
        <f>IF(B162="","",CONCATENATE("GBL",B162," - ",Mantenedor!E166))</f>
        <v/>
      </c>
      <c r="B162" s="400"/>
      <c r="C162" s="400"/>
      <c r="D162" s="400"/>
      <c r="E162" s="400"/>
      <c r="F162" s="400"/>
      <c r="G162" s="400"/>
      <c r="H162" s="400"/>
      <c r="I162" s="400"/>
      <c r="J162" s="401"/>
      <c r="K162" s="402"/>
      <c r="L162" s="403"/>
      <c r="M162" s="404"/>
      <c r="N162" s="400"/>
      <c r="O162" s="400"/>
      <c r="P162" s="399" t="str">
        <f t="shared" si="8"/>
        <v/>
      </c>
      <c r="Q162" s="405" t="str" cm="1">
        <f t="array" ref="Q162">+_xlfn.IFS(O162="Nacional","CLP",O162="Extranjero","USD",O162="","")</f>
        <v/>
      </c>
      <c r="R162" s="406" t="str">
        <f>IFERROR(IF(O162="Nacional",VLOOKUP(P162,PRICING!$D$4:$E$59,2,FALSE),VLOOKUP(P162,PRICING!$J$4:$K$59,2,FALSE)),"")</f>
        <v/>
      </c>
      <c r="S162"/>
      <c r="T162" s="407"/>
      <c r="U162" s="406" t="str">
        <f t="shared" si="9"/>
        <v/>
      </c>
      <c r="V162" s="400"/>
      <c r="W162" s="408" t="str">
        <f t="shared" si="10"/>
        <v/>
      </c>
      <c r="X162" s="409" t="str">
        <f t="shared" si="11"/>
        <v/>
      </c>
    </row>
    <row r="163" spans="1:24" ht="16" x14ac:dyDescent="0.25">
      <c r="A163" s="399" t="str">
        <f>IF(B163="","",CONCATENATE("GBL",B163," - ",Mantenedor!E167))</f>
        <v/>
      </c>
      <c r="B163" s="400"/>
      <c r="C163" s="400"/>
      <c r="D163" s="400"/>
      <c r="E163" s="400"/>
      <c r="F163" s="400"/>
      <c r="G163" s="400"/>
      <c r="H163" s="400"/>
      <c r="I163" s="400"/>
      <c r="J163" s="401"/>
      <c r="K163" s="402"/>
      <c r="L163" s="403"/>
      <c r="M163" s="404"/>
      <c r="N163" s="400"/>
      <c r="O163" s="400"/>
      <c r="P163" s="399" t="str">
        <f t="shared" si="8"/>
        <v/>
      </c>
      <c r="Q163" s="405" t="str" cm="1">
        <f t="array" ref="Q163">+_xlfn.IFS(O163="Nacional","CLP",O163="Extranjero","USD",O163="","")</f>
        <v/>
      </c>
      <c r="R163" s="406" t="str">
        <f>IFERROR(IF(O163="Nacional",VLOOKUP(P163,PRICING!$D$4:$E$59,2,FALSE),VLOOKUP(P163,PRICING!$J$4:$K$59,2,FALSE)),"")</f>
        <v/>
      </c>
      <c r="S163"/>
      <c r="T163" s="407"/>
      <c r="U163" s="406" t="str">
        <f t="shared" si="9"/>
        <v/>
      </c>
      <c r="V163" s="400"/>
      <c r="W163" s="408" t="str">
        <f t="shared" si="10"/>
        <v/>
      </c>
      <c r="X163" s="409" t="str">
        <f t="shared" si="11"/>
        <v/>
      </c>
    </row>
    <row r="164" spans="1:24" ht="16" x14ac:dyDescent="0.25">
      <c r="A164" s="399" t="str">
        <f>IF(B164="","",CONCATENATE("GBL",B164," - ",Mantenedor!E168))</f>
        <v/>
      </c>
      <c r="B164" s="400"/>
      <c r="C164" s="400"/>
      <c r="D164" s="400"/>
      <c r="E164" s="400"/>
      <c r="F164" s="400"/>
      <c r="G164" s="400"/>
      <c r="H164" s="400"/>
      <c r="I164" s="400"/>
      <c r="J164" s="401"/>
      <c r="K164" s="402"/>
      <c r="L164" s="403"/>
      <c r="M164" s="404"/>
      <c r="N164" s="400"/>
      <c r="O164" s="400"/>
      <c r="P164" s="399" t="str">
        <f t="shared" si="8"/>
        <v/>
      </c>
      <c r="Q164" s="405" t="str" cm="1">
        <f t="array" ref="Q164">+_xlfn.IFS(O164="Nacional","CLP",O164="Extranjero","USD",O164="","")</f>
        <v/>
      </c>
      <c r="R164" s="406" t="str">
        <f>IFERROR(IF(O164="Nacional",VLOOKUP(P164,PRICING!$D$4:$E$59,2,FALSE),VLOOKUP(P164,PRICING!$J$4:$K$59,2,FALSE)),"")</f>
        <v/>
      </c>
      <c r="S164"/>
      <c r="T164" s="407"/>
      <c r="U164" s="406" t="str">
        <f t="shared" si="9"/>
        <v/>
      </c>
      <c r="V164" s="400"/>
      <c r="W164" s="408" t="str">
        <f t="shared" si="10"/>
        <v/>
      </c>
      <c r="X164" s="409" t="str">
        <f t="shared" si="11"/>
        <v/>
      </c>
    </row>
    <row r="165" spans="1:24" ht="16" x14ac:dyDescent="0.25">
      <c r="A165" s="399" t="str">
        <f>IF(B165="","",CONCATENATE("GBL",B165," - ",Mantenedor!E169))</f>
        <v/>
      </c>
      <c r="B165" s="400"/>
      <c r="C165" s="400"/>
      <c r="D165" s="400"/>
      <c r="E165" s="400"/>
      <c r="F165" s="400"/>
      <c r="G165" s="400"/>
      <c r="H165" s="400"/>
      <c r="I165" s="400"/>
      <c r="J165" s="401"/>
      <c r="K165" s="402"/>
      <c r="L165" s="403"/>
      <c r="M165" s="404"/>
      <c r="N165" s="400"/>
      <c r="O165" s="400"/>
      <c r="P165" s="399" t="str">
        <f t="shared" si="8"/>
        <v/>
      </c>
      <c r="Q165" s="405" t="str" cm="1">
        <f t="array" ref="Q165">+_xlfn.IFS(O165="Nacional","CLP",O165="Extranjero","USD",O165="","")</f>
        <v/>
      </c>
      <c r="R165" s="406" t="str">
        <f>IFERROR(IF(O165="Nacional",VLOOKUP(P165,PRICING!$D$4:$E$59,2,FALSE),VLOOKUP(P165,PRICING!$J$4:$K$59,2,FALSE)),"")</f>
        <v/>
      </c>
      <c r="S165"/>
      <c r="T165" s="407"/>
      <c r="U165" s="406" t="str">
        <f t="shared" si="9"/>
        <v/>
      </c>
      <c r="V165" s="400"/>
      <c r="W165" s="408" t="str">
        <f t="shared" si="10"/>
        <v/>
      </c>
      <c r="X165" s="409" t="str">
        <f t="shared" si="11"/>
        <v/>
      </c>
    </row>
    <row r="166" spans="1:24" ht="16" x14ac:dyDescent="0.25">
      <c r="A166" s="399" t="str">
        <f>IF(B166="","",CONCATENATE("GBL",B166," - ",Mantenedor!E170))</f>
        <v/>
      </c>
      <c r="B166" s="400"/>
      <c r="C166" s="400"/>
      <c r="D166" s="400"/>
      <c r="E166" s="400"/>
      <c r="F166" s="400"/>
      <c r="G166" s="400"/>
      <c r="H166" s="400"/>
      <c r="I166" s="400"/>
      <c r="J166" s="401"/>
      <c r="K166" s="402"/>
      <c r="L166" s="403"/>
      <c r="M166" s="404"/>
      <c r="N166" s="400"/>
      <c r="O166" s="400"/>
      <c r="P166" s="399" t="str">
        <f t="shared" si="8"/>
        <v/>
      </c>
      <c r="Q166" s="405" t="str" cm="1">
        <f t="array" ref="Q166">+_xlfn.IFS(O166="Nacional","CLP",O166="Extranjero","USD",O166="","")</f>
        <v/>
      </c>
      <c r="R166" s="406" t="str">
        <f>IFERROR(IF(O166="Nacional",VLOOKUP(P166,PRICING!$D$4:$E$59,2,FALSE),VLOOKUP(P166,PRICING!$J$4:$K$59,2,FALSE)),"")</f>
        <v/>
      </c>
      <c r="S166"/>
      <c r="T166" s="407"/>
      <c r="U166" s="406" t="str">
        <f t="shared" si="9"/>
        <v/>
      </c>
      <c r="V166" s="400"/>
      <c r="W166" s="408" t="str">
        <f t="shared" si="10"/>
        <v/>
      </c>
      <c r="X166" s="409" t="str">
        <f t="shared" si="11"/>
        <v/>
      </c>
    </row>
    <row r="167" spans="1:24" ht="16" x14ac:dyDescent="0.25">
      <c r="A167" s="399" t="str">
        <f>IF(B167="","",CONCATENATE("GBL",B167," - ",Mantenedor!E171))</f>
        <v/>
      </c>
      <c r="B167" s="400"/>
      <c r="C167" s="400"/>
      <c r="D167" s="400"/>
      <c r="E167" s="400"/>
      <c r="F167" s="400"/>
      <c r="G167" s="400"/>
      <c r="H167" s="400"/>
      <c r="I167" s="400"/>
      <c r="J167" s="401"/>
      <c r="K167" s="402"/>
      <c r="L167" s="403"/>
      <c r="M167" s="404"/>
      <c r="N167" s="400"/>
      <c r="O167" s="400"/>
      <c r="P167" s="399" t="str">
        <f t="shared" si="8"/>
        <v/>
      </c>
      <c r="Q167" s="405" t="str" cm="1">
        <f t="array" ref="Q167">+_xlfn.IFS(O167="Nacional","CLP",O167="Extranjero","USD",O167="","")</f>
        <v/>
      </c>
      <c r="R167" s="406" t="str">
        <f>IFERROR(IF(O167="Nacional",VLOOKUP(P167,PRICING!$D$4:$E$59,2,FALSE),VLOOKUP(P167,PRICING!$J$4:$K$59,2,FALSE)),"")</f>
        <v/>
      </c>
      <c r="S167"/>
      <c r="T167" s="407"/>
      <c r="U167" s="406" t="str">
        <f t="shared" si="9"/>
        <v/>
      </c>
      <c r="V167" s="400"/>
      <c r="W167" s="408" t="str">
        <f t="shared" si="10"/>
        <v/>
      </c>
      <c r="X167" s="409" t="str">
        <f t="shared" si="11"/>
        <v/>
      </c>
    </row>
    <row r="168" spans="1:24" ht="16" x14ac:dyDescent="0.25">
      <c r="A168" s="399" t="str">
        <f>IF(B168="","",CONCATENATE("GBL",B168," - ",Mantenedor!E172))</f>
        <v/>
      </c>
      <c r="B168" s="400"/>
      <c r="C168" s="400"/>
      <c r="D168" s="400"/>
      <c r="E168" s="400"/>
      <c r="F168" s="400"/>
      <c r="G168" s="400"/>
      <c r="H168" s="400"/>
      <c r="I168" s="400"/>
      <c r="J168" s="401"/>
      <c r="K168" s="402"/>
      <c r="L168" s="403"/>
      <c r="M168" s="404"/>
      <c r="N168" s="400"/>
      <c r="O168" s="400"/>
      <c r="P168" s="399" t="str">
        <f t="shared" si="8"/>
        <v/>
      </c>
      <c r="Q168" s="405" t="str" cm="1">
        <f t="array" ref="Q168">+_xlfn.IFS(O168="Nacional","CLP",O168="Extranjero","USD",O168="","")</f>
        <v/>
      </c>
      <c r="R168" s="406" t="str">
        <f>IFERROR(IF(O168="Nacional",VLOOKUP(P168,PRICING!$D$4:$E$59,2,FALSE),VLOOKUP(P168,PRICING!$J$4:$K$59,2,FALSE)),"")</f>
        <v/>
      </c>
      <c r="S168"/>
      <c r="T168" s="407"/>
      <c r="U168" s="406" t="str">
        <f t="shared" si="9"/>
        <v/>
      </c>
      <c r="V168" s="400"/>
      <c r="W168" s="408" t="str">
        <f t="shared" si="10"/>
        <v/>
      </c>
      <c r="X168" s="409" t="str">
        <f t="shared" si="11"/>
        <v/>
      </c>
    </row>
    <row r="169" spans="1:24" ht="16" x14ac:dyDescent="0.25">
      <c r="A169" s="399" t="str">
        <f>IF(B169="","",CONCATENATE("GBL",B169," - ",Mantenedor!E173))</f>
        <v/>
      </c>
      <c r="B169" s="400"/>
      <c r="C169" s="400"/>
      <c r="D169" s="400"/>
      <c r="E169" s="400"/>
      <c r="F169" s="400"/>
      <c r="G169" s="400"/>
      <c r="H169" s="400"/>
      <c r="I169" s="400"/>
      <c r="J169" s="401"/>
      <c r="K169" s="402"/>
      <c r="L169" s="403"/>
      <c r="M169" s="404"/>
      <c r="N169" s="400"/>
      <c r="O169" s="400"/>
      <c r="P169" s="399" t="str">
        <f t="shared" si="8"/>
        <v/>
      </c>
      <c r="Q169" s="405" t="str" cm="1">
        <f t="array" ref="Q169">+_xlfn.IFS(O169="Nacional","CLP",O169="Extranjero","USD",O169="","")</f>
        <v/>
      </c>
      <c r="R169" s="406" t="str">
        <f>IFERROR(IF(O169="Nacional",VLOOKUP(P169,PRICING!$D$4:$E$59,2,FALSE),VLOOKUP(P169,PRICING!$J$4:$K$59,2,FALSE)),"")</f>
        <v/>
      </c>
      <c r="S169"/>
      <c r="T169" s="407"/>
      <c r="U169" s="406" t="str">
        <f t="shared" si="9"/>
        <v/>
      </c>
      <c r="V169" s="400"/>
      <c r="W169" s="408" t="str">
        <f t="shared" si="10"/>
        <v/>
      </c>
      <c r="X169" s="409" t="str">
        <f t="shared" si="11"/>
        <v/>
      </c>
    </row>
    <row r="170" spans="1:24" ht="16" x14ac:dyDescent="0.25">
      <c r="A170" s="399" t="str">
        <f>IF(B170="","",CONCATENATE("GBL",B170," - ",Mantenedor!E174))</f>
        <v/>
      </c>
      <c r="B170" s="400"/>
      <c r="C170" s="400"/>
      <c r="D170" s="400"/>
      <c r="E170" s="400"/>
      <c r="F170" s="400"/>
      <c r="G170" s="400"/>
      <c r="H170" s="400"/>
      <c r="I170" s="400"/>
      <c r="J170" s="401"/>
      <c r="K170" s="402"/>
      <c r="L170" s="403"/>
      <c r="M170" s="404"/>
      <c r="N170" s="400"/>
      <c r="O170" s="400"/>
      <c r="P170" s="399" t="str">
        <f t="shared" si="8"/>
        <v/>
      </c>
      <c r="Q170" s="405" t="str" cm="1">
        <f t="array" ref="Q170">+_xlfn.IFS(O170="Nacional","CLP",O170="Extranjero","USD",O170="","")</f>
        <v/>
      </c>
      <c r="R170" s="406" t="str">
        <f>IFERROR(IF(O170="Nacional",VLOOKUP(P170,PRICING!$D$4:$E$59,2,FALSE),VLOOKUP(P170,PRICING!$J$4:$K$59,2,FALSE)),"")</f>
        <v/>
      </c>
      <c r="S170"/>
      <c r="T170" s="407"/>
      <c r="U170" s="406" t="str">
        <f t="shared" si="9"/>
        <v/>
      </c>
      <c r="V170" s="400"/>
      <c r="W170" s="408" t="str">
        <f t="shared" si="10"/>
        <v/>
      </c>
      <c r="X170" s="409" t="str">
        <f t="shared" si="11"/>
        <v/>
      </c>
    </row>
    <row r="171" spans="1:24" ht="16" x14ac:dyDescent="0.25">
      <c r="A171" s="399" t="str">
        <f>IF(B171="","",CONCATENATE("GBL",B171," - ",Mantenedor!E175))</f>
        <v/>
      </c>
      <c r="B171" s="400"/>
      <c r="C171" s="400"/>
      <c r="D171" s="400"/>
      <c r="E171" s="400"/>
      <c r="F171" s="400"/>
      <c r="G171" s="400"/>
      <c r="H171" s="400"/>
      <c r="I171" s="400"/>
      <c r="J171" s="401"/>
      <c r="K171" s="402"/>
      <c r="L171" s="403"/>
      <c r="M171" s="404"/>
      <c r="N171" s="400"/>
      <c r="O171" s="400"/>
      <c r="P171" s="399" t="str">
        <f t="shared" si="8"/>
        <v/>
      </c>
      <c r="Q171" s="405" t="str" cm="1">
        <f t="array" ref="Q171">+_xlfn.IFS(O171="Nacional","CLP",O171="Extranjero","USD",O171="","")</f>
        <v/>
      </c>
      <c r="R171" s="406" t="str">
        <f>IFERROR(IF(O171="Nacional",VLOOKUP(P171,PRICING!$D$4:$E$59,2,FALSE),VLOOKUP(P171,PRICING!$J$4:$K$59,2,FALSE)),"")</f>
        <v/>
      </c>
      <c r="S171"/>
      <c r="T171" s="407"/>
      <c r="U171" s="406" t="str">
        <f t="shared" si="9"/>
        <v/>
      </c>
      <c r="V171" s="400"/>
      <c r="W171" s="408" t="str">
        <f t="shared" si="10"/>
        <v/>
      </c>
      <c r="X171" s="409" t="str">
        <f t="shared" si="11"/>
        <v/>
      </c>
    </row>
    <row r="172" spans="1:24" ht="16" x14ac:dyDescent="0.25">
      <c r="A172" s="399" t="str">
        <f>IF(B172="","",CONCATENATE("GBL",B172," - ",Mantenedor!E176))</f>
        <v/>
      </c>
      <c r="B172" s="400"/>
      <c r="C172" s="400"/>
      <c r="D172" s="400"/>
      <c r="E172" s="400"/>
      <c r="F172" s="400"/>
      <c r="G172" s="400"/>
      <c r="H172" s="400"/>
      <c r="I172" s="400"/>
      <c r="J172" s="401"/>
      <c r="K172" s="402"/>
      <c r="L172" s="403"/>
      <c r="M172" s="404"/>
      <c r="N172" s="400"/>
      <c r="O172" s="400"/>
      <c r="P172" s="399" t="str">
        <f t="shared" si="8"/>
        <v/>
      </c>
      <c r="Q172" s="405" t="str" cm="1">
        <f t="array" ref="Q172">+_xlfn.IFS(O172="Nacional","CLP",O172="Extranjero","USD",O172="","")</f>
        <v/>
      </c>
      <c r="R172" s="406" t="str">
        <f>IFERROR(IF(O172="Nacional",VLOOKUP(P172,PRICING!$D$4:$E$59,2,FALSE),VLOOKUP(P172,PRICING!$J$4:$K$59,2,FALSE)),"")</f>
        <v/>
      </c>
      <c r="S172"/>
      <c r="T172" s="407"/>
      <c r="U172" s="406" t="str">
        <f t="shared" si="9"/>
        <v/>
      </c>
      <c r="V172" s="400"/>
      <c r="W172" s="408" t="str">
        <f t="shared" si="10"/>
        <v/>
      </c>
      <c r="X172" s="409" t="str">
        <f t="shared" si="11"/>
        <v/>
      </c>
    </row>
    <row r="173" spans="1:24" ht="16" x14ac:dyDescent="0.25">
      <c r="A173" s="399" t="str">
        <f>IF(B173="","",CONCATENATE("GBL",B173," - ",Mantenedor!E177))</f>
        <v/>
      </c>
      <c r="B173" s="400"/>
      <c r="C173" s="400"/>
      <c r="D173" s="400"/>
      <c r="E173" s="400"/>
      <c r="F173" s="400"/>
      <c r="G173" s="400"/>
      <c r="H173" s="400"/>
      <c r="I173" s="400"/>
      <c r="J173" s="401"/>
      <c r="K173" s="402"/>
      <c r="L173" s="403"/>
      <c r="M173" s="404"/>
      <c r="N173" s="400"/>
      <c r="O173" s="400"/>
      <c r="P173" s="399" t="str">
        <f t="shared" si="8"/>
        <v/>
      </c>
      <c r="Q173" s="405" t="str" cm="1">
        <f t="array" ref="Q173">+_xlfn.IFS(O173="Nacional","CLP",O173="Extranjero","USD",O173="","")</f>
        <v/>
      </c>
      <c r="R173" s="406" t="str">
        <f>IFERROR(IF(O173="Nacional",VLOOKUP(P173,PRICING!$D$4:$E$59,2,FALSE),VLOOKUP(P173,PRICING!$J$4:$K$59,2,FALSE)),"")</f>
        <v/>
      </c>
      <c r="S173"/>
      <c r="T173" s="407"/>
      <c r="U173" s="406" t="str">
        <f t="shared" si="9"/>
        <v/>
      </c>
      <c r="V173" s="400"/>
      <c r="W173" s="408" t="str">
        <f t="shared" si="10"/>
        <v/>
      </c>
      <c r="X173" s="409" t="str">
        <f t="shared" si="11"/>
        <v/>
      </c>
    </row>
    <row r="174" spans="1:24" ht="16" x14ac:dyDescent="0.25">
      <c r="A174" s="399" t="str">
        <f>IF(B174="","",CONCATENATE("GBL",B174," - ",Mantenedor!E178))</f>
        <v/>
      </c>
      <c r="B174" s="400"/>
      <c r="C174" s="400"/>
      <c r="D174" s="400"/>
      <c r="E174" s="400"/>
      <c r="F174" s="400"/>
      <c r="G174" s="400"/>
      <c r="H174" s="400"/>
      <c r="I174" s="400"/>
      <c r="J174" s="401"/>
      <c r="K174" s="402"/>
      <c r="L174" s="403"/>
      <c r="M174" s="404"/>
      <c r="N174" s="400"/>
      <c r="O174" s="400"/>
      <c r="P174" s="399" t="str">
        <f t="shared" si="8"/>
        <v/>
      </c>
      <c r="Q174" s="405" t="str" cm="1">
        <f t="array" ref="Q174">+_xlfn.IFS(O174="Nacional","CLP",O174="Extranjero","USD",O174="","")</f>
        <v/>
      </c>
      <c r="R174" s="406" t="str">
        <f>IFERROR(IF(O174="Nacional",VLOOKUP(P174,PRICING!$D$4:$E$59,2,FALSE),VLOOKUP(P174,PRICING!$J$4:$K$59,2,FALSE)),"")</f>
        <v/>
      </c>
      <c r="S174"/>
      <c r="T174" s="407"/>
      <c r="U174" s="406" t="str">
        <f t="shared" si="9"/>
        <v/>
      </c>
      <c r="V174" s="400"/>
      <c r="W174" s="408" t="str">
        <f t="shared" si="10"/>
        <v/>
      </c>
      <c r="X174" s="409" t="str">
        <f t="shared" si="11"/>
        <v/>
      </c>
    </row>
    <row r="175" spans="1:24" ht="16" x14ac:dyDescent="0.25">
      <c r="A175" s="399" t="str">
        <f>IF(B175="","",CONCATENATE("GBL",B175," - ",Mantenedor!E179))</f>
        <v/>
      </c>
      <c r="B175" s="400"/>
      <c r="C175" s="400"/>
      <c r="D175" s="400"/>
      <c r="E175" s="400"/>
      <c r="F175" s="400"/>
      <c r="G175" s="400"/>
      <c r="H175" s="400"/>
      <c r="I175" s="400"/>
      <c r="J175" s="401"/>
      <c r="K175" s="402"/>
      <c r="L175" s="403"/>
      <c r="M175" s="404"/>
      <c r="N175" s="400"/>
      <c r="O175" s="400"/>
      <c r="P175" s="399" t="str">
        <f t="shared" si="8"/>
        <v/>
      </c>
      <c r="Q175" s="405" t="str" cm="1">
        <f t="array" ref="Q175">+_xlfn.IFS(O175="Nacional","CLP",O175="Extranjero","USD",O175="","")</f>
        <v/>
      </c>
      <c r="R175" s="406" t="str">
        <f>IFERROR(IF(O175="Nacional",VLOOKUP(P175,PRICING!$D$4:$E$59,2,FALSE),VLOOKUP(P175,PRICING!$J$4:$K$59,2,FALSE)),"")</f>
        <v/>
      </c>
      <c r="S175"/>
      <c r="T175" s="407"/>
      <c r="U175" s="406" t="str">
        <f t="shared" si="9"/>
        <v/>
      </c>
      <c r="V175" s="400"/>
      <c r="W175" s="408" t="str">
        <f t="shared" si="10"/>
        <v/>
      </c>
      <c r="X175" s="409" t="str">
        <f t="shared" si="11"/>
        <v/>
      </c>
    </row>
    <row r="176" spans="1:24" ht="16" x14ac:dyDescent="0.25">
      <c r="A176" s="399" t="str">
        <f>IF(B176="","",CONCATENATE("GBL",B176," - ",Mantenedor!E180))</f>
        <v/>
      </c>
      <c r="B176" s="400"/>
      <c r="C176" s="400"/>
      <c r="D176" s="400"/>
      <c r="E176" s="400"/>
      <c r="F176" s="400"/>
      <c r="G176" s="400"/>
      <c r="H176" s="400"/>
      <c r="I176" s="400"/>
      <c r="J176" s="401"/>
      <c r="K176" s="402"/>
      <c r="L176" s="403"/>
      <c r="M176" s="404"/>
      <c r="N176" s="400"/>
      <c r="O176" s="400"/>
      <c r="P176" s="399" t="str">
        <f t="shared" si="8"/>
        <v/>
      </c>
      <c r="Q176" s="405" t="str" cm="1">
        <f t="array" ref="Q176">+_xlfn.IFS(O176="Nacional","CLP",O176="Extranjero","USD",O176="","")</f>
        <v/>
      </c>
      <c r="R176" s="406" t="str">
        <f>IFERROR(IF(O176="Nacional",VLOOKUP(P176,PRICING!$D$4:$E$59,2,FALSE),VLOOKUP(P176,PRICING!$J$4:$K$59,2,FALSE)),"")</f>
        <v/>
      </c>
      <c r="S176"/>
      <c r="T176" s="407"/>
      <c r="U176" s="406" t="str">
        <f t="shared" si="9"/>
        <v/>
      </c>
      <c r="V176" s="400"/>
      <c r="W176" s="408" t="str">
        <f t="shared" si="10"/>
        <v/>
      </c>
      <c r="X176" s="409" t="str">
        <f t="shared" si="11"/>
        <v/>
      </c>
    </row>
    <row r="177" spans="1:24" ht="16" x14ac:dyDescent="0.25">
      <c r="A177" s="399" t="str">
        <f>IF(B177="","",CONCATENATE("GBL",B177," - ",Mantenedor!E181))</f>
        <v/>
      </c>
      <c r="B177" s="400"/>
      <c r="C177" s="400"/>
      <c r="D177" s="400"/>
      <c r="E177" s="400"/>
      <c r="F177" s="400"/>
      <c r="G177" s="400"/>
      <c r="H177" s="400"/>
      <c r="I177" s="400"/>
      <c r="J177" s="401"/>
      <c r="K177" s="402"/>
      <c r="L177" s="403"/>
      <c r="M177" s="404"/>
      <c r="N177" s="400"/>
      <c r="O177" s="400"/>
      <c r="P177" s="399" t="str">
        <f t="shared" si="8"/>
        <v/>
      </c>
      <c r="Q177" s="405" t="str" cm="1">
        <f t="array" ref="Q177">+_xlfn.IFS(O177="Nacional","CLP",O177="Extranjero","USD",O177="","")</f>
        <v/>
      </c>
      <c r="R177" s="406" t="str">
        <f>IFERROR(IF(O177="Nacional",VLOOKUP(P177,PRICING!$D$4:$E$59,2,FALSE),VLOOKUP(P177,PRICING!$J$4:$K$59,2,FALSE)),"")</f>
        <v/>
      </c>
      <c r="S177"/>
      <c r="T177" s="407"/>
      <c r="U177" s="406" t="str">
        <f t="shared" si="9"/>
        <v/>
      </c>
      <c r="V177" s="400"/>
      <c r="W177" s="408" t="str">
        <f t="shared" si="10"/>
        <v/>
      </c>
      <c r="X177" s="409" t="str">
        <f t="shared" si="11"/>
        <v/>
      </c>
    </row>
    <row r="178" spans="1:24" ht="16" x14ac:dyDescent="0.25">
      <c r="A178" s="399" t="str">
        <f>IF(B178="","",CONCATENATE("GBL",B178," - ",Mantenedor!E182))</f>
        <v/>
      </c>
      <c r="B178" s="400"/>
      <c r="C178" s="400"/>
      <c r="D178" s="400"/>
      <c r="E178" s="400"/>
      <c r="F178" s="400"/>
      <c r="G178" s="400"/>
      <c r="H178" s="400"/>
      <c r="I178" s="400"/>
      <c r="J178" s="401"/>
      <c r="K178" s="402"/>
      <c r="L178" s="403"/>
      <c r="M178" s="404"/>
      <c r="N178" s="400"/>
      <c r="O178" s="400"/>
      <c r="P178" s="399" t="str">
        <f t="shared" si="8"/>
        <v/>
      </c>
      <c r="Q178" s="405" t="str" cm="1">
        <f t="array" ref="Q178">+_xlfn.IFS(O178="Nacional","CLP",O178="Extranjero","USD",O178="","")</f>
        <v/>
      </c>
      <c r="R178" s="406" t="str">
        <f>IFERROR(IF(O178="Nacional",VLOOKUP(P178,PRICING!$D$4:$E$59,2,FALSE),VLOOKUP(P178,PRICING!$J$4:$K$59,2,FALSE)),"")</f>
        <v/>
      </c>
      <c r="S178"/>
      <c r="T178" s="407"/>
      <c r="U178" s="406" t="str">
        <f t="shared" si="9"/>
        <v/>
      </c>
      <c r="V178" s="400"/>
      <c r="W178" s="408" t="str">
        <f t="shared" si="10"/>
        <v/>
      </c>
      <c r="X178" s="409" t="str">
        <f t="shared" si="11"/>
        <v/>
      </c>
    </row>
    <row r="179" spans="1:24" ht="16" x14ac:dyDescent="0.25">
      <c r="A179" s="399" t="str">
        <f>IF(B179="","",CONCATENATE("GBL",B179," - ",Mantenedor!E183))</f>
        <v/>
      </c>
      <c r="B179" s="400"/>
      <c r="C179" s="400"/>
      <c r="D179" s="400"/>
      <c r="E179" s="400"/>
      <c r="F179" s="400"/>
      <c r="G179" s="400"/>
      <c r="H179" s="400"/>
      <c r="I179" s="400"/>
      <c r="J179" s="401"/>
      <c r="K179" s="402"/>
      <c r="L179" s="403"/>
      <c r="M179" s="404"/>
      <c r="N179" s="400"/>
      <c r="O179" s="400"/>
      <c r="P179" s="399" t="str">
        <f t="shared" si="8"/>
        <v/>
      </c>
      <c r="Q179" s="405" t="str" cm="1">
        <f t="array" ref="Q179">+_xlfn.IFS(O179="Nacional","CLP",O179="Extranjero","USD",O179="","")</f>
        <v/>
      </c>
      <c r="R179" s="406" t="str">
        <f>IFERROR(IF(O179="Nacional",VLOOKUP(P179,PRICING!$D$4:$E$59,2,FALSE),VLOOKUP(P179,PRICING!$J$4:$K$59,2,FALSE)),"")</f>
        <v/>
      </c>
      <c r="S179"/>
      <c r="T179" s="407"/>
      <c r="U179" s="406" t="str">
        <f t="shared" si="9"/>
        <v/>
      </c>
      <c r="V179" s="400"/>
      <c r="W179" s="408" t="str">
        <f t="shared" si="10"/>
        <v/>
      </c>
      <c r="X179" s="409" t="str">
        <f t="shared" si="11"/>
        <v/>
      </c>
    </row>
    <row r="180" spans="1:24" ht="16" x14ac:dyDescent="0.25">
      <c r="A180" s="399" t="str">
        <f>IF(B180="","",CONCATENATE("GBL",B180," - ",Mantenedor!E184))</f>
        <v/>
      </c>
      <c r="B180" s="400"/>
      <c r="C180" s="400"/>
      <c r="D180" s="400"/>
      <c r="E180" s="400"/>
      <c r="F180" s="400"/>
      <c r="G180" s="400"/>
      <c r="H180" s="400"/>
      <c r="I180" s="400"/>
      <c r="J180" s="401"/>
      <c r="K180" s="402"/>
      <c r="L180" s="403"/>
      <c r="M180" s="404"/>
      <c r="N180" s="400"/>
      <c r="O180" s="400"/>
      <c r="P180" s="399" t="str">
        <f t="shared" si="8"/>
        <v/>
      </c>
      <c r="Q180" s="405" t="str" cm="1">
        <f t="array" ref="Q180">+_xlfn.IFS(O180="Nacional","CLP",O180="Extranjero","USD",O180="","")</f>
        <v/>
      </c>
      <c r="R180" s="406" t="str">
        <f>IFERROR(IF(O180="Nacional",VLOOKUP(P180,PRICING!$D$4:$E$59,2,FALSE),VLOOKUP(P180,PRICING!$J$4:$K$59,2,FALSE)),"")</f>
        <v/>
      </c>
      <c r="S180"/>
      <c r="T180" s="407"/>
      <c r="U180" s="406" t="str">
        <f t="shared" si="9"/>
        <v/>
      </c>
      <c r="V180" s="400"/>
      <c r="W180" s="408" t="str">
        <f t="shared" si="10"/>
        <v/>
      </c>
      <c r="X180" s="409" t="str">
        <f t="shared" si="11"/>
        <v/>
      </c>
    </row>
    <row r="181" spans="1:24" ht="16" x14ac:dyDescent="0.25">
      <c r="A181" s="399" t="str">
        <f>IF(B181="","",CONCATENATE("GBL",B181," - ",Mantenedor!E185))</f>
        <v/>
      </c>
      <c r="B181" s="400"/>
      <c r="C181" s="400"/>
      <c r="D181" s="400"/>
      <c r="E181" s="400"/>
      <c r="F181" s="400"/>
      <c r="G181" s="400"/>
      <c r="H181" s="400"/>
      <c r="I181" s="400"/>
      <c r="J181" s="401"/>
      <c r="K181" s="402"/>
      <c r="L181" s="403"/>
      <c r="M181" s="404"/>
      <c r="N181" s="400"/>
      <c r="O181" s="400"/>
      <c r="P181" s="399" t="str">
        <f t="shared" si="8"/>
        <v/>
      </c>
      <c r="Q181" s="405" t="str" cm="1">
        <f t="array" ref="Q181">+_xlfn.IFS(O181="Nacional","CLP",O181="Extranjero","USD",O181="","")</f>
        <v/>
      </c>
      <c r="R181" s="406" t="str">
        <f>IFERROR(IF(O181="Nacional",VLOOKUP(P181,PRICING!$D$4:$E$59,2,FALSE),VLOOKUP(P181,PRICING!$J$4:$K$59,2,FALSE)),"")</f>
        <v/>
      </c>
      <c r="S181"/>
      <c r="T181" s="407"/>
      <c r="U181" s="406" t="str">
        <f t="shared" si="9"/>
        <v/>
      </c>
      <c r="V181" s="400"/>
      <c r="W181" s="408" t="str">
        <f t="shared" si="10"/>
        <v/>
      </c>
      <c r="X181" s="409" t="str">
        <f t="shared" si="11"/>
        <v/>
      </c>
    </row>
    <row r="182" spans="1:24" ht="16" x14ac:dyDescent="0.25">
      <c r="A182" s="399" t="str">
        <f>IF(B182="","",CONCATENATE("GBL",B182," - ",Mantenedor!E186))</f>
        <v/>
      </c>
      <c r="B182" s="400"/>
      <c r="C182" s="400"/>
      <c r="D182" s="400"/>
      <c r="E182" s="400"/>
      <c r="F182" s="400"/>
      <c r="G182" s="400"/>
      <c r="H182" s="400"/>
      <c r="I182" s="400"/>
      <c r="J182" s="401"/>
      <c r="K182" s="402"/>
      <c r="L182" s="403"/>
      <c r="M182" s="404"/>
      <c r="N182" s="400"/>
      <c r="O182" s="400"/>
      <c r="P182" s="399" t="str">
        <f t="shared" si="8"/>
        <v/>
      </c>
      <c r="Q182" s="405" t="str" cm="1">
        <f t="array" ref="Q182">+_xlfn.IFS(O182="Nacional","CLP",O182="Extranjero","USD",O182="","")</f>
        <v/>
      </c>
      <c r="R182" s="406" t="str">
        <f>IFERROR(IF(O182="Nacional",VLOOKUP(P182,PRICING!$D$4:$E$59,2,FALSE),VLOOKUP(P182,PRICING!$J$4:$K$59,2,FALSE)),"")</f>
        <v/>
      </c>
      <c r="S182"/>
      <c r="T182" s="407"/>
      <c r="U182" s="406" t="str">
        <f t="shared" si="9"/>
        <v/>
      </c>
      <c r="V182" s="400"/>
      <c r="W182" s="408" t="str">
        <f t="shared" si="10"/>
        <v/>
      </c>
      <c r="X182" s="409" t="str">
        <f t="shared" si="11"/>
        <v/>
      </c>
    </row>
    <row r="183" spans="1:24" ht="16" x14ac:dyDescent="0.25">
      <c r="A183" s="399" t="str">
        <f>IF(B183="","",CONCATENATE("GBL",B183," - ",Mantenedor!E187))</f>
        <v/>
      </c>
      <c r="B183" s="400"/>
      <c r="C183" s="400"/>
      <c r="D183" s="400"/>
      <c r="E183" s="400"/>
      <c r="F183" s="400"/>
      <c r="G183" s="400"/>
      <c r="H183" s="400"/>
      <c r="I183" s="400"/>
      <c r="J183" s="401"/>
      <c r="K183" s="402"/>
      <c r="L183" s="403"/>
      <c r="M183" s="404"/>
      <c r="N183" s="400"/>
      <c r="O183" s="400"/>
      <c r="P183" s="399" t="str">
        <f t="shared" si="8"/>
        <v/>
      </c>
      <c r="Q183" s="405" t="str" cm="1">
        <f t="array" ref="Q183">+_xlfn.IFS(O183="Nacional","CLP",O183="Extranjero","USD",O183="","")</f>
        <v/>
      </c>
      <c r="R183" s="406" t="str">
        <f>IFERROR(IF(O183="Nacional",VLOOKUP(P183,PRICING!$D$4:$E$59,2,FALSE),VLOOKUP(P183,PRICING!$J$4:$K$59,2,FALSE)),"")</f>
        <v/>
      </c>
      <c r="S183"/>
      <c r="T183" s="407"/>
      <c r="U183" s="406" t="str">
        <f t="shared" si="9"/>
        <v/>
      </c>
      <c r="V183" s="400"/>
      <c r="W183" s="408" t="str">
        <f t="shared" si="10"/>
        <v/>
      </c>
      <c r="X183" s="409" t="str">
        <f t="shared" si="11"/>
        <v/>
      </c>
    </row>
    <row r="184" spans="1:24" ht="16" x14ac:dyDescent="0.25">
      <c r="A184" s="399" t="str">
        <f>IF(B184="","",CONCATENATE("GBL",B184," - ",Mantenedor!E188))</f>
        <v/>
      </c>
      <c r="B184" s="400"/>
      <c r="C184" s="400"/>
      <c r="D184" s="400"/>
      <c r="E184" s="400"/>
      <c r="F184" s="400"/>
      <c r="G184" s="400"/>
      <c r="H184" s="400"/>
      <c r="I184" s="400"/>
      <c r="J184" s="401"/>
      <c r="K184" s="402"/>
      <c r="L184" s="403"/>
      <c r="M184" s="404"/>
      <c r="N184" s="400"/>
      <c r="O184" s="400"/>
      <c r="P184" s="399" t="str">
        <f t="shared" si="8"/>
        <v/>
      </c>
      <c r="Q184" s="405" t="str" cm="1">
        <f t="array" ref="Q184">+_xlfn.IFS(O184="Nacional","CLP",O184="Extranjero","USD",O184="","")</f>
        <v/>
      </c>
      <c r="R184" s="406" t="str">
        <f>IFERROR(IF(O184="Nacional",VLOOKUP(P184,PRICING!$D$4:$E$59,2,FALSE),VLOOKUP(P184,PRICING!$J$4:$K$59,2,FALSE)),"")</f>
        <v/>
      </c>
      <c r="S184"/>
      <c r="T184" s="407"/>
      <c r="U184" s="406" t="str">
        <f t="shared" si="9"/>
        <v/>
      </c>
      <c r="V184" s="400"/>
      <c r="W184" s="408" t="str">
        <f t="shared" si="10"/>
        <v/>
      </c>
      <c r="X184" s="409" t="str">
        <f t="shared" si="11"/>
        <v/>
      </c>
    </row>
    <row r="185" spans="1:24" ht="16" x14ac:dyDescent="0.25">
      <c r="A185" s="399" t="str">
        <f>IF(B185="","",CONCATENATE("GBL",B185," - ",Mantenedor!E189))</f>
        <v/>
      </c>
      <c r="B185" s="400"/>
      <c r="C185" s="400"/>
      <c r="D185" s="400"/>
      <c r="E185" s="400"/>
      <c r="F185" s="400"/>
      <c r="G185" s="400"/>
      <c r="H185" s="400"/>
      <c r="I185" s="400"/>
      <c r="J185" s="401"/>
      <c r="K185" s="402"/>
      <c r="L185" s="403"/>
      <c r="M185" s="404"/>
      <c r="N185" s="400"/>
      <c r="O185" s="400"/>
      <c r="P185" s="399" t="str">
        <f t="shared" si="8"/>
        <v/>
      </c>
      <c r="Q185" s="405" t="str" cm="1">
        <f t="array" ref="Q185">+_xlfn.IFS(O185="Nacional","CLP",O185="Extranjero","USD",O185="","")</f>
        <v/>
      </c>
      <c r="R185" s="406" t="str">
        <f>IFERROR(IF(O185="Nacional",VLOOKUP(P185,PRICING!$D$4:$E$59,2,FALSE),VLOOKUP(P185,PRICING!$J$4:$K$59,2,FALSE)),"")</f>
        <v/>
      </c>
      <c r="S185"/>
      <c r="T185" s="407"/>
      <c r="U185" s="406" t="str">
        <f t="shared" si="9"/>
        <v/>
      </c>
      <c r="V185" s="400"/>
      <c r="W185" s="408" t="str">
        <f t="shared" si="10"/>
        <v/>
      </c>
      <c r="X185" s="409" t="str">
        <f t="shared" si="11"/>
        <v/>
      </c>
    </row>
    <row r="186" spans="1:24" ht="16" x14ac:dyDescent="0.25">
      <c r="A186" s="399" t="str">
        <f>IF(B186="","",CONCATENATE("GBL",B186," - ",Mantenedor!E190))</f>
        <v/>
      </c>
      <c r="B186" s="400"/>
      <c r="C186" s="400"/>
      <c r="D186" s="400"/>
      <c r="E186" s="400"/>
      <c r="F186" s="400"/>
      <c r="G186" s="400"/>
      <c r="H186" s="400"/>
      <c r="I186" s="400"/>
      <c r="J186" s="401"/>
      <c r="K186" s="402"/>
      <c r="L186" s="403"/>
      <c r="M186" s="404"/>
      <c r="N186" s="400"/>
      <c r="O186" s="400"/>
      <c r="P186" s="399" t="str">
        <f t="shared" si="8"/>
        <v/>
      </c>
      <c r="Q186" s="405" t="str" cm="1">
        <f t="array" ref="Q186">+_xlfn.IFS(O186="Nacional","CLP",O186="Extranjero","USD",O186="","")</f>
        <v/>
      </c>
      <c r="R186" s="406" t="str">
        <f>IFERROR(IF(O186="Nacional",VLOOKUP(P186,PRICING!$D$4:$E$59,2,FALSE),VLOOKUP(P186,PRICING!$J$4:$K$59,2,FALSE)),"")</f>
        <v/>
      </c>
      <c r="S186"/>
      <c r="T186" s="407"/>
      <c r="U186" s="406" t="str">
        <f t="shared" si="9"/>
        <v/>
      </c>
      <c r="V186" s="400"/>
      <c r="W186" s="408" t="str">
        <f t="shared" si="10"/>
        <v/>
      </c>
      <c r="X186" s="409" t="str">
        <f t="shared" si="11"/>
        <v/>
      </c>
    </row>
    <row r="187" spans="1:24" ht="16" x14ac:dyDescent="0.25">
      <c r="A187" s="399" t="str">
        <f>IF(B187="","",CONCATENATE("GBL",B187," - ",Mantenedor!E191))</f>
        <v/>
      </c>
      <c r="B187" s="400"/>
      <c r="C187" s="400"/>
      <c r="D187" s="400"/>
      <c r="E187" s="400"/>
      <c r="F187" s="400"/>
      <c r="G187" s="400"/>
      <c r="H187" s="400"/>
      <c r="I187" s="400"/>
      <c r="J187" s="401"/>
      <c r="K187" s="402"/>
      <c r="L187" s="403"/>
      <c r="M187" s="404"/>
      <c r="N187" s="400"/>
      <c r="O187" s="400"/>
      <c r="P187" s="399" t="str">
        <f t="shared" si="8"/>
        <v/>
      </c>
      <c r="Q187" s="405" t="str" cm="1">
        <f t="array" ref="Q187">+_xlfn.IFS(O187="Nacional","CLP",O187="Extranjero","USD",O187="","")</f>
        <v/>
      </c>
      <c r="R187" s="406" t="str">
        <f>IFERROR(IF(O187="Nacional",VLOOKUP(P187,PRICING!$D$4:$E$59,2,FALSE),VLOOKUP(P187,PRICING!$J$4:$K$59,2,FALSE)),"")</f>
        <v/>
      </c>
      <c r="S187"/>
      <c r="T187" s="407"/>
      <c r="U187" s="406" t="str">
        <f t="shared" si="9"/>
        <v/>
      </c>
      <c r="V187" s="400"/>
      <c r="W187" s="408" t="str">
        <f t="shared" si="10"/>
        <v/>
      </c>
      <c r="X187" s="409" t="str">
        <f t="shared" si="11"/>
        <v/>
      </c>
    </row>
    <row r="188" spans="1:24" ht="16" x14ac:dyDescent="0.25">
      <c r="A188" s="399" t="str">
        <f>IF(B188="","",CONCATENATE("GBL",B188," - ",Mantenedor!E192))</f>
        <v/>
      </c>
      <c r="B188" s="400"/>
      <c r="C188" s="400"/>
      <c r="D188" s="400"/>
      <c r="E188" s="400"/>
      <c r="F188" s="400"/>
      <c r="G188" s="400"/>
      <c r="H188" s="400"/>
      <c r="I188" s="400"/>
      <c r="J188" s="401"/>
      <c r="K188" s="402"/>
      <c r="L188" s="403"/>
      <c r="M188" s="404"/>
      <c r="N188" s="400"/>
      <c r="O188" s="400"/>
      <c r="P188" s="399" t="str">
        <f t="shared" si="8"/>
        <v/>
      </c>
      <c r="Q188" s="405" t="str" cm="1">
        <f t="array" ref="Q188">+_xlfn.IFS(O188="Nacional","CLP",O188="Extranjero","USD",O188="","")</f>
        <v/>
      </c>
      <c r="R188" s="406" t="str">
        <f>IFERROR(IF(O188="Nacional",VLOOKUP(P188,PRICING!$D$4:$E$59,2,FALSE),VLOOKUP(P188,PRICING!$J$4:$K$59,2,FALSE)),"")</f>
        <v/>
      </c>
      <c r="S188"/>
      <c r="T188" s="407"/>
      <c r="U188" s="406" t="str">
        <f t="shared" si="9"/>
        <v/>
      </c>
      <c r="V188" s="400"/>
      <c r="W188" s="408" t="str">
        <f t="shared" si="10"/>
        <v/>
      </c>
      <c r="X188" s="409" t="str">
        <f t="shared" si="11"/>
        <v/>
      </c>
    </row>
    <row r="189" spans="1:24" ht="16" x14ac:dyDescent="0.25">
      <c r="A189" s="399" t="str">
        <f>IF(B189="","",CONCATENATE("GBL",B189," - ",Mantenedor!E193))</f>
        <v/>
      </c>
      <c r="B189" s="400"/>
      <c r="C189" s="400"/>
      <c r="D189" s="400"/>
      <c r="E189" s="400"/>
      <c r="F189" s="400"/>
      <c r="G189" s="400"/>
      <c r="H189" s="400"/>
      <c r="I189" s="400"/>
      <c r="J189" s="401"/>
      <c r="K189" s="402"/>
      <c r="L189" s="403"/>
      <c r="M189" s="404"/>
      <c r="N189" s="400"/>
      <c r="O189" s="400"/>
      <c r="P189" s="399" t="str">
        <f t="shared" si="8"/>
        <v/>
      </c>
      <c r="Q189" s="405" t="str" cm="1">
        <f t="array" ref="Q189">+_xlfn.IFS(O189="Nacional","CLP",O189="Extranjero","USD",O189="","")</f>
        <v/>
      </c>
      <c r="R189" s="406" t="str">
        <f>IFERROR(IF(O189="Nacional",VLOOKUP(P189,PRICING!$D$4:$E$59,2,FALSE),VLOOKUP(P189,PRICING!$J$4:$K$59,2,FALSE)),"")</f>
        <v/>
      </c>
      <c r="S189"/>
      <c r="T189" s="407"/>
      <c r="U189" s="406" t="str">
        <f t="shared" si="9"/>
        <v/>
      </c>
      <c r="V189" s="400"/>
      <c r="W189" s="408" t="str">
        <f t="shared" si="10"/>
        <v/>
      </c>
      <c r="X189" s="409" t="str">
        <f t="shared" si="11"/>
        <v/>
      </c>
    </row>
    <row r="190" spans="1:24" ht="16" x14ac:dyDescent="0.25">
      <c r="A190" s="399" t="str">
        <f>IF(B190="","",CONCATENATE("GBL",B190," - ",Mantenedor!E194))</f>
        <v/>
      </c>
      <c r="B190" s="400"/>
      <c r="C190" s="400"/>
      <c r="D190" s="400"/>
      <c r="E190" s="400"/>
      <c r="F190" s="400"/>
      <c r="G190" s="400"/>
      <c r="H190" s="400"/>
      <c r="I190" s="400"/>
      <c r="J190" s="401"/>
      <c r="K190" s="402"/>
      <c r="L190" s="403"/>
      <c r="M190" s="404"/>
      <c r="N190" s="400"/>
      <c r="O190" s="400"/>
      <c r="P190" s="399" t="str">
        <f t="shared" si="8"/>
        <v/>
      </c>
      <c r="Q190" s="405" t="str" cm="1">
        <f t="array" ref="Q190">+_xlfn.IFS(O190="Nacional","CLP",O190="Extranjero","USD",O190="","")</f>
        <v/>
      </c>
      <c r="R190" s="406" t="str">
        <f>IFERROR(IF(O190="Nacional",VLOOKUP(P190,PRICING!$D$4:$E$59,2,FALSE),VLOOKUP(P190,PRICING!$J$4:$K$59,2,FALSE)),"")</f>
        <v/>
      </c>
      <c r="S190"/>
      <c r="T190" s="407"/>
      <c r="U190" s="406" t="str">
        <f t="shared" si="9"/>
        <v/>
      </c>
      <c r="V190" s="400"/>
      <c r="W190" s="408" t="str">
        <f t="shared" si="10"/>
        <v/>
      </c>
      <c r="X190" s="409" t="str">
        <f t="shared" si="11"/>
        <v/>
      </c>
    </row>
    <row r="191" spans="1:24" ht="16" x14ac:dyDescent="0.25">
      <c r="A191" s="399" t="str">
        <f>IF(B191="","",CONCATENATE("GBL",B191," - ",Mantenedor!E195))</f>
        <v/>
      </c>
      <c r="B191" s="400"/>
      <c r="C191" s="400"/>
      <c r="D191" s="400"/>
      <c r="E191" s="400"/>
      <c r="F191" s="400"/>
      <c r="G191" s="400"/>
      <c r="H191" s="400"/>
      <c r="I191" s="400"/>
      <c r="J191" s="401"/>
      <c r="K191" s="402"/>
      <c r="L191" s="403"/>
      <c r="M191" s="404"/>
      <c r="N191" s="400"/>
      <c r="O191" s="400"/>
      <c r="P191" s="399" t="str">
        <f t="shared" ref="P191:P254" si="12">IF(N191="","",(IF(L191=1,(CONCATENATE("Base ",N191," ",L191," noche")),(CONCATENATE("Base ",N191," ",L191," noches")))))</f>
        <v/>
      </c>
      <c r="Q191" s="405" t="str" cm="1">
        <f t="array" ref="Q191">+_xlfn.IFS(O191="Nacional","CLP",O191="Extranjero","USD",O191="","")</f>
        <v/>
      </c>
      <c r="R191" s="406" t="str">
        <f>IFERROR(IF(O191="Nacional",VLOOKUP(P191,PRICING!$D$4:$E$59,2,FALSE),VLOOKUP(P191,PRICING!$J$4:$K$59,2,FALSE)),"")</f>
        <v/>
      </c>
      <c r="S191"/>
      <c r="T191" s="407"/>
      <c r="U191" s="406" t="str">
        <f t="shared" ref="U191:U254" si="13">IFERROR(+R191*(1-S191),"")</f>
        <v/>
      </c>
      <c r="V191" s="400"/>
      <c r="W191" s="408" t="str">
        <f t="shared" ref="W191:W254" si="14">+IF(U191="","","50"%)</f>
        <v/>
      </c>
      <c r="X191" s="409" t="str">
        <f t="shared" si="11"/>
        <v/>
      </c>
    </row>
    <row r="192" spans="1:24" ht="16" x14ac:dyDescent="0.25">
      <c r="A192" s="399" t="str">
        <f>IF(B192="","",CONCATENATE("GBL",B192," - ",Mantenedor!E196))</f>
        <v/>
      </c>
      <c r="B192" s="400"/>
      <c r="C192" s="400"/>
      <c r="D192" s="400"/>
      <c r="E192" s="400"/>
      <c r="F192" s="400"/>
      <c r="G192" s="400"/>
      <c r="H192" s="400"/>
      <c r="I192" s="400"/>
      <c r="J192" s="401"/>
      <c r="K192" s="402"/>
      <c r="L192" s="403"/>
      <c r="M192" s="404"/>
      <c r="N192" s="400"/>
      <c r="O192" s="400"/>
      <c r="P192" s="399" t="str">
        <f t="shared" si="12"/>
        <v/>
      </c>
      <c r="Q192" s="405" t="str" cm="1">
        <f t="array" ref="Q192">+_xlfn.IFS(O192="Nacional","CLP",O192="Extranjero","USD",O192="","")</f>
        <v/>
      </c>
      <c r="R192" s="406" t="str">
        <f>IFERROR(IF(O192="Nacional",VLOOKUP(P192,PRICING!$D$4:$E$59,2,FALSE),VLOOKUP(P192,PRICING!$J$4:$K$59,2,FALSE)),"")</f>
        <v/>
      </c>
      <c r="S192"/>
      <c r="T192" s="407"/>
      <c r="U192" s="406" t="str">
        <f t="shared" si="13"/>
        <v/>
      </c>
      <c r="V192" s="400"/>
      <c r="W192" s="408" t="str">
        <f t="shared" si="14"/>
        <v/>
      </c>
      <c r="X192" s="409" t="str">
        <f t="shared" ref="X192:X255" si="15">+IF(W192="","",(1-W192))</f>
        <v/>
      </c>
    </row>
    <row r="193" spans="1:24" ht="16" x14ac:dyDescent="0.25">
      <c r="A193" s="399" t="str">
        <f>IF(B193="","",CONCATENATE("GBL",B193," - ",Mantenedor!E197))</f>
        <v/>
      </c>
      <c r="B193" s="400"/>
      <c r="C193" s="400"/>
      <c r="D193" s="400"/>
      <c r="E193" s="400"/>
      <c r="F193" s="400"/>
      <c r="G193" s="400"/>
      <c r="H193" s="400"/>
      <c r="I193" s="400"/>
      <c r="J193" s="401"/>
      <c r="K193" s="402"/>
      <c r="L193" s="403"/>
      <c r="M193" s="404"/>
      <c r="N193" s="400"/>
      <c r="O193" s="400"/>
      <c r="P193" s="399" t="str">
        <f t="shared" si="12"/>
        <v/>
      </c>
      <c r="Q193" s="405" t="str" cm="1">
        <f t="array" ref="Q193">+_xlfn.IFS(O193="Nacional","CLP",O193="Extranjero","USD",O193="","")</f>
        <v/>
      </c>
      <c r="R193" s="406" t="str">
        <f>IFERROR(IF(O193="Nacional",VLOOKUP(P193,PRICING!$D$4:$E$59,2,FALSE),VLOOKUP(P193,PRICING!$J$4:$K$59,2,FALSE)),"")</f>
        <v/>
      </c>
      <c r="S193"/>
      <c r="T193" s="407"/>
      <c r="U193" s="406" t="str">
        <f t="shared" si="13"/>
        <v/>
      </c>
      <c r="V193" s="400"/>
      <c r="W193" s="408" t="str">
        <f t="shared" si="14"/>
        <v/>
      </c>
      <c r="X193" s="409" t="str">
        <f t="shared" si="15"/>
        <v/>
      </c>
    </row>
    <row r="194" spans="1:24" ht="16" x14ac:dyDescent="0.25">
      <c r="A194" s="399" t="str">
        <f>IF(B194="","",CONCATENATE("GBL",B194," - ",Mantenedor!E198))</f>
        <v/>
      </c>
      <c r="B194" s="400"/>
      <c r="C194" s="400"/>
      <c r="D194" s="400"/>
      <c r="E194" s="400"/>
      <c r="F194" s="400"/>
      <c r="G194" s="400"/>
      <c r="H194" s="400"/>
      <c r="I194" s="400"/>
      <c r="J194" s="401"/>
      <c r="K194" s="402"/>
      <c r="L194" s="403"/>
      <c r="M194" s="404"/>
      <c r="N194" s="400"/>
      <c r="O194" s="400"/>
      <c r="P194" s="399" t="str">
        <f t="shared" si="12"/>
        <v/>
      </c>
      <c r="Q194" s="405" t="str" cm="1">
        <f t="array" ref="Q194">+_xlfn.IFS(O194="Nacional","CLP",O194="Extranjero","USD",O194="","")</f>
        <v/>
      </c>
      <c r="R194" s="406" t="str">
        <f>IFERROR(IF(O194="Nacional",VLOOKUP(P194,PRICING!$D$4:$E$59,2,FALSE),VLOOKUP(P194,PRICING!$J$4:$K$59,2,FALSE)),"")</f>
        <v/>
      </c>
      <c r="S194"/>
      <c r="T194" s="407"/>
      <c r="U194" s="406" t="str">
        <f t="shared" si="13"/>
        <v/>
      </c>
      <c r="V194" s="400"/>
      <c r="W194" s="408" t="str">
        <f t="shared" si="14"/>
        <v/>
      </c>
      <c r="X194" s="409" t="str">
        <f t="shared" si="15"/>
        <v/>
      </c>
    </row>
    <row r="195" spans="1:24" ht="16" x14ac:dyDescent="0.25">
      <c r="A195" s="399" t="str">
        <f>IF(B195="","",CONCATENATE("GBL",B195," - ",Mantenedor!E199))</f>
        <v/>
      </c>
      <c r="B195" s="400"/>
      <c r="C195" s="400"/>
      <c r="D195" s="400"/>
      <c r="E195" s="400"/>
      <c r="F195" s="400"/>
      <c r="G195" s="400"/>
      <c r="H195" s="400"/>
      <c r="I195" s="400"/>
      <c r="J195" s="401"/>
      <c r="K195" s="402"/>
      <c r="L195" s="403"/>
      <c r="M195" s="404"/>
      <c r="N195" s="400"/>
      <c r="O195" s="400"/>
      <c r="P195" s="399" t="str">
        <f t="shared" si="12"/>
        <v/>
      </c>
      <c r="Q195" s="405" t="str" cm="1">
        <f t="array" ref="Q195">+_xlfn.IFS(O195="Nacional","CLP",O195="Extranjero","USD",O195="","")</f>
        <v/>
      </c>
      <c r="R195" s="406" t="str">
        <f>IFERROR(IF(O195="Nacional",VLOOKUP(P195,PRICING!$D$4:$E$59,2,FALSE),VLOOKUP(P195,PRICING!$J$4:$K$59,2,FALSE)),"")</f>
        <v/>
      </c>
      <c r="S195"/>
      <c r="T195" s="407"/>
      <c r="U195" s="406" t="str">
        <f t="shared" si="13"/>
        <v/>
      </c>
      <c r="V195" s="400"/>
      <c r="W195" s="408" t="str">
        <f t="shared" si="14"/>
        <v/>
      </c>
      <c r="X195" s="409" t="str">
        <f t="shared" si="15"/>
        <v/>
      </c>
    </row>
    <row r="196" spans="1:24" ht="16" x14ac:dyDescent="0.25">
      <c r="A196" s="399" t="str">
        <f>IF(B196="","",CONCATENATE("GBL",B196," - ",Mantenedor!E200))</f>
        <v/>
      </c>
      <c r="B196" s="400"/>
      <c r="C196" s="400"/>
      <c r="D196" s="400"/>
      <c r="E196" s="400"/>
      <c r="F196" s="400"/>
      <c r="G196" s="400"/>
      <c r="H196" s="400"/>
      <c r="I196" s="400"/>
      <c r="J196" s="401"/>
      <c r="K196" s="402"/>
      <c r="L196" s="403"/>
      <c r="M196" s="404"/>
      <c r="N196" s="400"/>
      <c r="O196" s="400"/>
      <c r="P196" s="399" t="str">
        <f t="shared" si="12"/>
        <v/>
      </c>
      <c r="Q196" s="405" t="str" cm="1">
        <f t="array" ref="Q196">+_xlfn.IFS(O196="Nacional","CLP",O196="Extranjero","USD",O196="","")</f>
        <v/>
      </c>
      <c r="R196" s="406" t="str">
        <f>IFERROR(IF(O196="Nacional",VLOOKUP(P196,PRICING!$D$4:$E$59,2,FALSE),VLOOKUP(P196,PRICING!$J$4:$K$59,2,FALSE)),"")</f>
        <v/>
      </c>
      <c r="S196"/>
      <c r="T196" s="407"/>
      <c r="U196" s="406" t="str">
        <f t="shared" si="13"/>
        <v/>
      </c>
      <c r="V196" s="400"/>
      <c r="W196" s="408" t="str">
        <f t="shared" si="14"/>
        <v/>
      </c>
      <c r="X196" s="409" t="str">
        <f t="shared" si="15"/>
        <v/>
      </c>
    </row>
    <row r="197" spans="1:24" ht="16" x14ac:dyDescent="0.25">
      <c r="A197" s="399" t="str">
        <f>IF(B197="","",CONCATENATE("GBL",B197," - ",Mantenedor!E201))</f>
        <v/>
      </c>
      <c r="B197" s="400"/>
      <c r="C197" s="400"/>
      <c r="D197" s="400"/>
      <c r="E197" s="400"/>
      <c r="F197" s="400"/>
      <c r="G197" s="400"/>
      <c r="H197" s="400"/>
      <c r="I197" s="400"/>
      <c r="J197" s="401"/>
      <c r="K197" s="402"/>
      <c r="L197" s="403"/>
      <c r="M197" s="404"/>
      <c r="N197" s="400"/>
      <c r="O197" s="400"/>
      <c r="P197" s="399" t="str">
        <f t="shared" si="12"/>
        <v/>
      </c>
      <c r="Q197" s="405" t="str" cm="1">
        <f t="array" ref="Q197">+_xlfn.IFS(O197="Nacional","CLP",O197="Extranjero","USD",O197="","")</f>
        <v/>
      </c>
      <c r="R197" s="406" t="str">
        <f>IFERROR(IF(O197="Nacional",VLOOKUP(P197,PRICING!$D$4:$E$59,2,FALSE),VLOOKUP(P197,PRICING!$J$4:$K$59,2,FALSE)),"")</f>
        <v/>
      </c>
      <c r="S197"/>
      <c r="T197" s="407"/>
      <c r="U197" s="406" t="str">
        <f t="shared" si="13"/>
        <v/>
      </c>
      <c r="V197" s="400"/>
      <c r="W197" s="408" t="str">
        <f t="shared" si="14"/>
        <v/>
      </c>
      <c r="X197" s="409" t="str">
        <f t="shared" si="15"/>
        <v/>
      </c>
    </row>
    <row r="198" spans="1:24" ht="16" x14ac:dyDescent="0.25">
      <c r="A198" s="399" t="str">
        <f>IF(B198="","",CONCATENATE("GBL",B198," - ",Mantenedor!E202))</f>
        <v/>
      </c>
      <c r="B198" s="400"/>
      <c r="C198" s="400"/>
      <c r="D198" s="400"/>
      <c r="E198" s="400"/>
      <c r="F198" s="400"/>
      <c r="G198" s="400"/>
      <c r="H198" s="400"/>
      <c r="I198" s="400"/>
      <c r="J198" s="401"/>
      <c r="K198" s="402"/>
      <c r="L198" s="403"/>
      <c r="M198" s="404"/>
      <c r="N198" s="400"/>
      <c r="O198" s="400"/>
      <c r="P198" s="399" t="str">
        <f t="shared" si="12"/>
        <v/>
      </c>
      <c r="Q198" s="405" t="str" cm="1">
        <f t="array" ref="Q198">+_xlfn.IFS(O198="Nacional","CLP",O198="Extranjero","USD",O198="","")</f>
        <v/>
      </c>
      <c r="R198" s="406" t="str">
        <f>IFERROR(IF(O198="Nacional",VLOOKUP(P198,PRICING!$D$4:$E$59,2,FALSE),VLOOKUP(P198,PRICING!$J$4:$K$59,2,FALSE)),"")</f>
        <v/>
      </c>
      <c r="S198"/>
      <c r="T198" s="407"/>
      <c r="U198" s="406" t="str">
        <f t="shared" si="13"/>
        <v/>
      </c>
      <c r="V198" s="400"/>
      <c r="W198" s="408" t="str">
        <f t="shared" si="14"/>
        <v/>
      </c>
      <c r="X198" s="409" t="str">
        <f t="shared" si="15"/>
        <v/>
      </c>
    </row>
    <row r="199" spans="1:24" ht="16" x14ac:dyDescent="0.25">
      <c r="A199" s="399" t="str">
        <f>IF(B199="","",CONCATENATE("GBL",B199," - ",Mantenedor!E203))</f>
        <v/>
      </c>
      <c r="B199" s="400"/>
      <c r="C199" s="400"/>
      <c r="D199" s="400"/>
      <c r="E199" s="400"/>
      <c r="F199" s="400"/>
      <c r="G199" s="400"/>
      <c r="H199" s="400"/>
      <c r="I199" s="400"/>
      <c r="J199" s="401"/>
      <c r="K199" s="402"/>
      <c r="L199" s="403"/>
      <c r="M199" s="404"/>
      <c r="N199" s="400"/>
      <c r="O199" s="400"/>
      <c r="P199" s="399" t="str">
        <f t="shared" si="12"/>
        <v/>
      </c>
      <c r="Q199" s="405" t="str" cm="1">
        <f t="array" ref="Q199">+_xlfn.IFS(O199="Nacional","CLP",O199="Extranjero","USD",O199="","")</f>
        <v/>
      </c>
      <c r="R199" s="406" t="str">
        <f>IFERROR(IF(O199="Nacional",VLOOKUP(P199,PRICING!$D$4:$E$59,2,FALSE),VLOOKUP(P199,PRICING!$J$4:$K$59,2,FALSE)),"")</f>
        <v/>
      </c>
      <c r="S199"/>
      <c r="T199" s="407"/>
      <c r="U199" s="406" t="str">
        <f t="shared" si="13"/>
        <v/>
      </c>
      <c r="V199" s="400"/>
      <c r="W199" s="408" t="str">
        <f t="shared" si="14"/>
        <v/>
      </c>
      <c r="X199" s="409" t="str">
        <f t="shared" si="15"/>
        <v/>
      </c>
    </row>
    <row r="200" spans="1:24" ht="16" x14ac:dyDescent="0.25">
      <c r="A200" s="399" t="str">
        <f>IF(B200="","",CONCATENATE("GBL",B200," - ",Mantenedor!E204))</f>
        <v/>
      </c>
      <c r="B200" s="400"/>
      <c r="C200" s="400"/>
      <c r="D200" s="400"/>
      <c r="E200" s="400"/>
      <c r="F200" s="400"/>
      <c r="G200" s="400"/>
      <c r="H200" s="400"/>
      <c r="I200" s="400"/>
      <c r="J200" s="401"/>
      <c r="K200" s="402"/>
      <c r="L200" s="403"/>
      <c r="M200" s="404"/>
      <c r="N200" s="400"/>
      <c r="O200" s="400"/>
      <c r="P200" s="399" t="str">
        <f t="shared" si="12"/>
        <v/>
      </c>
      <c r="Q200" s="405" t="str" cm="1">
        <f t="array" ref="Q200">+_xlfn.IFS(O200="Nacional","CLP",O200="Extranjero","USD",O200="","")</f>
        <v/>
      </c>
      <c r="R200" s="406" t="str">
        <f>IFERROR(IF(O200="Nacional",VLOOKUP(P200,PRICING!$D$4:$E$59,2,FALSE),VLOOKUP(P200,PRICING!$J$4:$K$59,2,FALSE)),"")</f>
        <v/>
      </c>
      <c r="S200"/>
      <c r="T200" s="407"/>
      <c r="U200" s="406" t="str">
        <f t="shared" si="13"/>
        <v/>
      </c>
      <c r="V200" s="400"/>
      <c r="W200" s="408" t="str">
        <f t="shared" si="14"/>
        <v/>
      </c>
      <c r="X200" s="409" t="str">
        <f t="shared" si="15"/>
        <v/>
      </c>
    </row>
    <row r="201" spans="1:24" ht="16" x14ac:dyDescent="0.25">
      <c r="A201" s="399" t="str">
        <f>IF(B201="","",CONCATENATE("GBL",B201," - ",Mantenedor!E205))</f>
        <v/>
      </c>
      <c r="B201" s="400"/>
      <c r="C201" s="400"/>
      <c r="D201" s="400"/>
      <c r="E201" s="400"/>
      <c r="F201" s="400"/>
      <c r="G201" s="400"/>
      <c r="H201" s="400"/>
      <c r="I201" s="400"/>
      <c r="J201" s="401"/>
      <c r="K201" s="402"/>
      <c r="L201" s="403"/>
      <c r="M201" s="404"/>
      <c r="N201" s="400"/>
      <c r="O201" s="400"/>
      <c r="P201" s="399" t="str">
        <f t="shared" si="12"/>
        <v/>
      </c>
      <c r="Q201" s="405" t="str" cm="1">
        <f t="array" ref="Q201">+_xlfn.IFS(O201="Nacional","CLP",O201="Extranjero","USD",O201="","")</f>
        <v/>
      </c>
      <c r="R201" s="406" t="str">
        <f>IFERROR(IF(O201="Nacional",VLOOKUP(P201,PRICING!$D$4:$E$59,2,FALSE),VLOOKUP(P201,PRICING!$J$4:$K$59,2,FALSE)),"")</f>
        <v/>
      </c>
      <c r="S201"/>
      <c r="T201" s="407"/>
      <c r="U201" s="406" t="str">
        <f t="shared" si="13"/>
        <v/>
      </c>
      <c r="V201" s="400"/>
      <c r="W201" s="408" t="str">
        <f t="shared" si="14"/>
        <v/>
      </c>
      <c r="X201" s="409" t="str">
        <f t="shared" si="15"/>
        <v/>
      </c>
    </row>
    <row r="202" spans="1:24" ht="16" x14ac:dyDescent="0.25">
      <c r="A202" s="399" t="str">
        <f>IF(B202="","",CONCATENATE("GBL",B202," - ",Mantenedor!E206))</f>
        <v/>
      </c>
      <c r="B202" s="400"/>
      <c r="C202" s="400"/>
      <c r="D202" s="400"/>
      <c r="E202" s="400"/>
      <c r="F202" s="400"/>
      <c r="G202" s="400"/>
      <c r="H202" s="400"/>
      <c r="I202" s="400"/>
      <c r="J202" s="401"/>
      <c r="K202" s="402"/>
      <c r="L202" s="403"/>
      <c r="M202" s="404"/>
      <c r="N202" s="400"/>
      <c r="O202" s="400"/>
      <c r="P202" s="399" t="str">
        <f t="shared" si="12"/>
        <v/>
      </c>
      <c r="Q202" s="405" t="str" cm="1">
        <f t="array" ref="Q202">+_xlfn.IFS(O202="Nacional","CLP",O202="Extranjero","USD",O202="","")</f>
        <v/>
      </c>
      <c r="R202" s="406" t="str">
        <f>IFERROR(IF(O202="Nacional",VLOOKUP(P202,PRICING!$D$4:$E$59,2,FALSE),VLOOKUP(P202,PRICING!$J$4:$K$59,2,FALSE)),"")</f>
        <v/>
      </c>
      <c r="S202"/>
      <c r="T202" s="407"/>
      <c r="U202" s="406" t="str">
        <f t="shared" si="13"/>
        <v/>
      </c>
      <c r="V202" s="400"/>
      <c r="W202" s="408" t="str">
        <f t="shared" si="14"/>
        <v/>
      </c>
      <c r="X202" s="409" t="str">
        <f t="shared" si="15"/>
        <v/>
      </c>
    </row>
    <row r="203" spans="1:24" ht="16" x14ac:dyDescent="0.25">
      <c r="A203" s="399" t="str">
        <f>IF(B203="","",CONCATENATE("GBL",B203," - ",Mantenedor!E207))</f>
        <v/>
      </c>
      <c r="B203" s="400"/>
      <c r="C203" s="400"/>
      <c r="D203" s="400"/>
      <c r="E203" s="400"/>
      <c r="F203" s="400"/>
      <c r="G203" s="400"/>
      <c r="H203" s="400"/>
      <c r="I203" s="400"/>
      <c r="J203" s="401"/>
      <c r="K203" s="402"/>
      <c r="L203" s="403"/>
      <c r="M203" s="404"/>
      <c r="N203" s="400"/>
      <c r="O203" s="400"/>
      <c r="P203" s="399" t="str">
        <f t="shared" si="12"/>
        <v/>
      </c>
      <c r="Q203" s="405" t="str" cm="1">
        <f t="array" ref="Q203">+_xlfn.IFS(O203="Nacional","CLP",O203="Extranjero","USD",O203="","")</f>
        <v/>
      </c>
      <c r="R203" s="406" t="str">
        <f>IFERROR(IF(O203="Nacional",VLOOKUP(P203,PRICING!$D$4:$E$59,2,FALSE),VLOOKUP(P203,PRICING!$J$4:$K$59,2,FALSE)),"")</f>
        <v/>
      </c>
      <c r="S203"/>
      <c r="T203" s="407"/>
      <c r="U203" s="406" t="str">
        <f t="shared" si="13"/>
        <v/>
      </c>
      <c r="V203" s="400"/>
      <c r="W203" s="408" t="str">
        <f t="shared" si="14"/>
        <v/>
      </c>
      <c r="X203" s="409" t="str">
        <f t="shared" si="15"/>
        <v/>
      </c>
    </row>
    <row r="204" spans="1:24" ht="16" x14ac:dyDescent="0.25">
      <c r="A204" s="399" t="str">
        <f>IF(B204="","",CONCATENATE("GBL",B204," - ",Mantenedor!E208))</f>
        <v/>
      </c>
      <c r="B204" s="400"/>
      <c r="C204" s="400"/>
      <c r="D204" s="400"/>
      <c r="E204" s="400"/>
      <c r="F204" s="400"/>
      <c r="G204" s="400"/>
      <c r="H204" s="400"/>
      <c r="I204" s="400"/>
      <c r="J204" s="401"/>
      <c r="K204" s="402"/>
      <c r="L204" s="403"/>
      <c r="M204" s="404"/>
      <c r="N204" s="400"/>
      <c r="O204" s="400"/>
      <c r="P204" s="399" t="str">
        <f t="shared" si="12"/>
        <v/>
      </c>
      <c r="Q204" s="405" t="str" cm="1">
        <f t="array" ref="Q204">+_xlfn.IFS(O204="Nacional","CLP",O204="Extranjero","USD",O204="","")</f>
        <v/>
      </c>
      <c r="R204" s="406" t="str">
        <f>IFERROR(IF(O204="Nacional",VLOOKUP(P204,PRICING!$D$4:$E$59,2,FALSE),VLOOKUP(P204,PRICING!$J$4:$K$59,2,FALSE)),"")</f>
        <v/>
      </c>
      <c r="S204"/>
      <c r="T204" s="407"/>
      <c r="U204" s="406" t="str">
        <f t="shared" si="13"/>
        <v/>
      </c>
      <c r="V204" s="400"/>
      <c r="W204" s="408" t="str">
        <f t="shared" si="14"/>
        <v/>
      </c>
      <c r="X204" s="409" t="str">
        <f t="shared" si="15"/>
        <v/>
      </c>
    </row>
    <row r="205" spans="1:24" ht="16" x14ac:dyDescent="0.25">
      <c r="A205" s="399" t="str">
        <f>IF(B205="","",CONCATENATE("GBL",B205," - ",Mantenedor!E209))</f>
        <v/>
      </c>
      <c r="B205" s="400"/>
      <c r="C205" s="400"/>
      <c r="D205" s="400"/>
      <c r="E205" s="400"/>
      <c r="F205" s="400"/>
      <c r="G205" s="400"/>
      <c r="H205" s="400"/>
      <c r="I205" s="400"/>
      <c r="J205" s="401"/>
      <c r="K205" s="402"/>
      <c r="L205" s="403"/>
      <c r="M205" s="404"/>
      <c r="N205" s="400"/>
      <c r="O205" s="400"/>
      <c r="P205" s="399" t="str">
        <f t="shared" si="12"/>
        <v/>
      </c>
      <c r="Q205" s="405" t="str" cm="1">
        <f t="array" ref="Q205">+_xlfn.IFS(O205="Nacional","CLP",O205="Extranjero","USD",O205="","")</f>
        <v/>
      </c>
      <c r="R205" s="406" t="str">
        <f>IFERROR(IF(O205="Nacional",VLOOKUP(P205,PRICING!$D$4:$E$59,2,FALSE),VLOOKUP(P205,PRICING!$J$4:$K$59,2,FALSE)),"")</f>
        <v/>
      </c>
      <c r="S205"/>
      <c r="T205" s="407"/>
      <c r="U205" s="406" t="str">
        <f t="shared" si="13"/>
        <v/>
      </c>
      <c r="V205" s="400"/>
      <c r="W205" s="408" t="str">
        <f t="shared" si="14"/>
        <v/>
      </c>
      <c r="X205" s="409" t="str">
        <f t="shared" si="15"/>
        <v/>
      </c>
    </row>
    <row r="206" spans="1:24" ht="16" x14ac:dyDescent="0.25">
      <c r="A206" s="399" t="str">
        <f>IF(B206="","",CONCATENATE("GBL",B206," - ",Mantenedor!E210))</f>
        <v/>
      </c>
      <c r="B206" s="400"/>
      <c r="C206" s="400"/>
      <c r="D206" s="400"/>
      <c r="E206" s="400"/>
      <c r="F206" s="400"/>
      <c r="G206" s="400"/>
      <c r="H206" s="400"/>
      <c r="I206" s="400"/>
      <c r="J206" s="401"/>
      <c r="K206" s="402"/>
      <c r="L206" s="403"/>
      <c r="M206" s="404"/>
      <c r="N206" s="400"/>
      <c r="O206" s="400"/>
      <c r="P206" s="399" t="str">
        <f t="shared" si="12"/>
        <v/>
      </c>
      <c r="Q206" s="405" t="str" cm="1">
        <f t="array" ref="Q206">+_xlfn.IFS(O206="Nacional","CLP",O206="Extranjero","USD",O206="","")</f>
        <v/>
      </c>
      <c r="R206" s="406" t="str">
        <f>IFERROR(IF(O206="Nacional",VLOOKUP(P206,PRICING!$D$4:$E$59,2,FALSE),VLOOKUP(P206,PRICING!$J$4:$K$59,2,FALSE)),"")</f>
        <v/>
      </c>
      <c r="S206"/>
      <c r="T206" s="407"/>
      <c r="U206" s="406" t="str">
        <f t="shared" si="13"/>
        <v/>
      </c>
      <c r="V206" s="400"/>
      <c r="W206" s="408" t="str">
        <f t="shared" si="14"/>
        <v/>
      </c>
      <c r="X206" s="409" t="str">
        <f t="shared" si="15"/>
        <v/>
      </c>
    </row>
    <row r="207" spans="1:24" ht="16" x14ac:dyDescent="0.25">
      <c r="A207" s="399" t="str">
        <f>IF(B207="","",CONCATENATE("GBL",B207," - ",Mantenedor!E211))</f>
        <v/>
      </c>
      <c r="B207" s="400"/>
      <c r="C207" s="400"/>
      <c r="D207" s="400"/>
      <c r="E207" s="400"/>
      <c r="F207" s="400"/>
      <c r="G207" s="400"/>
      <c r="H207" s="400"/>
      <c r="I207" s="400"/>
      <c r="J207" s="401"/>
      <c r="K207" s="402"/>
      <c r="L207" s="403"/>
      <c r="M207" s="404"/>
      <c r="N207" s="400"/>
      <c r="O207" s="400"/>
      <c r="P207" s="399" t="str">
        <f t="shared" si="12"/>
        <v/>
      </c>
      <c r="Q207" s="405" t="str" cm="1">
        <f t="array" ref="Q207">+_xlfn.IFS(O207="Nacional","CLP",O207="Extranjero","USD",O207="","")</f>
        <v/>
      </c>
      <c r="R207" s="406" t="str">
        <f>IFERROR(IF(O207="Nacional",VLOOKUP(P207,PRICING!$D$4:$E$59,2,FALSE),VLOOKUP(P207,PRICING!$J$4:$K$59,2,FALSE)),"")</f>
        <v/>
      </c>
      <c r="S207"/>
      <c r="T207" s="407"/>
      <c r="U207" s="406" t="str">
        <f t="shared" si="13"/>
        <v/>
      </c>
      <c r="V207" s="400"/>
      <c r="W207" s="408" t="str">
        <f t="shared" si="14"/>
        <v/>
      </c>
      <c r="X207" s="409" t="str">
        <f t="shared" si="15"/>
        <v/>
      </c>
    </row>
    <row r="208" spans="1:24" ht="16" x14ac:dyDescent="0.25">
      <c r="A208" s="399" t="str">
        <f>IF(B208="","",CONCATENATE("GBL",B208," - ",Mantenedor!E212))</f>
        <v/>
      </c>
      <c r="B208" s="400"/>
      <c r="C208" s="400"/>
      <c r="D208" s="400"/>
      <c r="E208" s="400"/>
      <c r="F208" s="400"/>
      <c r="G208" s="400"/>
      <c r="H208" s="400"/>
      <c r="I208" s="400"/>
      <c r="J208" s="401"/>
      <c r="K208" s="402"/>
      <c r="L208" s="403"/>
      <c r="M208" s="404"/>
      <c r="N208" s="400"/>
      <c r="O208" s="400"/>
      <c r="P208" s="399" t="str">
        <f t="shared" si="12"/>
        <v/>
      </c>
      <c r="Q208" s="405" t="str" cm="1">
        <f t="array" ref="Q208">+_xlfn.IFS(O208="Nacional","CLP",O208="Extranjero","USD",O208="","")</f>
        <v/>
      </c>
      <c r="R208" s="406" t="str">
        <f>IFERROR(IF(O208="Nacional",VLOOKUP(P208,PRICING!$D$4:$E$59,2,FALSE),VLOOKUP(P208,PRICING!$J$4:$K$59,2,FALSE)),"")</f>
        <v/>
      </c>
      <c r="S208"/>
      <c r="T208" s="407"/>
      <c r="U208" s="406" t="str">
        <f t="shared" si="13"/>
        <v/>
      </c>
      <c r="V208" s="400"/>
      <c r="W208" s="408" t="str">
        <f t="shared" si="14"/>
        <v/>
      </c>
      <c r="X208" s="409" t="str">
        <f t="shared" si="15"/>
        <v/>
      </c>
    </row>
    <row r="209" spans="1:24" ht="16" x14ac:dyDescent="0.25">
      <c r="A209" s="399" t="str">
        <f>IF(B209="","",CONCATENATE("GBL",B209," - ",Mantenedor!E213))</f>
        <v/>
      </c>
      <c r="B209" s="400"/>
      <c r="C209" s="400"/>
      <c r="D209" s="400"/>
      <c r="E209" s="400"/>
      <c r="F209" s="400"/>
      <c r="G209" s="400"/>
      <c r="H209" s="400"/>
      <c r="I209" s="400"/>
      <c r="J209" s="401"/>
      <c r="K209" s="402"/>
      <c r="L209" s="403"/>
      <c r="M209" s="404"/>
      <c r="N209" s="400"/>
      <c r="O209" s="400"/>
      <c r="P209" s="399" t="str">
        <f t="shared" si="12"/>
        <v/>
      </c>
      <c r="Q209" s="405" t="str" cm="1">
        <f t="array" ref="Q209">+_xlfn.IFS(O209="Nacional","CLP",O209="Extranjero","USD",O209="","")</f>
        <v/>
      </c>
      <c r="R209" s="406" t="str">
        <f>IFERROR(IF(O209="Nacional",VLOOKUP(P209,PRICING!$D$4:$E$59,2,FALSE),VLOOKUP(P209,PRICING!$J$4:$K$59,2,FALSE)),"")</f>
        <v/>
      </c>
      <c r="S209"/>
      <c r="T209" s="407"/>
      <c r="U209" s="406" t="str">
        <f t="shared" si="13"/>
        <v/>
      </c>
      <c r="V209" s="400"/>
      <c r="W209" s="408" t="str">
        <f t="shared" si="14"/>
        <v/>
      </c>
      <c r="X209" s="409" t="str">
        <f t="shared" si="15"/>
        <v/>
      </c>
    </row>
    <row r="210" spans="1:24" ht="16" x14ac:dyDescent="0.25">
      <c r="A210" s="399" t="str">
        <f>IF(B210="","",CONCATENATE("GBL",B210," - ",Mantenedor!E214))</f>
        <v/>
      </c>
      <c r="B210" s="400"/>
      <c r="C210" s="400"/>
      <c r="D210" s="400"/>
      <c r="E210" s="400"/>
      <c r="F210" s="400"/>
      <c r="G210" s="400"/>
      <c r="H210" s="400"/>
      <c r="I210" s="400"/>
      <c r="J210" s="401"/>
      <c r="K210" s="402"/>
      <c r="L210" s="403"/>
      <c r="M210" s="404"/>
      <c r="N210" s="400"/>
      <c r="O210" s="400"/>
      <c r="P210" s="399" t="str">
        <f t="shared" si="12"/>
        <v/>
      </c>
      <c r="Q210" s="405" t="str" cm="1">
        <f t="array" ref="Q210">+_xlfn.IFS(O210="Nacional","CLP",O210="Extranjero","USD",O210="","")</f>
        <v/>
      </c>
      <c r="R210" s="406" t="str">
        <f>IFERROR(IF(O210="Nacional",VLOOKUP(P210,PRICING!$D$4:$E$59,2,FALSE),VLOOKUP(P210,PRICING!$J$4:$K$59,2,FALSE)),"")</f>
        <v/>
      </c>
      <c r="S210"/>
      <c r="T210" s="407"/>
      <c r="U210" s="406" t="str">
        <f t="shared" si="13"/>
        <v/>
      </c>
      <c r="V210" s="400"/>
      <c r="W210" s="408" t="str">
        <f t="shared" si="14"/>
        <v/>
      </c>
      <c r="X210" s="409" t="str">
        <f t="shared" si="15"/>
        <v/>
      </c>
    </row>
    <row r="211" spans="1:24" ht="16" x14ac:dyDescent="0.25">
      <c r="A211" s="399" t="str">
        <f>IF(B211="","",CONCATENATE("GBL",B211," - ",Mantenedor!E215))</f>
        <v/>
      </c>
      <c r="B211" s="400"/>
      <c r="C211" s="400"/>
      <c r="D211" s="400"/>
      <c r="E211" s="400"/>
      <c r="F211" s="400"/>
      <c r="G211" s="400"/>
      <c r="H211" s="400"/>
      <c r="I211" s="400"/>
      <c r="J211" s="401"/>
      <c r="K211" s="402"/>
      <c r="L211" s="403"/>
      <c r="M211" s="404"/>
      <c r="N211" s="400"/>
      <c r="O211" s="400"/>
      <c r="P211" s="399" t="str">
        <f t="shared" si="12"/>
        <v/>
      </c>
      <c r="Q211" s="405" t="str" cm="1">
        <f t="array" ref="Q211">+_xlfn.IFS(O211="Nacional","CLP",O211="Extranjero","USD",O211="","")</f>
        <v/>
      </c>
      <c r="R211" s="406" t="str">
        <f>IFERROR(IF(O211="Nacional",VLOOKUP(P211,PRICING!$D$4:$E$59,2,FALSE),VLOOKUP(P211,PRICING!$J$4:$K$59,2,FALSE)),"")</f>
        <v/>
      </c>
      <c r="S211"/>
      <c r="T211" s="407"/>
      <c r="U211" s="406" t="str">
        <f t="shared" si="13"/>
        <v/>
      </c>
      <c r="V211" s="400"/>
      <c r="W211" s="408" t="str">
        <f t="shared" si="14"/>
        <v/>
      </c>
      <c r="X211" s="409" t="str">
        <f t="shared" si="15"/>
        <v/>
      </c>
    </row>
    <row r="212" spans="1:24" ht="16" x14ac:dyDescent="0.25">
      <c r="A212" s="399" t="str">
        <f>IF(B212="","",CONCATENATE("GBL",B212," - ",Mantenedor!E216))</f>
        <v/>
      </c>
      <c r="B212" s="400"/>
      <c r="C212" s="400"/>
      <c r="D212" s="400"/>
      <c r="E212" s="400"/>
      <c r="F212" s="400"/>
      <c r="G212" s="400"/>
      <c r="H212" s="400"/>
      <c r="I212" s="400"/>
      <c r="J212" s="401"/>
      <c r="K212" s="402"/>
      <c r="L212" s="403"/>
      <c r="M212" s="404"/>
      <c r="N212" s="400"/>
      <c r="O212" s="400"/>
      <c r="P212" s="399" t="str">
        <f t="shared" si="12"/>
        <v/>
      </c>
      <c r="Q212" s="405" t="str" cm="1">
        <f t="array" ref="Q212">+_xlfn.IFS(O212="Nacional","CLP",O212="Extranjero","USD",O212="","")</f>
        <v/>
      </c>
      <c r="R212" s="406" t="str">
        <f>IFERROR(IF(O212="Nacional",VLOOKUP(P212,PRICING!$D$4:$E$59,2,FALSE),VLOOKUP(P212,PRICING!$J$4:$K$59,2,FALSE)),"")</f>
        <v/>
      </c>
      <c r="S212"/>
      <c r="T212" s="407"/>
      <c r="U212" s="406" t="str">
        <f t="shared" si="13"/>
        <v/>
      </c>
      <c r="V212" s="400"/>
      <c r="W212" s="408" t="str">
        <f t="shared" si="14"/>
        <v/>
      </c>
      <c r="X212" s="409" t="str">
        <f t="shared" si="15"/>
        <v/>
      </c>
    </row>
    <row r="213" spans="1:24" ht="16" x14ac:dyDescent="0.25">
      <c r="A213" s="399" t="str">
        <f>IF(B213="","",CONCATENATE("GBL",B213," - ",Mantenedor!E217))</f>
        <v/>
      </c>
      <c r="B213" s="400"/>
      <c r="C213" s="400"/>
      <c r="D213" s="400"/>
      <c r="E213" s="400"/>
      <c r="F213" s="400"/>
      <c r="G213" s="400"/>
      <c r="H213" s="400"/>
      <c r="I213" s="400"/>
      <c r="J213" s="401"/>
      <c r="K213" s="402"/>
      <c r="L213" s="403"/>
      <c r="M213" s="404"/>
      <c r="N213" s="400"/>
      <c r="O213" s="400"/>
      <c r="P213" s="399" t="str">
        <f t="shared" si="12"/>
        <v/>
      </c>
      <c r="Q213" s="405" t="str" cm="1">
        <f t="array" ref="Q213">+_xlfn.IFS(O213="Nacional","CLP",O213="Extranjero","USD",O213="","")</f>
        <v/>
      </c>
      <c r="R213" s="406" t="str">
        <f>IFERROR(IF(O213="Nacional",VLOOKUP(P213,PRICING!$D$4:$E$59,2,FALSE),VLOOKUP(P213,PRICING!$J$4:$K$59,2,FALSE)),"")</f>
        <v/>
      </c>
      <c r="S213"/>
      <c r="T213" s="407"/>
      <c r="U213" s="406" t="str">
        <f t="shared" si="13"/>
        <v/>
      </c>
      <c r="V213" s="400"/>
      <c r="W213" s="408" t="str">
        <f t="shared" si="14"/>
        <v/>
      </c>
      <c r="X213" s="409" t="str">
        <f t="shared" si="15"/>
        <v/>
      </c>
    </row>
    <row r="214" spans="1:24" ht="16" x14ac:dyDescent="0.25">
      <c r="A214" s="399" t="str">
        <f>IF(B214="","",CONCATENATE("GBL",B214," - ",Mantenedor!E218))</f>
        <v/>
      </c>
      <c r="B214" s="400"/>
      <c r="C214" s="400"/>
      <c r="D214" s="400"/>
      <c r="E214" s="400"/>
      <c r="F214" s="400"/>
      <c r="G214" s="400"/>
      <c r="H214" s="400"/>
      <c r="I214" s="400"/>
      <c r="J214" s="401"/>
      <c r="K214" s="402"/>
      <c r="L214" s="403"/>
      <c r="M214" s="404"/>
      <c r="N214" s="400"/>
      <c r="O214" s="400"/>
      <c r="P214" s="399" t="str">
        <f t="shared" si="12"/>
        <v/>
      </c>
      <c r="Q214" s="405" t="str" cm="1">
        <f t="array" ref="Q214">+_xlfn.IFS(O214="Nacional","CLP",O214="Extranjero","USD",O214="","")</f>
        <v/>
      </c>
      <c r="R214" s="406" t="str">
        <f>IFERROR(IF(O214="Nacional",VLOOKUP(P214,PRICING!$D$4:$E$59,2,FALSE),VLOOKUP(P214,PRICING!$J$4:$K$59,2,FALSE)),"")</f>
        <v/>
      </c>
      <c r="S214"/>
      <c r="T214" s="407"/>
      <c r="U214" s="406" t="str">
        <f t="shared" si="13"/>
        <v/>
      </c>
      <c r="V214" s="400"/>
      <c r="W214" s="408" t="str">
        <f t="shared" si="14"/>
        <v/>
      </c>
      <c r="X214" s="409" t="str">
        <f t="shared" si="15"/>
        <v/>
      </c>
    </row>
    <row r="215" spans="1:24" ht="16" x14ac:dyDescent="0.25">
      <c r="A215" s="399" t="str">
        <f>IF(B215="","",CONCATENATE("GBL",B215," - ",Mantenedor!E219))</f>
        <v/>
      </c>
      <c r="B215" s="400"/>
      <c r="C215" s="400"/>
      <c r="D215" s="400"/>
      <c r="E215" s="400"/>
      <c r="F215" s="400"/>
      <c r="G215" s="400"/>
      <c r="H215" s="400"/>
      <c r="I215" s="400"/>
      <c r="J215" s="401"/>
      <c r="K215" s="402"/>
      <c r="L215" s="403"/>
      <c r="M215" s="404"/>
      <c r="N215" s="400"/>
      <c r="O215" s="400"/>
      <c r="P215" s="399" t="str">
        <f t="shared" si="12"/>
        <v/>
      </c>
      <c r="Q215" s="405" t="str" cm="1">
        <f t="array" ref="Q215">+_xlfn.IFS(O215="Nacional","CLP",O215="Extranjero","USD",O215="","")</f>
        <v/>
      </c>
      <c r="R215" s="406" t="str">
        <f>IFERROR(IF(O215="Nacional",VLOOKUP(P215,PRICING!$D$4:$E$59,2,FALSE),VLOOKUP(P215,PRICING!$J$4:$K$59,2,FALSE)),"")</f>
        <v/>
      </c>
      <c r="S215"/>
      <c r="T215" s="407"/>
      <c r="U215" s="406" t="str">
        <f t="shared" si="13"/>
        <v/>
      </c>
      <c r="V215" s="400"/>
      <c r="W215" s="408" t="str">
        <f t="shared" si="14"/>
        <v/>
      </c>
      <c r="X215" s="409" t="str">
        <f t="shared" si="15"/>
        <v/>
      </c>
    </row>
    <row r="216" spans="1:24" ht="16" x14ac:dyDescent="0.25">
      <c r="A216" s="399" t="str">
        <f>IF(B216="","",CONCATENATE("GBL",B216," - ",Mantenedor!E220))</f>
        <v/>
      </c>
      <c r="B216" s="400"/>
      <c r="C216" s="400"/>
      <c r="D216" s="400"/>
      <c r="E216" s="400"/>
      <c r="F216" s="400"/>
      <c r="G216" s="400"/>
      <c r="H216" s="400"/>
      <c r="I216" s="400"/>
      <c r="J216" s="401"/>
      <c r="K216" s="402"/>
      <c r="L216" s="403"/>
      <c r="M216" s="404"/>
      <c r="N216" s="400"/>
      <c r="O216" s="400"/>
      <c r="P216" s="399" t="str">
        <f t="shared" si="12"/>
        <v/>
      </c>
      <c r="Q216" s="405" t="str" cm="1">
        <f t="array" ref="Q216">+_xlfn.IFS(O216="Nacional","CLP",O216="Extranjero","USD",O216="","")</f>
        <v/>
      </c>
      <c r="R216" s="406" t="str">
        <f>IFERROR(IF(O216="Nacional",VLOOKUP(P216,PRICING!$D$4:$E$59,2,FALSE),VLOOKUP(P216,PRICING!$J$4:$K$59,2,FALSE)),"")</f>
        <v/>
      </c>
      <c r="S216"/>
      <c r="T216" s="407"/>
      <c r="U216" s="406" t="str">
        <f t="shared" si="13"/>
        <v/>
      </c>
      <c r="V216" s="400"/>
      <c r="W216" s="408" t="str">
        <f t="shared" si="14"/>
        <v/>
      </c>
      <c r="X216" s="409" t="str">
        <f t="shared" si="15"/>
        <v/>
      </c>
    </row>
    <row r="217" spans="1:24" ht="16" x14ac:dyDescent="0.25">
      <c r="A217" s="399" t="str">
        <f>IF(B217="","",CONCATENATE("GBL",B217," - ",Mantenedor!E221))</f>
        <v/>
      </c>
      <c r="B217" s="400"/>
      <c r="C217" s="400"/>
      <c r="D217" s="400"/>
      <c r="E217" s="400"/>
      <c r="F217" s="400"/>
      <c r="G217" s="400"/>
      <c r="H217" s="400"/>
      <c r="I217" s="400"/>
      <c r="J217" s="401"/>
      <c r="K217" s="402"/>
      <c r="L217" s="403"/>
      <c r="M217" s="404"/>
      <c r="N217" s="400"/>
      <c r="O217" s="400"/>
      <c r="P217" s="399" t="str">
        <f t="shared" si="12"/>
        <v/>
      </c>
      <c r="Q217" s="405" t="str" cm="1">
        <f t="array" ref="Q217">+_xlfn.IFS(O217="Nacional","CLP",O217="Extranjero","USD",O217="","")</f>
        <v/>
      </c>
      <c r="R217" s="406" t="str">
        <f>IFERROR(IF(O217="Nacional",VLOOKUP(P217,PRICING!$D$4:$E$59,2,FALSE),VLOOKUP(P217,PRICING!$J$4:$K$59,2,FALSE)),"")</f>
        <v/>
      </c>
      <c r="S217"/>
      <c r="T217" s="407"/>
      <c r="U217" s="406" t="str">
        <f t="shared" si="13"/>
        <v/>
      </c>
      <c r="V217" s="400"/>
      <c r="W217" s="408" t="str">
        <f t="shared" si="14"/>
        <v/>
      </c>
      <c r="X217" s="409" t="str">
        <f t="shared" si="15"/>
        <v/>
      </c>
    </row>
    <row r="218" spans="1:24" ht="16" x14ac:dyDescent="0.25">
      <c r="A218" s="399" t="str">
        <f>IF(B218="","",CONCATENATE("GBL",B218," - ",Mantenedor!E222))</f>
        <v/>
      </c>
      <c r="B218" s="400"/>
      <c r="C218" s="400"/>
      <c r="D218" s="400"/>
      <c r="E218" s="400"/>
      <c r="F218" s="400"/>
      <c r="G218" s="400"/>
      <c r="H218" s="400"/>
      <c r="I218" s="400"/>
      <c r="J218" s="401"/>
      <c r="K218" s="402"/>
      <c r="L218" s="403"/>
      <c r="M218" s="404"/>
      <c r="N218" s="400"/>
      <c r="O218" s="400"/>
      <c r="P218" s="399" t="str">
        <f t="shared" si="12"/>
        <v/>
      </c>
      <c r="Q218" s="405" t="str" cm="1">
        <f t="array" ref="Q218">+_xlfn.IFS(O218="Nacional","CLP",O218="Extranjero","USD",O218="","")</f>
        <v/>
      </c>
      <c r="R218" s="406" t="str">
        <f>IFERROR(IF(O218="Nacional",VLOOKUP(P218,PRICING!$D$4:$E$59,2,FALSE),VLOOKUP(P218,PRICING!$J$4:$K$59,2,FALSE)),"")</f>
        <v/>
      </c>
      <c r="S218"/>
      <c r="T218" s="407"/>
      <c r="U218" s="406" t="str">
        <f t="shared" si="13"/>
        <v/>
      </c>
      <c r="V218" s="400"/>
      <c r="W218" s="408" t="str">
        <f t="shared" si="14"/>
        <v/>
      </c>
      <c r="X218" s="409" t="str">
        <f t="shared" si="15"/>
        <v/>
      </c>
    </row>
    <row r="219" spans="1:24" ht="16" x14ac:dyDescent="0.25">
      <c r="A219" s="399" t="str">
        <f>IF(B219="","",CONCATENATE("GBL",B219," - ",Mantenedor!E223))</f>
        <v/>
      </c>
      <c r="B219" s="400"/>
      <c r="C219" s="400"/>
      <c r="D219" s="400"/>
      <c r="E219" s="400"/>
      <c r="F219" s="400"/>
      <c r="G219" s="400"/>
      <c r="H219" s="400"/>
      <c r="I219" s="400"/>
      <c r="J219" s="401"/>
      <c r="K219" s="402"/>
      <c r="L219" s="403"/>
      <c r="M219" s="404"/>
      <c r="N219" s="400"/>
      <c r="O219" s="400"/>
      <c r="P219" s="399" t="str">
        <f t="shared" si="12"/>
        <v/>
      </c>
      <c r="Q219" s="405" t="str" cm="1">
        <f t="array" ref="Q219">+_xlfn.IFS(O219="Nacional","CLP",O219="Extranjero","USD",O219="","")</f>
        <v/>
      </c>
      <c r="R219" s="406" t="str">
        <f>IFERROR(IF(O219="Nacional",VLOOKUP(P219,PRICING!$D$4:$E$59,2,FALSE),VLOOKUP(P219,PRICING!$J$4:$K$59,2,FALSE)),"")</f>
        <v/>
      </c>
      <c r="S219"/>
      <c r="T219" s="407"/>
      <c r="U219" s="406" t="str">
        <f t="shared" si="13"/>
        <v/>
      </c>
      <c r="V219" s="400"/>
      <c r="W219" s="408" t="str">
        <f t="shared" si="14"/>
        <v/>
      </c>
      <c r="X219" s="409" t="str">
        <f t="shared" si="15"/>
        <v/>
      </c>
    </row>
    <row r="220" spans="1:24" ht="16" x14ac:dyDescent="0.25">
      <c r="A220" s="399" t="str">
        <f>IF(B220="","",CONCATENATE("GBL",B220," - ",Mantenedor!E224))</f>
        <v/>
      </c>
      <c r="B220" s="400"/>
      <c r="C220" s="400"/>
      <c r="D220" s="400"/>
      <c r="E220" s="400"/>
      <c r="F220" s="400"/>
      <c r="G220" s="400"/>
      <c r="H220" s="400"/>
      <c r="I220" s="400"/>
      <c r="J220" s="401"/>
      <c r="K220" s="402"/>
      <c r="L220" s="403"/>
      <c r="M220" s="404"/>
      <c r="N220" s="400"/>
      <c r="O220" s="400"/>
      <c r="P220" s="399" t="str">
        <f t="shared" si="12"/>
        <v/>
      </c>
      <c r="Q220" s="405" t="str" cm="1">
        <f t="array" ref="Q220">+_xlfn.IFS(O220="Nacional","CLP",O220="Extranjero","USD",O220="","")</f>
        <v/>
      </c>
      <c r="R220" s="406" t="str">
        <f>IFERROR(IF(O220="Nacional",VLOOKUP(P220,PRICING!$D$4:$E$59,2,FALSE),VLOOKUP(P220,PRICING!$J$4:$K$59,2,FALSE)),"")</f>
        <v/>
      </c>
      <c r="S220"/>
      <c r="T220" s="407"/>
      <c r="U220" s="406" t="str">
        <f t="shared" si="13"/>
        <v/>
      </c>
      <c r="V220" s="400"/>
      <c r="W220" s="408" t="str">
        <f t="shared" si="14"/>
        <v/>
      </c>
      <c r="X220" s="409" t="str">
        <f t="shared" si="15"/>
        <v/>
      </c>
    </row>
    <row r="221" spans="1:24" ht="16" x14ac:dyDescent="0.25">
      <c r="A221" s="399" t="str">
        <f>IF(B221="","",CONCATENATE("GBL",B221," - ",Mantenedor!E225))</f>
        <v/>
      </c>
      <c r="B221" s="400"/>
      <c r="C221" s="400"/>
      <c r="D221" s="400"/>
      <c r="E221" s="400"/>
      <c r="F221" s="400"/>
      <c r="G221" s="400"/>
      <c r="H221" s="400"/>
      <c r="I221" s="400"/>
      <c r="J221" s="401"/>
      <c r="K221" s="402"/>
      <c r="L221" s="403"/>
      <c r="M221" s="404"/>
      <c r="N221" s="400"/>
      <c r="O221" s="400"/>
      <c r="P221" s="399" t="str">
        <f t="shared" si="12"/>
        <v/>
      </c>
      <c r="Q221" s="405" t="str" cm="1">
        <f t="array" ref="Q221">+_xlfn.IFS(O221="Nacional","CLP",O221="Extranjero","USD",O221="","")</f>
        <v/>
      </c>
      <c r="R221" s="406" t="str">
        <f>IFERROR(IF(O221="Nacional",VLOOKUP(P221,PRICING!$D$4:$E$59,2,FALSE),VLOOKUP(P221,PRICING!$J$4:$K$59,2,FALSE)),"")</f>
        <v/>
      </c>
      <c r="S221"/>
      <c r="T221" s="407"/>
      <c r="U221" s="406" t="str">
        <f t="shared" si="13"/>
        <v/>
      </c>
      <c r="V221" s="400"/>
      <c r="W221" s="408" t="str">
        <f t="shared" si="14"/>
        <v/>
      </c>
      <c r="X221" s="409" t="str">
        <f t="shared" si="15"/>
        <v/>
      </c>
    </row>
    <row r="222" spans="1:24" ht="16" x14ac:dyDescent="0.25">
      <c r="A222" s="399" t="str">
        <f>IF(B222="","",CONCATENATE("GBL",B222," - ",Mantenedor!E226))</f>
        <v/>
      </c>
      <c r="B222" s="400"/>
      <c r="C222" s="400"/>
      <c r="D222" s="400"/>
      <c r="E222" s="400"/>
      <c r="F222" s="400"/>
      <c r="G222" s="400"/>
      <c r="H222" s="400"/>
      <c r="I222" s="400"/>
      <c r="J222" s="401"/>
      <c r="K222" s="402"/>
      <c r="L222" s="403"/>
      <c r="M222" s="404"/>
      <c r="N222" s="400"/>
      <c r="O222" s="400"/>
      <c r="P222" s="399" t="str">
        <f t="shared" si="12"/>
        <v/>
      </c>
      <c r="Q222" s="405" t="str" cm="1">
        <f t="array" ref="Q222">+_xlfn.IFS(O222="Nacional","CLP",O222="Extranjero","USD",O222="","")</f>
        <v/>
      </c>
      <c r="R222" s="406" t="str">
        <f>IFERROR(IF(O222="Nacional",VLOOKUP(P222,PRICING!$D$4:$E$59,2,FALSE),VLOOKUP(P222,PRICING!$J$4:$K$59,2,FALSE)),"")</f>
        <v/>
      </c>
      <c r="S222"/>
      <c r="T222" s="407"/>
      <c r="U222" s="406" t="str">
        <f t="shared" si="13"/>
        <v/>
      </c>
      <c r="V222" s="400"/>
      <c r="W222" s="408" t="str">
        <f t="shared" si="14"/>
        <v/>
      </c>
      <c r="X222" s="409" t="str">
        <f t="shared" si="15"/>
        <v/>
      </c>
    </row>
    <row r="223" spans="1:24" ht="16" x14ac:dyDescent="0.25">
      <c r="A223" s="399" t="str">
        <f>IF(B223="","",CONCATENATE("GBL",B223," - ",Mantenedor!E227))</f>
        <v/>
      </c>
      <c r="B223" s="400"/>
      <c r="C223" s="400"/>
      <c r="D223" s="400"/>
      <c r="E223" s="400"/>
      <c r="F223" s="400"/>
      <c r="G223" s="400"/>
      <c r="H223" s="400"/>
      <c r="I223" s="400"/>
      <c r="J223" s="401"/>
      <c r="K223" s="402"/>
      <c r="L223" s="403"/>
      <c r="M223" s="404"/>
      <c r="N223" s="400"/>
      <c r="O223" s="400"/>
      <c r="P223" s="399" t="str">
        <f t="shared" si="12"/>
        <v/>
      </c>
      <c r="Q223" s="405" t="str" cm="1">
        <f t="array" ref="Q223">+_xlfn.IFS(O223="Nacional","CLP",O223="Extranjero","USD",O223="","")</f>
        <v/>
      </c>
      <c r="R223" s="406" t="str">
        <f>IFERROR(IF(O223="Nacional",VLOOKUP(P223,PRICING!$D$4:$E$59,2,FALSE),VLOOKUP(P223,PRICING!$J$4:$K$59,2,FALSE)),"")</f>
        <v/>
      </c>
      <c r="S223"/>
      <c r="T223" s="407"/>
      <c r="U223" s="406" t="str">
        <f t="shared" si="13"/>
        <v/>
      </c>
      <c r="V223" s="400"/>
      <c r="W223" s="408" t="str">
        <f t="shared" si="14"/>
        <v/>
      </c>
      <c r="X223" s="409" t="str">
        <f t="shared" si="15"/>
        <v/>
      </c>
    </row>
    <row r="224" spans="1:24" ht="16" x14ac:dyDescent="0.25">
      <c r="A224" s="399" t="str">
        <f>IF(B224="","",CONCATENATE("GBL",B224," - ",Mantenedor!E228))</f>
        <v/>
      </c>
      <c r="B224" s="400"/>
      <c r="C224" s="400"/>
      <c r="D224" s="400"/>
      <c r="E224" s="400"/>
      <c r="F224" s="400"/>
      <c r="G224" s="400"/>
      <c r="H224" s="400"/>
      <c r="I224" s="400"/>
      <c r="J224" s="401"/>
      <c r="K224" s="402"/>
      <c r="L224" s="403"/>
      <c r="M224" s="404"/>
      <c r="N224" s="400"/>
      <c r="O224" s="400"/>
      <c r="P224" s="399" t="str">
        <f t="shared" si="12"/>
        <v/>
      </c>
      <c r="Q224" s="405" t="str" cm="1">
        <f t="array" ref="Q224">+_xlfn.IFS(O224="Nacional","CLP",O224="Extranjero","USD",O224="","")</f>
        <v/>
      </c>
      <c r="R224" s="406" t="str">
        <f>IFERROR(IF(O224="Nacional",VLOOKUP(P224,PRICING!$D$4:$E$59,2,FALSE),VLOOKUP(P224,PRICING!$J$4:$K$59,2,FALSE)),"")</f>
        <v/>
      </c>
      <c r="S224"/>
      <c r="T224" s="407"/>
      <c r="U224" s="406" t="str">
        <f t="shared" si="13"/>
        <v/>
      </c>
      <c r="V224" s="400"/>
      <c r="W224" s="408" t="str">
        <f t="shared" si="14"/>
        <v/>
      </c>
      <c r="X224" s="409" t="str">
        <f t="shared" si="15"/>
        <v/>
      </c>
    </row>
    <row r="225" spans="1:24" ht="16" x14ac:dyDescent="0.25">
      <c r="A225" s="399" t="str">
        <f>IF(B225="","",CONCATENATE("GBL",B225," - ",Mantenedor!E229))</f>
        <v/>
      </c>
      <c r="B225" s="400"/>
      <c r="C225" s="400"/>
      <c r="D225" s="400"/>
      <c r="E225" s="400"/>
      <c r="F225" s="400"/>
      <c r="G225" s="400"/>
      <c r="H225" s="400"/>
      <c r="I225" s="400"/>
      <c r="J225" s="401"/>
      <c r="K225" s="402"/>
      <c r="L225" s="403"/>
      <c r="M225" s="404"/>
      <c r="N225" s="400"/>
      <c r="O225" s="400"/>
      <c r="P225" s="399" t="str">
        <f t="shared" si="12"/>
        <v/>
      </c>
      <c r="Q225" s="405" t="str" cm="1">
        <f t="array" ref="Q225">+_xlfn.IFS(O225="Nacional","CLP",O225="Extranjero","USD",O225="","")</f>
        <v/>
      </c>
      <c r="R225" s="406" t="str">
        <f>IFERROR(IF(O225="Nacional",VLOOKUP(P225,PRICING!$D$4:$E$59,2,FALSE),VLOOKUP(P225,PRICING!$J$4:$K$59,2,FALSE)),"")</f>
        <v/>
      </c>
      <c r="S225"/>
      <c r="T225" s="407"/>
      <c r="U225" s="406" t="str">
        <f t="shared" si="13"/>
        <v/>
      </c>
      <c r="V225" s="400"/>
      <c r="W225" s="408" t="str">
        <f t="shared" si="14"/>
        <v/>
      </c>
      <c r="X225" s="409" t="str">
        <f t="shared" si="15"/>
        <v/>
      </c>
    </row>
    <row r="226" spans="1:24" ht="16" x14ac:dyDescent="0.25">
      <c r="A226" s="399" t="str">
        <f>IF(B226="","",CONCATENATE("GBL",B226," - ",Mantenedor!E230))</f>
        <v/>
      </c>
      <c r="B226" s="400"/>
      <c r="C226" s="400"/>
      <c r="D226" s="400"/>
      <c r="E226" s="400"/>
      <c r="F226" s="400"/>
      <c r="G226" s="400"/>
      <c r="H226" s="400"/>
      <c r="I226" s="400"/>
      <c r="J226" s="401"/>
      <c r="K226" s="402"/>
      <c r="L226" s="403"/>
      <c r="M226" s="404"/>
      <c r="N226" s="400"/>
      <c r="O226" s="400"/>
      <c r="P226" s="399" t="str">
        <f t="shared" si="12"/>
        <v/>
      </c>
      <c r="Q226" s="405" t="str" cm="1">
        <f t="array" ref="Q226">+_xlfn.IFS(O226="Nacional","CLP",O226="Extranjero","USD",O226="","")</f>
        <v/>
      </c>
      <c r="R226" s="406" t="str">
        <f>IFERROR(IF(O226="Nacional",VLOOKUP(P226,PRICING!$D$4:$E$59,2,FALSE),VLOOKUP(P226,PRICING!$J$4:$K$59,2,FALSE)),"")</f>
        <v/>
      </c>
      <c r="S226"/>
      <c r="T226" s="407"/>
      <c r="U226" s="406" t="str">
        <f t="shared" si="13"/>
        <v/>
      </c>
      <c r="V226" s="400"/>
      <c r="W226" s="408" t="str">
        <f t="shared" si="14"/>
        <v/>
      </c>
      <c r="X226" s="409" t="str">
        <f t="shared" si="15"/>
        <v/>
      </c>
    </row>
    <row r="227" spans="1:24" ht="16" x14ac:dyDescent="0.25">
      <c r="A227" s="399" t="str">
        <f>IF(B227="","",CONCATENATE("GBL",B227," - ",Mantenedor!E231))</f>
        <v/>
      </c>
      <c r="B227" s="400"/>
      <c r="C227" s="400"/>
      <c r="D227" s="400"/>
      <c r="E227" s="400"/>
      <c r="F227" s="400"/>
      <c r="G227" s="400"/>
      <c r="H227" s="400"/>
      <c r="I227" s="400"/>
      <c r="J227" s="401"/>
      <c r="K227" s="402"/>
      <c r="L227" s="403"/>
      <c r="M227" s="404"/>
      <c r="N227" s="400"/>
      <c r="O227" s="400"/>
      <c r="P227" s="399" t="str">
        <f t="shared" si="12"/>
        <v/>
      </c>
      <c r="Q227" s="405" t="str" cm="1">
        <f t="array" ref="Q227">+_xlfn.IFS(O227="Nacional","CLP",O227="Extranjero","USD",O227="","")</f>
        <v/>
      </c>
      <c r="R227" s="406" t="str">
        <f>IFERROR(IF(O227="Nacional",VLOOKUP(P227,PRICING!$D$4:$E$59,2,FALSE),VLOOKUP(P227,PRICING!$J$4:$K$59,2,FALSE)),"")</f>
        <v/>
      </c>
      <c r="S227"/>
      <c r="T227" s="407"/>
      <c r="U227" s="406" t="str">
        <f t="shared" si="13"/>
        <v/>
      </c>
      <c r="V227" s="400"/>
      <c r="W227" s="408" t="str">
        <f t="shared" si="14"/>
        <v/>
      </c>
      <c r="X227" s="409" t="str">
        <f t="shared" si="15"/>
        <v/>
      </c>
    </row>
    <row r="228" spans="1:24" ht="16" x14ac:dyDescent="0.25">
      <c r="A228" s="399" t="str">
        <f>IF(B228="","",CONCATENATE("GBL",B228," - ",Mantenedor!E232))</f>
        <v/>
      </c>
      <c r="B228" s="400"/>
      <c r="C228" s="400"/>
      <c r="D228" s="400"/>
      <c r="E228" s="400"/>
      <c r="F228" s="400"/>
      <c r="G228" s="400"/>
      <c r="H228" s="400"/>
      <c r="I228" s="400"/>
      <c r="J228" s="401"/>
      <c r="K228" s="402"/>
      <c r="L228" s="403"/>
      <c r="M228" s="404"/>
      <c r="N228" s="400"/>
      <c r="O228" s="400"/>
      <c r="P228" s="399" t="str">
        <f t="shared" si="12"/>
        <v/>
      </c>
      <c r="Q228" s="405" t="str" cm="1">
        <f t="array" ref="Q228">+_xlfn.IFS(O228="Nacional","CLP",O228="Extranjero","USD",O228="","")</f>
        <v/>
      </c>
      <c r="R228" s="406" t="str">
        <f>IFERROR(IF(O228="Nacional",VLOOKUP(P228,PRICING!$D$4:$E$59,2,FALSE),VLOOKUP(P228,PRICING!$J$4:$K$59,2,FALSE)),"")</f>
        <v/>
      </c>
      <c r="S228"/>
      <c r="T228" s="407"/>
      <c r="U228" s="406" t="str">
        <f t="shared" si="13"/>
        <v/>
      </c>
      <c r="V228" s="400"/>
      <c r="W228" s="408" t="str">
        <f t="shared" si="14"/>
        <v/>
      </c>
      <c r="X228" s="409" t="str">
        <f t="shared" si="15"/>
        <v/>
      </c>
    </row>
    <row r="229" spans="1:24" ht="16" x14ac:dyDescent="0.25">
      <c r="A229" s="399" t="str">
        <f>IF(B229="","",CONCATENATE("GBL",B229," - ",Mantenedor!E233))</f>
        <v/>
      </c>
      <c r="B229" s="400"/>
      <c r="C229" s="400"/>
      <c r="D229" s="400"/>
      <c r="E229" s="400"/>
      <c r="F229" s="400"/>
      <c r="G229" s="400"/>
      <c r="H229" s="400"/>
      <c r="I229" s="400"/>
      <c r="J229" s="401"/>
      <c r="K229" s="402"/>
      <c r="L229" s="403"/>
      <c r="M229" s="404"/>
      <c r="N229" s="400"/>
      <c r="O229" s="400"/>
      <c r="P229" s="399" t="str">
        <f t="shared" si="12"/>
        <v/>
      </c>
      <c r="Q229" s="405" t="str" cm="1">
        <f t="array" ref="Q229">+_xlfn.IFS(O229="Nacional","CLP",O229="Extranjero","USD",O229="","")</f>
        <v/>
      </c>
      <c r="R229" s="406" t="str">
        <f>IFERROR(IF(O229="Nacional",VLOOKUP(P229,PRICING!$D$4:$E$59,2,FALSE),VLOOKUP(P229,PRICING!$J$4:$K$59,2,FALSE)),"")</f>
        <v/>
      </c>
      <c r="S229"/>
      <c r="T229" s="407"/>
      <c r="U229" s="406" t="str">
        <f t="shared" si="13"/>
        <v/>
      </c>
      <c r="V229" s="400"/>
      <c r="W229" s="408" t="str">
        <f t="shared" si="14"/>
        <v/>
      </c>
      <c r="X229" s="409" t="str">
        <f t="shared" si="15"/>
        <v/>
      </c>
    </row>
    <row r="230" spans="1:24" ht="16" x14ac:dyDescent="0.25">
      <c r="A230" s="399" t="str">
        <f>IF(B230="","",CONCATENATE("GBL",B230," - ",Mantenedor!E234))</f>
        <v/>
      </c>
      <c r="B230" s="400"/>
      <c r="C230" s="400"/>
      <c r="D230" s="400"/>
      <c r="E230" s="400"/>
      <c r="F230" s="400"/>
      <c r="G230" s="400"/>
      <c r="H230" s="400"/>
      <c r="I230" s="400"/>
      <c r="J230" s="401"/>
      <c r="K230" s="402"/>
      <c r="L230" s="403"/>
      <c r="M230" s="404"/>
      <c r="N230" s="400"/>
      <c r="O230" s="400"/>
      <c r="P230" s="399" t="str">
        <f t="shared" si="12"/>
        <v/>
      </c>
      <c r="Q230" s="405" t="str" cm="1">
        <f t="array" ref="Q230">+_xlfn.IFS(O230="Nacional","CLP",O230="Extranjero","USD",O230="","")</f>
        <v/>
      </c>
      <c r="R230" s="406" t="str">
        <f>IFERROR(IF(O230="Nacional",VLOOKUP(P230,PRICING!$D$4:$E$59,2,FALSE),VLOOKUP(P230,PRICING!$J$4:$K$59,2,FALSE)),"")</f>
        <v/>
      </c>
      <c r="S230"/>
      <c r="T230" s="407"/>
      <c r="U230" s="406" t="str">
        <f t="shared" si="13"/>
        <v/>
      </c>
      <c r="V230" s="400"/>
      <c r="W230" s="408" t="str">
        <f t="shared" si="14"/>
        <v/>
      </c>
      <c r="X230" s="409" t="str">
        <f t="shared" si="15"/>
        <v/>
      </c>
    </row>
    <row r="231" spans="1:24" ht="16" x14ac:dyDescent="0.25">
      <c r="A231" s="399" t="str">
        <f>IF(B231="","",CONCATENATE("GBL",B231," - ",Mantenedor!E235))</f>
        <v/>
      </c>
      <c r="B231" s="400"/>
      <c r="C231" s="400"/>
      <c r="D231" s="400"/>
      <c r="E231" s="400"/>
      <c r="F231" s="400"/>
      <c r="G231" s="400"/>
      <c r="H231" s="400"/>
      <c r="I231" s="400"/>
      <c r="J231" s="401"/>
      <c r="K231" s="402"/>
      <c r="L231" s="403"/>
      <c r="M231" s="404"/>
      <c r="N231" s="400"/>
      <c r="O231" s="400"/>
      <c r="P231" s="399" t="str">
        <f t="shared" si="12"/>
        <v/>
      </c>
      <c r="Q231" s="405" t="str" cm="1">
        <f t="array" ref="Q231">+_xlfn.IFS(O231="Nacional","CLP",O231="Extranjero","USD",O231="","")</f>
        <v/>
      </c>
      <c r="R231" s="406" t="str">
        <f>IFERROR(IF(O231="Nacional",VLOOKUP(P231,PRICING!$D$4:$E$59,2,FALSE),VLOOKUP(P231,PRICING!$J$4:$K$59,2,FALSE)),"")</f>
        <v/>
      </c>
      <c r="S231"/>
      <c r="T231" s="407"/>
      <c r="U231" s="406" t="str">
        <f t="shared" si="13"/>
        <v/>
      </c>
      <c r="V231" s="400"/>
      <c r="W231" s="408" t="str">
        <f t="shared" si="14"/>
        <v/>
      </c>
      <c r="X231" s="409" t="str">
        <f t="shared" si="15"/>
        <v/>
      </c>
    </row>
    <row r="232" spans="1:24" ht="16" x14ac:dyDescent="0.25">
      <c r="A232" s="399" t="str">
        <f>IF(B232="","",CONCATENATE("GBL",B232," - ",Mantenedor!E236))</f>
        <v/>
      </c>
      <c r="B232" s="400"/>
      <c r="C232" s="400"/>
      <c r="D232" s="400"/>
      <c r="E232" s="400"/>
      <c r="F232" s="400"/>
      <c r="G232" s="400"/>
      <c r="H232" s="400"/>
      <c r="I232" s="400"/>
      <c r="J232" s="401"/>
      <c r="K232" s="402"/>
      <c r="L232" s="403"/>
      <c r="M232" s="404"/>
      <c r="N232" s="400"/>
      <c r="O232" s="400"/>
      <c r="P232" s="399" t="str">
        <f t="shared" si="12"/>
        <v/>
      </c>
      <c r="Q232" s="405" t="str" cm="1">
        <f t="array" ref="Q232">+_xlfn.IFS(O232="Nacional","CLP",O232="Extranjero","USD",O232="","")</f>
        <v/>
      </c>
      <c r="R232" s="406" t="str">
        <f>IFERROR(IF(O232="Nacional",VLOOKUP(P232,PRICING!$D$4:$E$59,2,FALSE),VLOOKUP(P232,PRICING!$J$4:$K$59,2,FALSE)),"")</f>
        <v/>
      </c>
      <c r="S232"/>
      <c r="T232" s="407"/>
      <c r="U232" s="406" t="str">
        <f t="shared" si="13"/>
        <v/>
      </c>
      <c r="V232" s="400"/>
      <c r="W232" s="408" t="str">
        <f t="shared" si="14"/>
        <v/>
      </c>
      <c r="X232" s="409" t="str">
        <f t="shared" si="15"/>
        <v/>
      </c>
    </row>
    <row r="233" spans="1:24" ht="16" x14ac:dyDescent="0.25">
      <c r="A233" s="399" t="str">
        <f>IF(B233="","",CONCATENATE("GBL",B233," - ",Mantenedor!E237))</f>
        <v/>
      </c>
      <c r="B233" s="400"/>
      <c r="C233" s="400"/>
      <c r="D233" s="400"/>
      <c r="E233" s="400"/>
      <c r="F233" s="400"/>
      <c r="G233" s="400"/>
      <c r="H233" s="400"/>
      <c r="I233" s="400"/>
      <c r="J233" s="401"/>
      <c r="K233" s="402"/>
      <c r="L233" s="403"/>
      <c r="M233" s="404"/>
      <c r="N233" s="400"/>
      <c r="O233" s="400"/>
      <c r="P233" s="399" t="str">
        <f t="shared" si="12"/>
        <v/>
      </c>
      <c r="Q233" s="405" t="str" cm="1">
        <f t="array" ref="Q233">+_xlfn.IFS(O233="Nacional","CLP",O233="Extranjero","USD",O233="","")</f>
        <v/>
      </c>
      <c r="R233" s="406" t="str">
        <f>IFERROR(IF(O233="Nacional",VLOOKUP(P233,PRICING!$D$4:$E$59,2,FALSE),VLOOKUP(P233,PRICING!$J$4:$K$59,2,FALSE)),"")</f>
        <v/>
      </c>
      <c r="S233"/>
      <c r="T233" s="407"/>
      <c r="U233" s="406" t="str">
        <f t="shared" si="13"/>
        <v/>
      </c>
      <c r="V233" s="400"/>
      <c r="W233" s="408" t="str">
        <f t="shared" si="14"/>
        <v/>
      </c>
      <c r="X233" s="409" t="str">
        <f t="shared" si="15"/>
        <v/>
      </c>
    </row>
    <row r="234" spans="1:24" ht="16" x14ac:dyDescent="0.25">
      <c r="A234" s="399" t="str">
        <f>IF(B234="","",CONCATENATE("GBL",B234," - ",Mantenedor!E238))</f>
        <v/>
      </c>
      <c r="B234" s="400"/>
      <c r="C234" s="400"/>
      <c r="D234" s="400"/>
      <c r="E234" s="400"/>
      <c r="F234" s="400"/>
      <c r="G234" s="400"/>
      <c r="H234" s="400"/>
      <c r="I234" s="400"/>
      <c r="J234" s="401"/>
      <c r="K234" s="402"/>
      <c r="L234" s="403"/>
      <c r="M234" s="404"/>
      <c r="N234" s="400"/>
      <c r="O234" s="400"/>
      <c r="P234" s="399" t="str">
        <f t="shared" si="12"/>
        <v/>
      </c>
      <c r="Q234" s="405" t="str" cm="1">
        <f t="array" ref="Q234">+_xlfn.IFS(O234="Nacional","CLP",O234="Extranjero","USD",O234="","")</f>
        <v/>
      </c>
      <c r="R234" s="406" t="str">
        <f>IFERROR(IF(O234="Nacional",VLOOKUP(P234,PRICING!$D$4:$E$59,2,FALSE),VLOOKUP(P234,PRICING!$J$4:$K$59,2,FALSE)),"")</f>
        <v/>
      </c>
      <c r="S234"/>
      <c r="T234" s="407"/>
      <c r="U234" s="406" t="str">
        <f t="shared" si="13"/>
        <v/>
      </c>
      <c r="V234" s="400"/>
      <c r="W234" s="408" t="str">
        <f t="shared" si="14"/>
        <v/>
      </c>
      <c r="X234" s="409" t="str">
        <f t="shared" si="15"/>
        <v/>
      </c>
    </row>
    <row r="235" spans="1:24" ht="16" x14ac:dyDescent="0.25">
      <c r="A235" s="399" t="str">
        <f>IF(B235="","",CONCATENATE("GBL",B235," - ",Mantenedor!E239))</f>
        <v/>
      </c>
      <c r="B235" s="400"/>
      <c r="C235" s="400"/>
      <c r="D235" s="400"/>
      <c r="E235" s="400"/>
      <c r="F235" s="400"/>
      <c r="G235" s="400"/>
      <c r="H235" s="400"/>
      <c r="I235" s="400"/>
      <c r="J235" s="401"/>
      <c r="K235" s="402"/>
      <c r="L235" s="403"/>
      <c r="M235" s="404"/>
      <c r="N235" s="400"/>
      <c r="O235" s="400"/>
      <c r="P235" s="399" t="str">
        <f t="shared" si="12"/>
        <v/>
      </c>
      <c r="Q235" s="405" t="str" cm="1">
        <f t="array" ref="Q235">+_xlfn.IFS(O235="Nacional","CLP",O235="Extranjero","USD",O235="","")</f>
        <v/>
      </c>
      <c r="R235" s="406" t="str">
        <f>IFERROR(IF(O235="Nacional",VLOOKUP(P235,PRICING!$D$4:$E$59,2,FALSE),VLOOKUP(P235,PRICING!$J$4:$K$59,2,FALSE)),"")</f>
        <v/>
      </c>
      <c r="S235"/>
      <c r="T235" s="407"/>
      <c r="U235" s="406" t="str">
        <f t="shared" si="13"/>
        <v/>
      </c>
      <c r="V235" s="400"/>
      <c r="W235" s="408" t="str">
        <f t="shared" si="14"/>
        <v/>
      </c>
      <c r="X235" s="409" t="str">
        <f t="shared" si="15"/>
        <v/>
      </c>
    </row>
    <row r="236" spans="1:24" ht="16" x14ac:dyDescent="0.25">
      <c r="A236" s="399" t="str">
        <f>IF(B236="","",CONCATENATE("GBL",B236," - ",Mantenedor!E240))</f>
        <v/>
      </c>
      <c r="B236" s="400"/>
      <c r="C236" s="400"/>
      <c r="D236" s="400"/>
      <c r="E236" s="400"/>
      <c r="F236" s="400"/>
      <c r="G236" s="400"/>
      <c r="H236" s="400"/>
      <c r="I236" s="400"/>
      <c r="J236" s="401"/>
      <c r="K236" s="402"/>
      <c r="L236" s="403"/>
      <c r="M236" s="404"/>
      <c r="N236" s="400"/>
      <c r="O236" s="400"/>
      <c r="P236" s="399" t="str">
        <f t="shared" si="12"/>
        <v/>
      </c>
      <c r="Q236" s="405" t="str" cm="1">
        <f t="array" ref="Q236">+_xlfn.IFS(O236="Nacional","CLP",O236="Extranjero","USD",O236="","")</f>
        <v/>
      </c>
      <c r="R236" s="406" t="str">
        <f>IFERROR(IF(O236="Nacional",VLOOKUP(P236,PRICING!$D$4:$E$59,2,FALSE),VLOOKUP(P236,PRICING!$J$4:$K$59,2,FALSE)),"")</f>
        <v/>
      </c>
      <c r="S236"/>
      <c r="T236" s="407"/>
      <c r="U236" s="406" t="str">
        <f t="shared" si="13"/>
        <v/>
      </c>
      <c r="V236" s="400"/>
      <c r="W236" s="408" t="str">
        <f t="shared" si="14"/>
        <v/>
      </c>
      <c r="X236" s="409" t="str">
        <f t="shared" si="15"/>
        <v/>
      </c>
    </row>
    <row r="237" spans="1:24" ht="16" x14ac:dyDescent="0.25">
      <c r="A237" s="399" t="str">
        <f>IF(B237="","",CONCATENATE("GBL",B237," - ",Mantenedor!E241))</f>
        <v/>
      </c>
      <c r="B237" s="400"/>
      <c r="C237" s="400"/>
      <c r="D237" s="400"/>
      <c r="E237" s="400"/>
      <c r="F237" s="400"/>
      <c r="G237" s="400"/>
      <c r="H237" s="400"/>
      <c r="I237" s="400"/>
      <c r="J237" s="401"/>
      <c r="K237" s="402"/>
      <c r="L237" s="403"/>
      <c r="M237" s="404"/>
      <c r="N237" s="400"/>
      <c r="O237" s="400"/>
      <c r="P237" s="399" t="str">
        <f t="shared" si="12"/>
        <v/>
      </c>
      <c r="Q237" s="405" t="str" cm="1">
        <f t="array" ref="Q237">+_xlfn.IFS(O237="Nacional","CLP",O237="Extranjero","USD",O237="","")</f>
        <v/>
      </c>
      <c r="R237" s="406" t="str">
        <f>IFERROR(IF(O237="Nacional",VLOOKUP(P237,PRICING!$D$4:$E$59,2,FALSE),VLOOKUP(P237,PRICING!$J$4:$K$59,2,FALSE)),"")</f>
        <v/>
      </c>
      <c r="S237"/>
      <c r="T237" s="407"/>
      <c r="U237" s="406" t="str">
        <f t="shared" si="13"/>
        <v/>
      </c>
      <c r="V237" s="400"/>
      <c r="W237" s="408" t="str">
        <f t="shared" si="14"/>
        <v/>
      </c>
      <c r="X237" s="409" t="str">
        <f t="shared" si="15"/>
        <v/>
      </c>
    </row>
    <row r="238" spans="1:24" ht="16" x14ac:dyDescent="0.25">
      <c r="A238" s="399" t="str">
        <f>IF(B238="","",CONCATENATE("GBL",B238," - ",Mantenedor!E242))</f>
        <v/>
      </c>
      <c r="B238" s="400"/>
      <c r="C238" s="400"/>
      <c r="D238" s="400"/>
      <c r="E238" s="400"/>
      <c r="F238" s="400"/>
      <c r="G238" s="400"/>
      <c r="H238" s="400"/>
      <c r="I238" s="400"/>
      <c r="J238" s="401"/>
      <c r="K238" s="402"/>
      <c r="L238" s="403"/>
      <c r="M238" s="404"/>
      <c r="N238" s="400"/>
      <c r="O238" s="400"/>
      <c r="P238" s="399" t="str">
        <f t="shared" si="12"/>
        <v/>
      </c>
      <c r="Q238" s="405" t="str" cm="1">
        <f t="array" ref="Q238">+_xlfn.IFS(O238="Nacional","CLP",O238="Extranjero","USD",O238="","")</f>
        <v/>
      </c>
      <c r="R238" s="406" t="str">
        <f>IFERROR(IF(O238="Nacional",VLOOKUP(P238,PRICING!$D$4:$E$59,2,FALSE),VLOOKUP(P238,PRICING!$J$4:$K$59,2,FALSE)),"")</f>
        <v/>
      </c>
      <c r="S238"/>
      <c r="T238" s="407"/>
      <c r="U238" s="406" t="str">
        <f t="shared" si="13"/>
        <v/>
      </c>
      <c r="V238" s="400"/>
      <c r="W238" s="408" t="str">
        <f t="shared" si="14"/>
        <v/>
      </c>
      <c r="X238" s="409" t="str">
        <f t="shared" si="15"/>
        <v/>
      </c>
    </row>
    <row r="239" spans="1:24" ht="16" x14ac:dyDescent="0.25">
      <c r="A239" s="399" t="str">
        <f>IF(B239="","",CONCATENATE("GBL",B239," - ",Mantenedor!E243))</f>
        <v/>
      </c>
      <c r="B239" s="400"/>
      <c r="C239" s="400"/>
      <c r="D239" s="400"/>
      <c r="E239" s="400"/>
      <c r="F239" s="400"/>
      <c r="G239" s="400"/>
      <c r="H239" s="400"/>
      <c r="I239" s="400"/>
      <c r="J239" s="401"/>
      <c r="K239" s="402"/>
      <c r="L239" s="403"/>
      <c r="M239" s="404"/>
      <c r="N239" s="400"/>
      <c r="O239" s="400"/>
      <c r="P239" s="399" t="str">
        <f t="shared" si="12"/>
        <v/>
      </c>
      <c r="Q239" s="405" t="str" cm="1">
        <f t="array" ref="Q239">+_xlfn.IFS(O239="Nacional","CLP",O239="Extranjero","USD",O239="","")</f>
        <v/>
      </c>
      <c r="R239" s="406" t="str">
        <f>IFERROR(IF(O239="Nacional",VLOOKUP(P239,PRICING!$D$4:$E$59,2,FALSE),VLOOKUP(P239,PRICING!$J$4:$K$59,2,FALSE)),"")</f>
        <v/>
      </c>
      <c r="S239"/>
      <c r="T239" s="407"/>
      <c r="U239" s="406" t="str">
        <f t="shared" si="13"/>
        <v/>
      </c>
      <c r="V239" s="400"/>
      <c r="W239" s="408" t="str">
        <f t="shared" si="14"/>
        <v/>
      </c>
      <c r="X239" s="409" t="str">
        <f t="shared" si="15"/>
        <v/>
      </c>
    </row>
    <row r="240" spans="1:24" ht="16" x14ac:dyDescent="0.25">
      <c r="A240" s="399" t="str">
        <f>IF(B240="","",CONCATENATE("GBL",B240," - ",Mantenedor!E244))</f>
        <v/>
      </c>
      <c r="B240" s="400"/>
      <c r="C240" s="400"/>
      <c r="D240" s="400"/>
      <c r="E240" s="400"/>
      <c r="F240" s="400"/>
      <c r="G240" s="400"/>
      <c r="H240" s="400"/>
      <c r="I240" s="400"/>
      <c r="J240" s="401"/>
      <c r="K240" s="402"/>
      <c r="L240" s="403"/>
      <c r="M240" s="404"/>
      <c r="N240" s="400"/>
      <c r="O240" s="400"/>
      <c r="P240" s="399" t="str">
        <f t="shared" si="12"/>
        <v/>
      </c>
      <c r="Q240" s="405" t="str" cm="1">
        <f t="array" ref="Q240">+_xlfn.IFS(O240="Nacional","CLP",O240="Extranjero","USD",O240="","")</f>
        <v/>
      </c>
      <c r="R240" s="406" t="str">
        <f>IFERROR(IF(O240="Nacional",VLOOKUP(P240,PRICING!$D$4:$E$59,2,FALSE),VLOOKUP(P240,PRICING!$J$4:$K$59,2,FALSE)),"")</f>
        <v/>
      </c>
      <c r="S240"/>
      <c r="T240" s="407"/>
      <c r="U240" s="406" t="str">
        <f t="shared" si="13"/>
        <v/>
      </c>
      <c r="V240" s="400"/>
      <c r="W240" s="408" t="str">
        <f t="shared" si="14"/>
        <v/>
      </c>
      <c r="X240" s="409" t="str">
        <f t="shared" si="15"/>
        <v/>
      </c>
    </row>
    <row r="241" spans="1:24" ht="16" x14ac:dyDescent="0.25">
      <c r="A241" s="399" t="str">
        <f>IF(B241="","",CONCATENATE("GBL",B241," - ",Mantenedor!E245))</f>
        <v/>
      </c>
      <c r="B241" s="400"/>
      <c r="C241" s="400"/>
      <c r="D241" s="400"/>
      <c r="E241" s="400"/>
      <c r="F241" s="400"/>
      <c r="G241" s="400"/>
      <c r="H241" s="400"/>
      <c r="I241" s="400"/>
      <c r="J241" s="401"/>
      <c r="K241" s="402"/>
      <c r="L241" s="403"/>
      <c r="M241" s="404"/>
      <c r="N241" s="400"/>
      <c r="O241" s="400"/>
      <c r="P241" s="399" t="str">
        <f t="shared" si="12"/>
        <v/>
      </c>
      <c r="Q241" s="405" t="str" cm="1">
        <f t="array" ref="Q241">+_xlfn.IFS(O241="Nacional","CLP",O241="Extranjero","USD",O241="","")</f>
        <v/>
      </c>
      <c r="R241" s="406" t="str">
        <f>IFERROR(IF(O241="Nacional",VLOOKUP(P241,PRICING!$D$4:$E$59,2,FALSE),VLOOKUP(P241,PRICING!$J$4:$K$59,2,FALSE)),"")</f>
        <v/>
      </c>
      <c r="S241"/>
      <c r="T241" s="407"/>
      <c r="U241" s="406" t="str">
        <f t="shared" si="13"/>
        <v/>
      </c>
      <c r="V241" s="400"/>
      <c r="W241" s="408" t="str">
        <f t="shared" si="14"/>
        <v/>
      </c>
      <c r="X241" s="409" t="str">
        <f t="shared" si="15"/>
        <v/>
      </c>
    </row>
    <row r="242" spans="1:24" ht="16" x14ac:dyDescent="0.25">
      <c r="A242" s="399" t="str">
        <f>IF(B242="","",CONCATENATE("GBL",B242," - ",Mantenedor!E246))</f>
        <v/>
      </c>
      <c r="B242" s="400"/>
      <c r="C242" s="400"/>
      <c r="D242" s="400"/>
      <c r="E242" s="400"/>
      <c r="F242" s="400"/>
      <c r="G242" s="400"/>
      <c r="H242" s="400"/>
      <c r="I242" s="400"/>
      <c r="J242" s="401"/>
      <c r="K242" s="402"/>
      <c r="L242" s="403"/>
      <c r="M242" s="404"/>
      <c r="N242" s="400"/>
      <c r="O242" s="400"/>
      <c r="P242" s="399" t="str">
        <f t="shared" si="12"/>
        <v/>
      </c>
      <c r="Q242" s="405" t="str" cm="1">
        <f t="array" ref="Q242">+_xlfn.IFS(O242="Nacional","CLP",O242="Extranjero","USD",O242="","")</f>
        <v/>
      </c>
      <c r="R242" s="406" t="str">
        <f>IFERROR(IF(O242="Nacional",VLOOKUP(P242,PRICING!$D$4:$E$59,2,FALSE),VLOOKUP(P242,PRICING!$J$4:$K$59,2,FALSE)),"")</f>
        <v/>
      </c>
      <c r="S242"/>
      <c r="T242" s="407"/>
      <c r="U242" s="406" t="str">
        <f t="shared" si="13"/>
        <v/>
      </c>
      <c r="V242" s="400"/>
      <c r="W242" s="408" t="str">
        <f t="shared" si="14"/>
        <v/>
      </c>
      <c r="X242" s="409" t="str">
        <f t="shared" si="15"/>
        <v/>
      </c>
    </row>
    <row r="243" spans="1:24" ht="16" x14ac:dyDescent="0.25">
      <c r="A243" s="399" t="str">
        <f>IF(B243="","",CONCATENATE("GBL",B243," - ",Mantenedor!E247))</f>
        <v/>
      </c>
      <c r="B243" s="400"/>
      <c r="C243" s="400"/>
      <c r="D243" s="400"/>
      <c r="E243" s="400"/>
      <c r="F243" s="400"/>
      <c r="G243" s="400"/>
      <c r="H243" s="400"/>
      <c r="I243" s="400"/>
      <c r="J243" s="401"/>
      <c r="K243" s="402"/>
      <c r="L243" s="403"/>
      <c r="M243" s="404"/>
      <c r="N243" s="400"/>
      <c r="O243" s="400"/>
      <c r="P243" s="399" t="str">
        <f t="shared" si="12"/>
        <v/>
      </c>
      <c r="Q243" s="405" t="str" cm="1">
        <f t="array" ref="Q243">+_xlfn.IFS(O243="Nacional","CLP",O243="Extranjero","USD",O243="","")</f>
        <v/>
      </c>
      <c r="R243" s="406" t="str">
        <f>IFERROR(IF(O243="Nacional",VLOOKUP(P243,PRICING!$D$4:$E$59,2,FALSE),VLOOKUP(P243,PRICING!$J$4:$K$59,2,FALSE)),"")</f>
        <v/>
      </c>
      <c r="S243"/>
      <c r="T243" s="407"/>
      <c r="U243" s="406" t="str">
        <f t="shared" si="13"/>
        <v/>
      </c>
      <c r="V243" s="400"/>
      <c r="W243" s="408" t="str">
        <f t="shared" si="14"/>
        <v/>
      </c>
      <c r="X243" s="409" t="str">
        <f t="shared" si="15"/>
        <v/>
      </c>
    </row>
    <row r="244" spans="1:24" ht="16" x14ac:dyDescent="0.25">
      <c r="A244" s="399" t="str">
        <f>IF(B244="","",CONCATENATE("GBL",B244," - ",Mantenedor!E248))</f>
        <v/>
      </c>
      <c r="B244" s="400"/>
      <c r="C244" s="400"/>
      <c r="D244" s="400"/>
      <c r="E244" s="400"/>
      <c r="F244" s="400"/>
      <c r="G244" s="400"/>
      <c r="H244" s="400"/>
      <c r="I244" s="400"/>
      <c r="J244" s="401"/>
      <c r="K244" s="402"/>
      <c r="L244" s="403"/>
      <c r="M244" s="404"/>
      <c r="N244" s="400"/>
      <c r="O244" s="400"/>
      <c r="P244" s="399" t="str">
        <f t="shared" si="12"/>
        <v/>
      </c>
      <c r="Q244" s="405" t="str" cm="1">
        <f t="array" ref="Q244">+_xlfn.IFS(O244="Nacional","CLP",O244="Extranjero","USD",O244="","")</f>
        <v/>
      </c>
      <c r="R244" s="406" t="str">
        <f>IFERROR(IF(O244="Nacional",VLOOKUP(P244,PRICING!$D$4:$E$59,2,FALSE),VLOOKUP(P244,PRICING!$J$4:$K$59,2,FALSE)),"")</f>
        <v/>
      </c>
      <c r="S244"/>
      <c r="T244" s="407"/>
      <c r="U244" s="406" t="str">
        <f t="shared" si="13"/>
        <v/>
      </c>
      <c r="V244" s="400"/>
      <c r="W244" s="408" t="str">
        <f t="shared" si="14"/>
        <v/>
      </c>
      <c r="X244" s="409" t="str">
        <f t="shared" si="15"/>
        <v/>
      </c>
    </row>
    <row r="245" spans="1:24" ht="16" x14ac:dyDescent="0.25">
      <c r="A245" s="399" t="str">
        <f>IF(B245="","",CONCATENATE("GBL",B245," - ",Mantenedor!E249))</f>
        <v/>
      </c>
      <c r="B245" s="400"/>
      <c r="C245" s="400"/>
      <c r="D245" s="400"/>
      <c r="E245" s="400"/>
      <c r="F245" s="400"/>
      <c r="G245" s="400"/>
      <c r="H245" s="400"/>
      <c r="I245" s="400"/>
      <c r="J245" s="401"/>
      <c r="K245" s="402"/>
      <c r="L245" s="403"/>
      <c r="M245" s="404"/>
      <c r="N245" s="400"/>
      <c r="O245" s="400"/>
      <c r="P245" s="399" t="str">
        <f t="shared" si="12"/>
        <v/>
      </c>
      <c r="Q245" s="405" t="str" cm="1">
        <f t="array" ref="Q245">+_xlfn.IFS(O245="Nacional","CLP",O245="Extranjero","USD",O245="","")</f>
        <v/>
      </c>
      <c r="R245" s="406" t="str">
        <f>IFERROR(IF(O245="Nacional",VLOOKUP(P245,PRICING!$D$4:$E$59,2,FALSE),VLOOKUP(P245,PRICING!$J$4:$K$59,2,FALSE)),"")</f>
        <v/>
      </c>
      <c r="S245"/>
      <c r="T245" s="407"/>
      <c r="U245" s="406" t="str">
        <f t="shared" si="13"/>
        <v/>
      </c>
      <c r="V245" s="400"/>
      <c r="W245" s="408" t="str">
        <f t="shared" si="14"/>
        <v/>
      </c>
      <c r="X245" s="409" t="str">
        <f t="shared" si="15"/>
        <v/>
      </c>
    </row>
    <row r="246" spans="1:24" ht="16" x14ac:dyDescent="0.25">
      <c r="A246" s="399" t="str">
        <f>IF(B246="","",CONCATENATE("GBL",B246," - ",Mantenedor!E250))</f>
        <v/>
      </c>
      <c r="B246" s="400"/>
      <c r="C246" s="400"/>
      <c r="D246" s="400"/>
      <c r="E246" s="400"/>
      <c r="F246" s="400"/>
      <c r="G246" s="400"/>
      <c r="H246" s="400"/>
      <c r="I246" s="400"/>
      <c r="J246" s="401"/>
      <c r="K246" s="402"/>
      <c r="L246" s="403"/>
      <c r="M246" s="404"/>
      <c r="N246" s="400"/>
      <c r="O246" s="400"/>
      <c r="P246" s="399" t="str">
        <f t="shared" si="12"/>
        <v/>
      </c>
      <c r="Q246" s="405" t="str" cm="1">
        <f t="array" ref="Q246">+_xlfn.IFS(O246="Nacional","CLP",O246="Extranjero","USD",O246="","")</f>
        <v/>
      </c>
      <c r="R246" s="406" t="str">
        <f>IFERROR(IF(O246="Nacional",VLOOKUP(P246,PRICING!$D$4:$E$59,2,FALSE),VLOOKUP(P246,PRICING!$J$4:$K$59,2,FALSE)),"")</f>
        <v/>
      </c>
      <c r="S246"/>
      <c r="T246" s="407"/>
      <c r="U246" s="406" t="str">
        <f t="shared" si="13"/>
        <v/>
      </c>
      <c r="V246" s="400"/>
      <c r="W246" s="408" t="str">
        <f t="shared" si="14"/>
        <v/>
      </c>
      <c r="X246" s="409" t="str">
        <f t="shared" si="15"/>
        <v/>
      </c>
    </row>
    <row r="247" spans="1:24" ht="16" x14ac:dyDescent="0.25">
      <c r="A247" s="399" t="str">
        <f>IF(B247="","",CONCATENATE("GBL",B247," - ",Mantenedor!E251))</f>
        <v/>
      </c>
      <c r="B247" s="400"/>
      <c r="C247" s="400"/>
      <c r="D247" s="400"/>
      <c r="E247" s="400"/>
      <c r="F247" s="400"/>
      <c r="G247" s="400"/>
      <c r="H247" s="400"/>
      <c r="I247" s="400"/>
      <c r="J247" s="401"/>
      <c r="K247" s="402"/>
      <c r="L247" s="403"/>
      <c r="M247" s="404"/>
      <c r="N247" s="400"/>
      <c r="O247" s="400"/>
      <c r="P247" s="399" t="str">
        <f t="shared" si="12"/>
        <v/>
      </c>
      <c r="Q247" s="405" t="str" cm="1">
        <f t="array" ref="Q247">+_xlfn.IFS(O247="Nacional","CLP",O247="Extranjero","USD",O247="","")</f>
        <v/>
      </c>
      <c r="R247" s="406" t="str">
        <f>IFERROR(IF(O247="Nacional",VLOOKUP(P247,PRICING!$D$4:$E$59,2,FALSE),VLOOKUP(P247,PRICING!$J$4:$K$59,2,FALSE)),"")</f>
        <v/>
      </c>
      <c r="S247"/>
      <c r="T247" s="407"/>
      <c r="U247" s="406" t="str">
        <f t="shared" si="13"/>
        <v/>
      </c>
      <c r="V247" s="400"/>
      <c r="W247" s="408" t="str">
        <f t="shared" si="14"/>
        <v/>
      </c>
      <c r="X247" s="409" t="str">
        <f t="shared" si="15"/>
        <v/>
      </c>
    </row>
    <row r="248" spans="1:24" ht="16" x14ac:dyDescent="0.25">
      <c r="A248" s="399" t="str">
        <f>IF(B248="","",CONCATENATE("GBL",B248," - ",Mantenedor!E252))</f>
        <v/>
      </c>
      <c r="B248" s="400"/>
      <c r="C248" s="400"/>
      <c r="D248" s="400"/>
      <c r="E248" s="400"/>
      <c r="F248" s="400"/>
      <c r="G248" s="400"/>
      <c r="H248" s="400"/>
      <c r="I248" s="400"/>
      <c r="J248" s="401"/>
      <c r="K248" s="402"/>
      <c r="L248" s="403"/>
      <c r="M248" s="404"/>
      <c r="N248" s="400"/>
      <c r="O248" s="400"/>
      <c r="P248" s="399" t="str">
        <f t="shared" si="12"/>
        <v/>
      </c>
      <c r="Q248" s="405" t="str" cm="1">
        <f t="array" ref="Q248">+_xlfn.IFS(O248="Nacional","CLP",O248="Extranjero","USD",O248="","")</f>
        <v/>
      </c>
      <c r="R248" s="406" t="str">
        <f>IFERROR(IF(O248="Nacional",VLOOKUP(P248,PRICING!$D$4:$E$59,2,FALSE),VLOOKUP(P248,PRICING!$J$4:$K$59,2,FALSE)),"")</f>
        <v/>
      </c>
      <c r="S248"/>
      <c r="T248" s="407"/>
      <c r="U248" s="406" t="str">
        <f t="shared" si="13"/>
        <v/>
      </c>
      <c r="V248" s="400"/>
      <c r="W248" s="408" t="str">
        <f t="shared" si="14"/>
        <v/>
      </c>
      <c r="X248" s="409" t="str">
        <f t="shared" si="15"/>
        <v/>
      </c>
    </row>
    <row r="249" spans="1:24" ht="16" x14ac:dyDescent="0.25">
      <c r="A249" s="399" t="str">
        <f>IF(B249="","",CONCATENATE("GBL",B249," - ",Mantenedor!E253))</f>
        <v/>
      </c>
      <c r="B249" s="400"/>
      <c r="C249" s="400"/>
      <c r="D249" s="400"/>
      <c r="E249" s="400"/>
      <c r="F249" s="400"/>
      <c r="G249" s="400"/>
      <c r="H249" s="400"/>
      <c r="I249" s="400"/>
      <c r="J249" s="401"/>
      <c r="K249" s="402"/>
      <c r="L249" s="403"/>
      <c r="M249" s="404"/>
      <c r="N249" s="400"/>
      <c r="O249" s="400"/>
      <c r="P249" s="399" t="str">
        <f t="shared" si="12"/>
        <v/>
      </c>
      <c r="Q249" s="405" t="str" cm="1">
        <f t="array" ref="Q249">+_xlfn.IFS(O249="Nacional","CLP",O249="Extranjero","USD",O249="","")</f>
        <v/>
      </c>
      <c r="R249" s="406" t="str">
        <f>IFERROR(IF(O249="Nacional",VLOOKUP(P249,PRICING!$D$4:$E$59,2,FALSE),VLOOKUP(P249,PRICING!$J$4:$K$59,2,FALSE)),"")</f>
        <v/>
      </c>
      <c r="S249"/>
      <c r="T249" s="407"/>
      <c r="U249" s="406" t="str">
        <f t="shared" si="13"/>
        <v/>
      </c>
      <c r="V249" s="400"/>
      <c r="W249" s="408" t="str">
        <f t="shared" si="14"/>
        <v/>
      </c>
      <c r="X249" s="409" t="str">
        <f t="shared" si="15"/>
        <v/>
      </c>
    </row>
    <row r="250" spans="1:24" ht="16" x14ac:dyDescent="0.25">
      <c r="A250" s="399" t="str">
        <f>IF(B250="","",CONCATENATE("GBL",B250," - ",Mantenedor!E254))</f>
        <v/>
      </c>
      <c r="J250" s="413"/>
      <c r="K250" s="414"/>
      <c r="M250" s="416"/>
      <c r="P250" s="399" t="str">
        <f t="shared" si="12"/>
        <v/>
      </c>
      <c r="Q250" s="405" t="str" cm="1">
        <f t="array" ref="Q250">+_xlfn.IFS(O250="Nacional","CLP",O250="Extranjero","USD",O250="","")</f>
        <v/>
      </c>
      <c r="R250" s="406" t="str">
        <f>IFERROR(IF(O250="Nacional",VLOOKUP(P250,PRICING!$D$4:$E$59,2,FALSE),VLOOKUP(P250,PRICING!$J$4:$K$59,2,FALSE)),"")</f>
        <v/>
      </c>
      <c r="S250"/>
      <c r="U250" s="406" t="str">
        <f t="shared" si="13"/>
        <v/>
      </c>
      <c r="W250" s="408" t="str">
        <f t="shared" si="14"/>
        <v/>
      </c>
      <c r="X250" s="409" t="str">
        <f t="shared" si="15"/>
        <v/>
      </c>
    </row>
    <row r="251" spans="1:24" ht="16" x14ac:dyDescent="0.25">
      <c r="A251" s="399" t="str">
        <f>IF(B251="","",CONCATENATE("GBL",B251," - ",Mantenedor!E255))</f>
        <v/>
      </c>
      <c r="J251" s="413"/>
      <c r="K251" s="414"/>
      <c r="M251" s="416"/>
      <c r="P251" s="399" t="str">
        <f t="shared" si="12"/>
        <v/>
      </c>
      <c r="Q251" s="405" t="str" cm="1">
        <f t="array" ref="Q251">+_xlfn.IFS(O251="Nacional","CLP",O251="Extranjero","USD",O251="","")</f>
        <v/>
      </c>
      <c r="R251" s="406" t="str">
        <f>IFERROR(IF(O251="Nacional",VLOOKUP(P251,PRICING!$D$4:$E$59,2,FALSE),VLOOKUP(P251,PRICING!$J$4:$K$59,2,FALSE)),"")</f>
        <v/>
      </c>
      <c r="S251"/>
      <c r="U251" s="406" t="str">
        <f t="shared" si="13"/>
        <v/>
      </c>
      <c r="W251" s="408" t="str">
        <f t="shared" si="14"/>
        <v/>
      </c>
      <c r="X251" s="409" t="str">
        <f t="shared" si="15"/>
        <v/>
      </c>
    </row>
    <row r="252" spans="1:24" ht="16" x14ac:dyDescent="0.25">
      <c r="A252" s="399" t="str">
        <f>IF(B252="","",CONCATENATE("GBL",B252," - ",Mantenedor!E256))</f>
        <v/>
      </c>
      <c r="J252" s="413"/>
      <c r="K252" s="414"/>
      <c r="M252" s="416"/>
      <c r="P252" s="399" t="str">
        <f t="shared" si="12"/>
        <v/>
      </c>
      <c r="Q252" s="405" t="str" cm="1">
        <f t="array" ref="Q252">+_xlfn.IFS(O252="Nacional","CLP",O252="Extranjero","USD",O252="","")</f>
        <v/>
      </c>
      <c r="R252" s="406" t="str">
        <f>IFERROR(IF(O252="Nacional",VLOOKUP(P252,PRICING!$D$4:$E$59,2,FALSE),VLOOKUP(P252,PRICING!$J$4:$K$59,2,FALSE)),"")</f>
        <v/>
      </c>
      <c r="S252"/>
      <c r="U252" s="406" t="str">
        <f t="shared" si="13"/>
        <v/>
      </c>
      <c r="W252" s="408" t="str">
        <f t="shared" si="14"/>
        <v/>
      </c>
      <c r="X252" s="409" t="str">
        <f t="shared" si="15"/>
        <v/>
      </c>
    </row>
    <row r="253" spans="1:24" ht="16" x14ac:dyDescent="0.25">
      <c r="A253" s="399" t="str">
        <f>IF(B253="","",CONCATENATE("GBL",B253," - ",Mantenedor!E257))</f>
        <v/>
      </c>
      <c r="J253" s="413"/>
      <c r="K253" s="414"/>
      <c r="M253" s="416"/>
      <c r="P253" s="399" t="str">
        <f t="shared" si="12"/>
        <v/>
      </c>
      <c r="Q253" s="405" t="str" cm="1">
        <f t="array" ref="Q253">+_xlfn.IFS(O253="Nacional","CLP",O253="Extranjero","USD",O253="","")</f>
        <v/>
      </c>
      <c r="R253" s="406" t="str">
        <f>IFERROR(IF(O253="Nacional",VLOOKUP(P253,PRICING!$D$4:$E$59,2,FALSE),VLOOKUP(P253,PRICING!$J$4:$K$59,2,FALSE)),"")</f>
        <v/>
      </c>
      <c r="S253"/>
      <c r="U253" s="406" t="str">
        <f t="shared" si="13"/>
        <v/>
      </c>
      <c r="W253" s="408" t="str">
        <f t="shared" si="14"/>
        <v/>
      </c>
      <c r="X253" s="409" t="str">
        <f t="shared" si="15"/>
        <v/>
      </c>
    </row>
    <row r="254" spans="1:24" ht="16" x14ac:dyDescent="0.25">
      <c r="A254" s="399" t="str">
        <f>IF(B254="","",CONCATENATE("GBL",B254," - ",Mantenedor!E258))</f>
        <v/>
      </c>
      <c r="J254" s="413"/>
      <c r="K254" s="414"/>
      <c r="M254" s="416"/>
      <c r="P254" s="399" t="str">
        <f t="shared" si="12"/>
        <v/>
      </c>
      <c r="Q254" s="405" t="str" cm="1">
        <f t="array" ref="Q254">+_xlfn.IFS(O254="Nacional","CLP",O254="Extranjero","USD",O254="","")</f>
        <v/>
      </c>
      <c r="R254" s="406" t="str">
        <f>IFERROR(IF(O254="Nacional",VLOOKUP(P254,PRICING!$D$4:$E$59,2,FALSE),VLOOKUP(P254,PRICING!$J$4:$K$59,2,FALSE)),"")</f>
        <v/>
      </c>
      <c r="S254"/>
      <c r="U254" s="406" t="str">
        <f t="shared" si="13"/>
        <v/>
      </c>
      <c r="W254" s="408" t="str">
        <f t="shared" si="14"/>
        <v/>
      </c>
      <c r="X254" s="409" t="str">
        <f t="shared" si="15"/>
        <v/>
      </c>
    </row>
    <row r="255" spans="1:24" ht="16" x14ac:dyDescent="0.25">
      <c r="A255" s="399" t="str">
        <f>IF(B255="","",CONCATENATE("GBL",B255," - ",Mantenedor!E259))</f>
        <v/>
      </c>
      <c r="J255" s="413"/>
      <c r="K255" s="414"/>
      <c r="M255" s="416"/>
      <c r="P255" s="399" t="str">
        <f t="shared" ref="P255:P318" si="16">IF(N255="","",(IF(L255=1,(CONCATENATE("Base ",N255," ",L255," noche")),(CONCATENATE("Base ",N255," ",L255," noches")))))</f>
        <v/>
      </c>
      <c r="Q255" s="405" t="str" cm="1">
        <f t="array" ref="Q255">+_xlfn.IFS(O255="Nacional","CLP",O255="Extranjero","USD",O255="","")</f>
        <v/>
      </c>
      <c r="R255" s="406" t="str">
        <f>IFERROR(IF(O255="Nacional",VLOOKUP(P255,PRICING!$D$4:$E$59,2,FALSE),VLOOKUP(P255,PRICING!$J$4:$K$59,2,FALSE)),"")</f>
        <v/>
      </c>
      <c r="S255"/>
      <c r="U255" s="406" t="str">
        <f t="shared" ref="U255:U318" si="17">IFERROR(+R255*(1-S255),"")</f>
        <v/>
      </c>
      <c r="W255" s="408" t="str">
        <f t="shared" ref="W255:W318" si="18">+IF(U255="","","50"%)</f>
        <v/>
      </c>
      <c r="X255" s="409" t="str">
        <f t="shared" si="15"/>
        <v/>
      </c>
    </row>
    <row r="256" spans="1:24" ht="16" x14ac:dyDescent="0.25">
      <c r="A256" s="399" t="str">
        <f>IF(B256="","",CONCATENATE("GBL",B256," - ",Mantenedor!E260))</f>
        <v/>
      </c>
      <c r="J256" s="413"/>
      <c r="K256" s="414"/>
      <c r="M256" s="416"/>
      <c r="P256" s="399" t="str">
        <f t="shared" si="16"/>
        <v/>
      </c>
      <c r="Q256" s="405" t="str" cm="1">
        <f t="array" ref="Q256">+_xlfn.IFS(O256="Nacional","CLP",O256="Extranjero","USD",O256="","")</f>
        <v/>
      </c>
      <c r="R256" s="406" t="str">
        <f>IFERROR(IF(O256="Nacional",VLOOKUP(P256,PRICING!$D$4:$E$59,2,FALSE),VLOOKUP(P256,PRICING!$J$4:$K$59,2,FALSE)),"")</f>
        <v/>
      </c>
      <c r="S256"/>
      <c r="U256" s="406" t="str">
        <f t="shared" si="17"/>
        <v/>
      </c>
      <c r="W256" s="408" t="str">
        <f t="shared" si="18"/>
        <v/>
      </c>
      <c r="X256" s="409" t="str">
        <f t="shared" ref="X256:X319" si="19">+IF(W256="","",(1-W256))</f>
        <v/>
      </c>
    </row>
    <row r="257" spans="1:24" ht="16" x14ac:dyDescent="0.25">
      <c r="A257" s="399" t="str">
        <f>IF(B257="","",CONCATENATE("GBL",B257," - ",Mantenedor!E261))</f>
        <v/>
      </c>
      <c r="J257" s="413"/>
      <c r="K257" s="414"/>
      <c r="M257" s="416"/>
      <c r="P257" s="399" t="str">
        <f t="shared" si="16"/>
        <v/>
      </c>
      <c r="Q257" s="405" t="str" cm="1">
        <f t="array" ref="Q257">+_xlfn.IFS(O257="Nacional","CLP",O257="Extranjero","USD",O257="","")</f>
        <v/>
      </c>
      <c r="R257" s="406" t="str">
        <f>IFERROR(IF(O257="Nacional",VLOOKUP(P257,PRICING!$D$4:$E$59,2,FALSE),VLOOKUP(P257,PRICING!$J$4:$K$59,2,FALSE)),"")</f>
        <v/>
      </c>
      <c r="S257"/>
      <c r="U257" s="406" t="str">
        <f t="shared" si="17"/>
        <v/>
      </c>
      <c r="W257" s="408" t="str">
        <f t="shared" si="18"/>
        <v/>
      </c>
      <c r="X257" s="409" t="str">
        <f t="shared" si="19"/>
        <v/>
      </c>
    </row>
    <row r="258" spans="1:24" ht="16" x14ac:dyDescent="0.25">
      <c r="A258" s="399" t="str">
        <f>IF(B258="","",CONCATENATE("GBL",B258," - ",Mantenedor!E262))</f>
        <v/>
      </c>
      <c r="J258" s="413"/>
      <c r="K258" s="414"/>
      <c r="M258" s="416"/>
      <c r="P258" s="399" t="str">
        <f t="shared" si="16"/>
        <v/>
      </c>
      <c r="Q258" s="405" t="str" cm="1">
        <f t="array" ref="Q258">+_xlfn.IFS(O258="Nacional","CLP",O258="Extranjero","USD",O258="","")</f>
        <v/>
      </c>
      <c r="R258" s="406" t="str">
        <f>IFERROR(IF(O258="Nacional",VLOOKUP(P258,PRICING!$D$4:$E$59,2,FALSE),VLOOKUP(P258,PRICING!$J$4:$K$59,2,FALSE)),"")</f>
        <v/>
      </c>
      <c r="S258"/>
      <c r="U258" s="406" t="str">
        <f t="shared" si="17"/>
        <v/>
      </c>
      <c r="W258" s="408" t="str">
        <f t="shared" si="18"/>
        <v/>
      </c>
      <c r="X258" s="409" t="str">
        <f t="shared" si="19"/>
        <v/>
      </c>
    </row>
    <row r="259" spans="1:24" ht="16" x14ac:dyDescent="0.25">
      <c r="A259" s="399" t="str">
        <f>IF(B259="","",CONCATENATE("GBL",B259," - ",Mantenedor!E263))</f>
        <v/>
      </c>
      <c r="J259" s="413"/>
      <c r="K259" s="414"/>
      <c r="M259" s="416"/>
      <c r="P259" s="399" t="str">
        <f t="shared" si="16"/>
        <v/>
      </c>
      <c r="Q259" s="405" t="str" cm="1">
        <f t="array" ref="Q259">+_xlfn.IFS(O259="Nacional","CLP",O259="Extranjero","USD",O259="","")</f>
        <v/>
      </c>
      <c r="R259" s="406" t="str">
        <f>IFERROR(IF(O259="Nacional",VLOOKUP(P259,PRICING!$D$4:$E$59,2,FALSE),VLOOKUP(P259,PRICING!$J$4:$K$59,2,FALSE)),"")</f>
        <v/>
      </c>
      <c r="S259"/>
      <c r="U259" s="406" t="str">
        <f t="shared" si="17"/>
        <v/>
      </c>
      <c r="W259" s="408" t="str">
        <f t="shared" si="18"/>
        <v/>
      </c>
      <c r="X259" s="409" t="str">
        <f t="shared" si="19"/>
        <v/>
      </c>
    </row>
    <row r="260" spans="1:24" ht="16" x14ac:dyDescent="0.25">
      <c r="A260" s="399" t="str">
        <f>IF(B260="","",CONCATENATE("GBL",B260," - ",Mantenedor!E264))</f>
        <v/>
      </c>
      <c r="J260" s="413"/>
      <c r="K260" s="414"/>
      <c r="M260" s="416"/>
      <c r="P260" s="399" t="str">
        <f t="shared" si="16"/>
        <v/>
      </c>
      <c r="Q260" s="405" t="str" cm="1">
        <f t="array" ref="Q260">+_xlfn.IFS(O260="Nacional","CLP",O260="Extranjero","USD",O260="","")</f>
        <v/>
      </c>
      <c r="R260" s="406" t="str">
        <f>IFERROR(IF(O260="Nacional",VLOOKUP(P260,PRICING!$D$4:$E$59,2,FALSE),VLOOKUP(P260,PRICING!$J$4:$K$59,2,FALSE)),"")</f>
        <v/>
      </c>
      <c r="S260"/>
      <c r="U260" s="406" t="str">
        <f t="shared" si="17"/>
        <v/>
      </c>
      <c r="W260" s="408" t="str">
        <f t="shared" si="18"/>
        <v/>
      </c>
      <c r="X260" s="409" t="str">
        <f t="shared" si="19"/>
        <v/>
      </c>
    </row>
    <row r="261" spans="1:24" ht="16" x14ac:dyDescent="0.25">
      <c r="A261" s="399" t="str">
        <f>IF(B261="","",CONCATENATE("GBL",B261," - ",Mantenedor!E265))</f>
        <v/>
      </c>
      <c r="J261" s="413"/>
      <c r="K261" s="414"/>
      <c r="M261" s="416"/>
      <c r="P261" s="399" t="str">
        <f t="shared" si="16"/>
        <v/>
      </c>
      <c r="Q261" s="405" t="str" cm="1">
        <f t="array" ref="Q261">+_xlfn.IFS(O261="Nacional","CLP",O261="Extranjero","USD",O261="","")</f>
        <v/>
      </c>
      <c r="R261" s="406" t="str">
        <f>IFERROR(IF(O261="Nacional",VLOOKUP(P261,PRICING!$D$4:$E$59,2,FALSE),VLOOKUP(P261,PRICING!$J$4:$K$59,2,FALSE)),"")</f>
        <v/>
      </c>
      <c r="S261"/>
      <c r="U261" s="406" t="str">
        <f t="shared" si="17"/>
        <v/>
      </c>
      <c r="W261" s="408" t="str">
        <f t="shared" si="18"/>
        <v/>
      </c>
      <c r="X261" s="409" t="str">
        <f t="shared" si="19"/>
        <v/>
      </c>
    </row>
    <row r="262" spans="1:24" ht="16" x14ac:dyDescent="0.25">
      <c r="A262" s="399" t="str">
        <f>IF(B262="","",CONCATENATE("GBL",B262," - ",Mantenedor!E266))</f>
        <v/>
      </c>
      <c r="J262" s="413"/>
      <c r="K262" s="414"/>
      <c r="M262" s="416"/>
      <c r="P262" s="399" t="str">
        <f t="shared" si="16"/>
        <v/>
      </c>
      <c r="Q262" s="405" t="str" cm="1">
        <f t="array" ref="Q262">+_xlfn.IFS(O262="Nacional","CLP",O262="Extranjero","USD",O262="","")</f>
        <v/>
      </c>
      <c r="R262" s="406" t="str">
        <f>IFERROR(IF(O262="Nacional",VLOOKUP(P262,PRICING!$D$4:$E$59,2,FALSE),VLOOKUP(P262,PRICING!$J$4:$K$59,2,FALSE)),"")</f>
        <v/>
      </c>
      <c r="S262"/>
      <c r="U262" s="406" t="str">
        <f t="shared" si="17"/>
        <v/>
      </c>
      <c r="W262" s="408" t="str">
        <f t="shared" si="18"/>
        <v/>
      </c>
      <c r="X262" s="409" t="str">
        <f t="shared" si="19"/>
        <v/>
      </c>
    </row>
    <row r="263" spans="1:24" ht="16" x14ac:dyDescent="0.25">
      <c r="A263" s="399" t="str">
        <f>IF(B263="","",CONCATENATE("GBL",B263," - ",Mantenedor!E267))</f>
        <v/>
      </c>
      <c r="J263" s="413"/>
      <c r="K263" s="414"/>
      <c r="M263" s="416"/>
      <c r="P263" s="399" t="str">
        <f t="shared" si="16"/>
        <v/>
      </c>
      <c r="Q263" s="405" t="str" cm="1">
        <f t="array" ref="Q263">+_xlfn.IFS(O263="Nacional","CLP",O263="Extranjero","USD",O263="","")</f>
        <v/>
      </c>
      <c r="R263" s="406" t="str">
        <f>IFERROR(IF(O263="Nacional",VLOOKUP(P263,PRICING!$D$4:$E$59,2,FALSE),VLOOKUP(P263,PRICING!$J$4:$K$59,2,FALSE)),"")</f>
        <v/>
      </c>
      <c r="S263"/>
      <c r="U263" s="406" t="str">
        <f t="shared" si="17"/>
        <v/>
      </c>
      <c r="W263" s="408" t="str">
        <f t="shared" si="18"/>
        <v/>
      </c>
      <c r="X263" s="409" t="str">
        <f t="shared" si="19"/>
        <v/>
      </c>
    </row>
    <row r="264" spans="1:24" ht="16" x14ac:dyDescent="0.25">
      <c r="A264" s="399" t="str">
        <f>IF(B264="","",CONCATENATE("GBL",B264," - ",Mantenedor!E268))</f>
        <v/>
      </c>
      <c r="J264" s="413"/>
      <c r="K264" s="414"/>
      <c r="M264" s="416"/>
      <c r="P264" s="399" t="str">
        <f t="shared" si="16"/>
        <v/>
      </c>
      <c r="Q264" s="405" t="str" cm="1">
        <f t="array" ref="Q264">+_xlfn.IFS(O264="Nacional","CLP",O264="Extranjero","USD",O264="","")</f>
        <v/>
      </c>
      <c r="R264" s="406" t="str">
        <f>IFERROR(IF(O264="Nacional",VLOOKUP(P264,PRICING!$D$4:$E$59,2,FALSE),VLOOKUP(P264,PRICING!$J$4:$K$59,2,FALSE)),"")</f>
        <v/>
      </c>
      <c r="S264"/>
      <c r="U264" s="406" t="str">
        <f t="shared" si="17"/>
        <v/>
      </c>
      <c r="W264" s="408" t="str">
        <f t="shared" si="18"/>
        <v/>
      </c>
      <c r="X264" s="409" t="str">
        <f t="shared" si="19"/>
        <v/>
      </c>
    </row>
    <row r="265" spans="1:24" ht="16" x14ac:dyDescent="0.25">
      <c r="A265" s="399" t="str">
        <f>IF(B265="","",CONCATENATE("GBL",B265," - ",Mantenedor!E269))</f>
        <v/>
      </c>
      <c r="J265" s="413"/>
      <c r="K265" s="414"/>
      <c r="M265" s="416"/>
      <c r="P265" s="399" t="str">
        <f t="shared" si="16"/>
        <v/>
      </c>
      <c r="Q265" s="405" t="str" cm="1">
        <f t="array" ref="Q265">+_xlfn.IFS(O265="Nacional","CLP",O265="Extranjero","USD",O265="","")</f>
        <v/>
      </c>
      <c r="R265" s="406" t="str">
        <f>IFERROR(IF(O265="Nacional",VLOOKUP(P265,PRICING!$D$4:$E$59,2,FALSE),VLOOKUP(P265,PRICING!$J$4:$K$59,2,FALSE)),"")</f>
        <v/>
      </c>
      <c r="S265"/>
      <c r="U265" s="406" t="str">
        <f t="shared" si="17"/>
        <v/>
      </c>
      <c r="W265" s="408" t="str">
        <f t="shared" si="18"/>
        <v/>
      </c>
      <c r="X265" s="409" t="str">
        <f t="shared" si="19"/>
        <v/>
      </c>
    </row>
    <row r="266" spans="1:24" ht="16" x14ac:dyDescent="0.25">
      <c r="A266" s="399" t="str">
        <f>IF(B266="","",CONCATENATE("GBL",B266," - ",Mantenedor!E270))</f>
        <v/>
      </c>
      <c r="J266" s="413"/>
      <c r="K266" s="414"/>
      <c r="M266" s="416"/>
      <c r="P266" s="399" t="str">
        <f t="shared" si="16"/>
        <v/>
      </c>
      <c r="Q266" s="405" t="str" cm="1">
        <f t="array" ref="Q266">+_xlfn.IFS(O266="Nacional","CLP",O266="Extranjero","USD",O266="","")</f>
        <v/>
      </c>
      <c r="R266" s="406" t="str">
        <f>IFERROR(IF(O266="Nacional",VLOOKUP(P266,PRICING!$D$4:$E$59,2,FALSE),VLOOKUP(P266,PRICING!$J$4:$K$59,2,FALSE)),"")</f>
        <v/>
      </c>
      <c r="S266"/>
      <c r="U266" s="406" t="str">
        <f t="shared" si="17"/>
        <v/>
      </c>
      <c r="W266" s="408" t="str">
        <f t="shared" si="18"/>
        <v/>
      </c>
      <c r="X266" s="409" t="str">
        <f t="shared" si="19"/>
        <v/>
      </c>
    </row>
    <row r="267" spans="1:24" ht="16" x14ac:dyDescent="0.25">
      <c r="A267" s="399" t="str">
        <f>IF(B267="","",CONCATENATE("GBL",B267," - ",Mantenedor!E271))</f>
        <v/>
      </c>
      <c r="J267" s="413"/>
      <c r="K267" s="414"/>
      <c r="M267" s="416"/>
      <c r="P267" s="399" t="str">
        <f t="shared" si="16"/>
        <v/>
      </c>
      <c r="Q267" s="405" t="str" cm="1">
        <f t="array" ref="Q267">+_xlfn.IFS(O267="Nacional","CLP",O267="Extranjero","USD",O267="","")</f>
        <v/>
      </c>
      <c r="R267" s="406" t="str">
        <f>IFERROR(IF(O267="Nacional",VLOOKUP(P267,PRICING!$D$4:$E$59,2,FALSE),VLOOKUP(P267,PRICING!$J$4:$K$59,2,FALSE)),"")</f>
        <v/>
      </c>
      <c r="S267"/>
      <c r="U267" s="406" t="str">
        <f t="shared" si="17"/>
        <v/>
      </c>
      <c r="W267" s="408" t="str">
        <f t="shared" si="18"/>
        <v/>
      </c>
      <c r="X267" s="409" t="str">
        <f t="shared" si="19"/>
        <v/>
      </c>
    </row>
    <row r="268" spans="1:24" ht="16" x14ac:dyDescent="0.25">
      <c r="A268" s="399" t="str">
        <f>IF(B268="","",CONCATENATE("GBL",B268," - ",Mantenedor!E272))</f>
        <v/>
      </c>
      <c r="J268" s="413"/>
      <c r="K268" s="414"/>
      <c r="M268" s="416"/>
      <c r="P268" s="399" t="str">
        <f t="shared" si="16"/>
        <v/>
      </c>
      <c r="Q268" s="405" t="str" cm="1">
        <f t="array" ref="Q268">+_xlfn.IFS(O268="Nacional","CLP",O268="Extranjero","USD",O268="","")</f>
        <v/>
      </c>
      <c r="R268" s="406" t="str">
        <f>IFERROR(IF(O268="Nacional",VLOOKUP(P268,PRICING!$D$4:$E$59,2,FALSE),VLOOKUP(P268,PRICING!$J$4:$K$59,2,FALSE)),"")</f>
        <v/>
      </c>
      <c r="S268"/>
      <c r="U268" s="406" t="str">
        <f t="shared" si="17"/>
        <v/>
      </c>
      <c r="W268" s="408" t="str">
        <f t="shared" si="18"/>
        <v/>
      </c>
      <c r="X268" s="409" t="str">
        <f t="shared" si="19"/>
        <v/>
      </c>
    </row>
    <row r="269" spans="1:24" ht="16" x14ac:dyDescent="0.25">
      <c r="A269" s="399" t="str">
        <f>IF(B269="","",CONCATENATE("GBL",B269," - ",Mantenedor!E273))</f>
        <v/>
      </c>
      <c r="J269" s="413"/>
      <c r="K269" s="414"/>
      <c r="M269" s="416"/>
      <c r="P269" s="399" t="str">
        <f t="shared" si="16"/>
        <v/>
      </c>
      <c r="Q269" s="405" t="str" cm="1">
        <f t="array" ref="Q269">+_xlfn.IFS(O269="Nacional","CLP",O269="Extranjero","USD",O269="","")</f>
        <v/>
      </c>
      <c r="R269" s="406" t="str">
        <f>IFERROR(IF(O269="Nacional",VLOOKUP(P269,PRICING!$D$4:$E$59,2,FALSE),VLOOKUP(P269,PRICING!$J$4:$K$59,2,FALSE)),"")</f>
        <v/>
      </c>
      <c r="S269"/>
      <c r="U269" s="406" t="str">
        <f t="shared" si="17"/>
        <v/>
      </c>
      <c r="W269" s="408" t="str">
        <f t="shared" si="18"/>
        <v/>
      </c>
      <c r="X269" s="409" t="str">
        <f t="shared" si="19"/>
        <v/>
      </c>
    </row>
    <row r="270" spans="1:24" ht="16" x14ac:dyDescent="0.25">
      <c r="A270" s="399" t="str">
        <f>IF(B270="","",CONCATENATE("GBL",B270," - ",Mantenedor!E274))</f>
        <v/>
      </c>
      <c r="P270" s="399" t="str">
        <f t="shared" si="16"/>
        <v/>
      </c>
      <c r="Q270" s="405" t="str" cm="1">
        <f t="array" ref="Q270">+_xlfn.IFS(O270="Nacional","CLP",O270="Extranjero","USD",O270="","")</f>
        <v/>
      </c>
      <c r="R270" s="406" t="str">
        <f>IFERROR(IF(O270="Nacional",VLOOKUP(P270,PRICING!$D$4:$E$59,2,FALSE),VLOOKUP(P270,PRICING!$J$4:$K$59,2,FALSE)),"")</f>
        <v/>
      </c>
      <c r="S270"/>
      <c r="U270" s="406" t="str">
        <f t="shared" si="17"/>
        <v/>
      </c>
      <c r="W270" s="408" t="str">
        <f t="shared" si="18"/>
        <v/>
      </c>
      <c r="X270" s="409" t="str">
        <f t="shared" si="19"/>
        <v/>
      </c>
    </row>
    <row r="271" spans="1:24" ht="16" x14ac:dyDescent="0.25">
      <c r="A271" s="399" t="str">
        <f>IF(B271="","",CONCATENATE("GBL",B271," - ",Mantenedor!E275))</f>
        <v/>
      </c>
      <c r="P271" s="399" t="str">
        <f t="shared" si="16"/>
        <v/>
      </c>
      <c r="Q271" s="405" t="str" cm="1">
        <f t="array" ref="Q271">+_xlfn.IFS(O271="Nacional","CLP",O271="Extranjero","USD",O271="","")</f>
        <v/>
      </c>
      <c r="R271" s="406" t="str">
        <f>IFERROR(IF(O271="Nacional",VLOOKUP(P271,PRICING!$D$4:$E$59,2,FALSE),VLOOKUP(P271,PRICING!$J$4:$K$59,2,FALSE)),"")</f>
        <v/>
      </c>
      <c r="S271"/>
      <c r="U271" s="406" t="str">
        <f t="shared" si="17"/>
        <v/>
      </c>
      <c r="W271" s="408" t="str">
        <f t="shared" si="18"/>
        <v/>
      </c>
      <c r="X271" s="409" t="str">
        <f t="shared" si="19"/>
        <v/>
      </c>
    </row>
    <row r="272" spans="1:24" ht="16" x14ac:dyDescent="0.25">
      <c r="A272" s="399" t="str">
        <f>IF(B272="","",CONCATENATE("GBL",B272," - ",Mantenedor!E276))</f>
        <v/>
      </c>
      <c r="P272" s="399" t="str">
        <f t="shared" si="16"/>
        <v/>
      </c>
      <c r="Q272" s="405" t="str" cm="1">
        <f t="array" ref="Q272">+_xlfn.IFS(O272="Nacional","CLP",O272="Extranjero","USD",O272="","")</f>
        <v/>
      </c>
      <c r="R272" s="406" t="str">
        <f>IFERROR(IF(O272="Nacional",VLOOKUP(P272,PRICING!$D$4:$E$59,2,FALSE),VLOOKUP(P272,PRICING!$J$4:$K$59,2,FALSE)),"")</f>
        <v/>
      </c>
      <c r="S272"/>
      <c r="U272" s="406" t="str">
        <f t="shared" si="17"/>
        <v/>
      </c>
      <c r="W272" s="408" t="str">
        <f t="shared" si="18"/>
        <v/>
      </c>
      <c r="X272" s="409" t="str">
        <f t="shared" si="19"/>
        <v/>
      </c>
    </row>
    <row r="273" spans="1:24" ht="16" x14ac:dyDescent="0.25">
      <c r="A273" s="399" t="str">
        <f>IF(B273="","",CONCATENATE("GBL",B273," - ",Mantenedor!E277))</f>
        <v/>
      </c>
      <c r="P273" s="399" t="str">
        <f t="shared" si="16"/>
        <v/>
      </c>
      <c r="Q273" s="405" t="str" cm="1">
        <f t="array" ref="Q273">+_xlfn.IFS(O273="Nacional","CLP",O273="Extranjero","USD",O273="","")</f>
        <v/>
      </c>
      <c r="R273" s="406" t="str">
        <f>IFERROR(IF(O273="Nacional",VLOOKUP(P273,PRICING!$D$4:$E$59,2,FALSE),VLOOKUP(P273,PRICING!$J$4:$K$59,2,FALSE)),"")</f>
        <v/>
      </c>
      <c r="S273"/>
      <c r="U273" s="406" t="str">
        <f t="shared" si="17"/>
        <v/>
      </c>
      <c r="W273" s="408" t="str">
        <f t="shared" si="18"/>
        <v/>
      </c>
      <c r="X273" s="409" t="str">
        <f t="shared" si="19"/>
        <v/>
      </c>
    </row>
    <row r="274" spans="1:24" ht="16" x14ac:dyDescent="0.25">
      <c r="A274" s="399" t="str">
        <f>IF(B274="","",CONCATENATE("GBL",B274," - ",Mantenedor!E278))</f>
        <v/>
      </c>
      <c r="P274" s="399" t="str">
        <f t="shared" si="16"/>
        <v/>
      </c>
      <c r="Q274" s="405" t="str" cm="1">
        <f t="array" ref="Q274">+_xlfn.IFS(O274="Nacional","CLP",O274="Extranjero","USD",O274="","")</f>
        <v/>
      </c>
      <c r="R274" s="406" t="str">
        <f>IFERROR(IF(O274="Nacional",VLOOKUP(P274,PRICING!$D$4:$E$59,2,FALSE),VLOOKUP(P274,PRICING!$J$4:$K$59,2,FALSE)),"")</f>
        <v/>
      </c>
      <c r="S274"/>
      <c r="U274" s="406" t="str">
        <f t="shared" si="17"/>
        <v/>
      </c>
      <c r="W274" s="408" t="str">
        <f t="shared" si="18"/>
        <v/>
      </c>
      <c r="X274" s="409" t="str">
        <f t="shared" si="19"/>
        <v/>
      </c>
    </row>
    <row r="275" spans="1:24" ht="16" x14ac:dyDescent="0.25">
      <c r="A275" s="399" t="str">
        <f>IF(B275="","",CONCATENATE("GBL",B275," - ",Mantenedor!E279))</f>
        <v/>
      </c>
      <c r="P275" s="399" t="str">
        <f t="shared" si="16"/>
        <v/>
      </c>
      <c r="Q275" s="405" t="str" cm="1">
        <f t="array" ref="Q275">+_xlfn.IFS(O275="Nacional","CLP",O275="Extranjero","USD",O275="","")</f>
        <v/>
      </c>
      <c r="R275" s="406" t="str">
        <f>IFERROR(IF(O275="Nacional",VLOOKUP(P275,PRICING!$D$4:$E$59,2,FALSE),VLOOKUP(P275,PRICING!$J$4:$K$59,2,FALSE)),"")</f>
        <v/>
      </c>
      <c r="S275"/>
      <c r="U275" s="406" t="str">
        <f t="shared" si="17"/>
        <v/>
      </c>
      <c r="W275" s="408" t="str">
        <f t="shared" si="18"/>
        <v/>
      </c>
      <c r="X275" s="409" t="str">
        <f t="shared" si="19"/>
        <v/>
      </c>
    </row>
    <row r="276" spans="1:24" ht="16" x14ac:dyDescent="0.25">
      <c r="A276" s="399" t="str">
        <f>IF(B276="","",CONCATENATE("GBL",B276," - ",Mantenedor!E280))</f>
        <v/>
      </c>
      <c r="P276" s="399" t="str">
        <f t="shared" si="16"/>
        <v/>
      </c>
      <c r="Q276" s="405" t="str" cm="1">
        <f t="array" ref="Q276">+_xlfn.IFS(O276="Nacional","CLP",O276="Extranjero","USD",O276="","")</f>
        <v/>
      </c>
      <c r="R276" s="406" t="str">
        <f>IFERROR(IF(O276="Nacional",VLOOKUP(P276,PRICING!$D$4:$E$59,2,FALSE),VLOOKUP(P276,PRICING!$J$4:$K$59,2,FALSE)),"")</f>
        <v/>
      </c>
      <c r="S276"/>
      <c r="U276" s="406" t="str">
        <f t="shared" si="17"/>
        <v/>
      </c>
      <c r="W276" s="408" t="str">
        <f t="shared" si="18"/>
        <v/>
      </c>
      <c r="X276" s="409" t="str">
        <f t="shared" si="19"/>
        <v/>
      </c>
    </row>
    <row r="277" spans="1:24" ht="16" x14ac:dyDescent="0.25">
      <c r="A277" s="399" t="str">
        <f>IF(B277="","",CONCATENATE("GBL",B277," - ",Mantenedor!E281))</f>
        <v/>
      </c>
      <c r="P277" s="399" t="str">
        <f t="shared" si="16"/>
        <v/>
      </c>
      <c r="Q277" s="405" t="str" cm="1">
        <f t="array" ref="Q277">+_xlfn.IFS(O277="Nacional","CLP",O277="Extranjero","USD",O277="","")</f>
        <v/>
      </c>
      <c r="R277" s="406" t="str">
        <f>IFERROR(IF(O277="Nacional",VLOOKUP(P277,PRICING!$D$4:$E$59,2,FALSE),VLOOKUP(P277,PRICING!$J$4:$K$59,2,FALSE)),"")</f>
        <v/>
      </c>
      <c r="S277"/>
      <c r="U277" s="406" t="str">
        <f t="shared" si="17"/>
        <v/>
      </c>
      <c r="W277" s="408" t="str">
        <f t="shared" si="18"/>
        <v/>
      </c>
      <c r="X277" s="409" t="str">
        <f t="shared" si="19"/>
        <v/>
      </c>
    </row>
    <row r="278" spans="1:24" ht="16" x14ac:dyDescent="0.25">
      <c r="A278" s="399" t="str">
        <f>IF(B278="","",CONCATENATE("GBL",B278," - ",Mantenedor!E282))</f>
        <v/>
      </c>
      <c r="P278" s="399" t="str">
        <f t="shared" si="16"/>
        <v/>
      </c>
      <c r="Q278" s="405" t="str" cm="1">
        <f t="array" ref="Q278">+_xlfn.IFS(O278="Nacional","CLP",O278="Extranjero","USD",O278="","")</f>
        <v/>
      </c>
      <c r="R278" s="406" t="str">
        <f>IFERROR(IF(O278="Nacional",VLOOKUP(P278,PRICING!$D$4:$E$59,2,FALSE),VLOOKUP(P278,PRICING!$J$4:$K$59,2,FALSE)),"")</f>
        <v/>
      </c>
      <c r="S278"/>
      <c r="U278" s="406" t="str">
        <f t="shared" si="17"/>
        <v/>
      </c>
      <c r="W278" s="408" t="str">
        <f t="shared" si="18"/>
        <v/>
      </c>
      <c r="X278" s="409" t="str">
        <f t="shared" si="19"/>
        <v/>
      </c>
    </row>
    <row r="279" spans="1:24" ht="16" x14ac:dyDescent="0.25">
      <c r="A279" s="399" t="str">
        <f>IF(B279="","",CONCATENATE("GBL",B279," - ",Mantenedor!E283))</f>
        <v/>
      </c>
      <c r="P279" s="399" t="str">
        <f t="shared" si="16"/>
        <v/>
      </c>
      <c r="Q279" s="405" t="str" cm="1">
        <f t="array" ref="Q279">+_xlfn.IFS(O279="Nacional","CLP",O279="Extranjero","USD",O279="","")</f>
        <v/>
      </c>
      <c r="R279" s="406" t="str">
        <f>IFERROR(IF(O279="Nacional",VLOOKUP(P279,PRICING!$D$4:$E$59,2,FALSE),VLOOKUP(P279,PRICING!$J$4:$K$59,2,FALSE)),"")</f>
        <v/>
      </c>
      <c r="S279"/>
      <c r="U279" s="406" t="str">
        <f t="shared" si="17"/>
        <v/>
      </c>
      <c r="W279" s="408" t="str">
        <f t="shared" si="18"/>
        <v/>
      </c>
      <c r="X279" s="409" t="str">
        <f t="shared" si="19"/>
        <v/>
      </c>
    </row>
    <row r="280" spans="1:24" ht="16" x14ac:dyDescent="0.25">
      <c r="A280" s="399" t="str">
        <f>IF(B280="","",CONCATENATE("GBL",B280," - ",Mantenedor!E284))</f>
        <v/>
      </c>
      <c r="P280" s="399" t="str">
        <f t="shared" si="16"/>
        <v/>
      </c>
      <c r="Q280" s="405" t="str" cm="1">
        <f t="array" ref="Q280">+_xlfn.IFS(O280="Nacional","CLP",O280="Extranjero","USD",O280="","")</f>
        <v/>
      </c>
      <c r="R280" s="406" t="str">
        <f>IFERROR(IF(O280="Nacional",VLOOKUP(P280,PRICING!$D$4:$E$59,2,FALSE),VLOOKUP(P280,PRICING!$J$4:$K$59,2,FALSE)),"")</f>
        <v/>
      </c>
      <c r="S280"/>
      <c r="U280" s="406" t="str">
        <f t="shared" si="17"/>
        <v/>
      </c>
      <c r="W280" s="408" t="str">
        <f t="shared" si="18"/>
        <v/>
      </c>
      <c r="X280" s="409" t="str">
        <f t="shared" si="19"/>
        <v/>
      </c>
    </row>
    <row r="281" spans="1:24" ht="16" x14ac:dyDescent="0.25">
      <c r="A281" s="399" t="str">
        <f>IF(B281="","",CONCATENATE("GBL",B281," - ",Mantenedor!E285))</f>
        <v/>
      </c>
      <c r="P281" s="399" t="str">
        <f t="shared" si="16"/>
        <v/>
      </c>
      <c r="Q281" s="405" t="str" cm="1">
        <f t="array" ref="Q281">+_xlfn.IFS(O281="Nacional","CLP",O281="Extranjero","USD",O281="","")</f>
        <v/>
      </c>
      <c r="R281" s="406" t="str">
        <f>IFERROR(IF(O281="Nacional",VLOOKUP(P281,PRICING!$D$4:$E$59,2,FALSE),VLOOKUP(P281,PRICING!$J$4:$K$59,2,FALSE)),"")</f>
        <v/>
      </c>
      <c r="S281"/>
      <c r="U281" s="406" t="str">
        <f t="shared" si="17"/>
        <v/>
      </c>
      <c r="W281" s="408" t="str">
        <f t="shared" si="18"/>
        <v/>
      </c>
      <c r="X281" s="409" t="str">
        <f t="shared" si="19"/>
        <v/>
      </c>
    </row>
    <row r="282" spans="1:24" ht="16" x14ac:dyDescent="0.25">
      <c r="A282" s="399" t="str">
        <f>IF(B282="","",CONCATENATE("GBL",B282," - ",Mantenedor!E286))</f>
        <v/>
      </c>
      <c r="P282" s="399" t="str">
        <f t="shared" si="16"/>
        <v/>
      </c>
      <c r="Q282" s="405" t="str" cm="1">
        <f t="array" ref="Q282">+_xlfn.IFS(O282="Nacional","CLP",O282="Extranjero","USD",O282="","")</f>
        <v/>
      </c>
      <c r="R282" s="406" t="str">
        <f>IFERROR(IF(O282="Nacional",VLOOKUP(P282,PRICING!$D$4:$E$59,2,FALSE),VLOOKUP(P282,PRICING!$J$4:$K$59,2,FALSE)),"")</f>
        <v/>
      </c>
      <c r="S282"/>
      <c r="U282" s="406" t="str">
        <f t="shared" si="17"/>
        <v/>
      </c>
      <c r="W282" s="408" t="str">
        <f t="shared" si="18"/>
        <v/>
      </c>
      <c r="X282" s="409" t="str">
        <f t="shared" si="19"/>
        <v/>
      </c>
    </row>
    <row r="283" spans="1:24" ht="16" x14ac:dyDescent="0.25">
      <c r="A283" s="399" t="str">
        <f>IF(B283="","",CONCATENATE("GBL",B283," - ",Mantenedor!E287))</f>
        <v/>
      </c>
      <c r="P283" s="399" t="str">
        <f t="shared" si="16"/>
        <v/>
      </c>
      <c r="Q283" s="405" t="str" cm="1">
        <f t="array" ref="Q283">+_xlfn.IFS(O283="Nacional","CLP",O283="Extranjero","USD",O283="","")</f>
        <v/>
      </c>
      <c r="R283" s="406" t="str">
        <f>IFERROR(IF(O283="Nacional",VLOOKUP(P283,PRICING!$D$4:$E$59,2,FALSE),VLOOKUP(P283,PRICING!$J$4:$K$59,2,FALSE)),"")</f>
        <v/>
      </c>
      <c r="S283"/>
      <c r="U283" s="406" t="str">
        <f t="shared" si="17"/>
        <v/>
      </c>
      <c r="W283" s="408" t="str">
        <f t="shared" si="18"/>
        <v/>
      </c>
      <c r="X283" s="409" t="str">
        <f t="shared" si="19"/>
        <v/>
      </c>
    </row>
    <row r="284" spans="1:24" ht="16" x14ac:dyDescent="0.25">
      <c r="A284" s="399" t="str">
        <f>IF(B284="","",CONCATENATE("GBL",B284," - ",Mantenedor!E288))</f>
        <v/>
      </c>
      <c r="P284" s="399" t="str">
        <f t="shared" si="16"/>
        <v/>
      </c>
      <c r="Q284" s="405" t="str" cm="1">
        <f t="array" ref="Q284">+_xlfn.IFS(O284="Nacional","CLP",O284="Extranjero","USD",O284="","")</f>
        <v/>
      </c>
      <c r="R284" s="406" t="str">
        <f>IFERROR(IF(O284="Nacional",VLOOKUP(P284,PRICING!$D$4:$E$59,2,FALSE),VLOOKUP(P284,PRICING!$J$4:$K$59,2,FALSE)),"")</f>
        <v/>
      </c>
      <c r="S284"/>
      <c r="U284" s="406" t="str">
        <f t="shared" si="17"/>
        <v/>
      </c>
      <c r="W284" s="408" t="str">
        <f t="shared" si="18"/>
        <v/>
      </c>
      <c r="X284" s="409" t="str">
        <f t="shared" si="19"/>
        <v/>
      </c>
    </row>
    <row r="285" spans="1:24" ht="16" x14ac:dyDescent="0.25">
      <c r="A285" s="399" t="str">
        <f>IF(B285="","",CONCATENATE("GBL",B285," - ",Mantenedor!E289))</f>
        <v/>
      </c>
      <c r="P285" s="399" t="str">
        <f t="shared" si="16"/>
        <v/>
      </c>
      <c r="Q285" s="405" t="str" cm="1">
        <f t="array" ref="Q285">+_xlfn.IFS(O285="Nacional","CLP",O285="Extranjero","USD",O285="","")</f>
        <v/>
      </c>
      <c r="R285" s="406" t="str">
        <f>IFERROR(IF(O285="Nacional",VLOOKUP(P285,PRICING!$D$4:$E$59,2,FALSE),VLOOKUP(P285,PRICING!$J$4:$K$59,2,FALSE)),"")</f>
        <v/>
      </c>
      <c r="S285"/>
      <c r="U285" s="406" t="str">
        <f t="shared" si="17"/>
        <v/>
      </c>
      <c r="W285" s="408" t="str">
        <f t="shared" si="18"/>
        <v/>
      </c>
      <c r="X285" s="409" t="str">
        <f t="shared" si="19"/>
        <v/>
      </c>
    </row>
    <row r="286" spans="1:24" ht="16" x14ac:dyDescent="0.25">
      <c r="A286" s="399" t="str">
        <f>IF(B286="","",CONCATENATE("GBL",B286," - ",Mantenedor!E290))</f>
        <v/>
      </c>
      <c r="P286" s="399" t="str">
        <f t="shared" si="16"/>
        <v/>
      </c>
      <c r="Q286" s="405" t="str" cm="1">
        <f t="array" ref="Q286">+_xlfn.IFS(O286="Nacional","CLP",O286="Extranjero","USD",O286="","")</f>
        <v/>
      </c>
      <c r="R286" s="406" t="str">
        <f>IFERROR(IF(O286="Nacional",VLOOKUP(P286,PRICING!$D$4:$E$59,2,FALSE),VLOOKUP(P286,PRICING!$J$4:$K$59,2,FALSE)),"")</f>
        <v/>
      </c>
      <c r="S286"/>
      <c r="U286" s="406" t="str">
        <f t="shared" si="17"/>
        <v/>
      </c>
      <c r="W286" s="408" t="str">
        <f t="shared" si="18"/>
        <v/>
      </c>
      <c r="X286" s="409" t="str">
        <f t="shared" si="19"/>
        <v/>
      </c>
    </row>
    <row r="287" spans="1:24" ht="16" x14ac:dyDescent="0.25">
      <c r="A287" s="399" t="str">
        <f>IF(B287="","",CONCATENATE("GBL",B287," - ",Mantenedor!E291))</f>
        <v/>
      </c>
      <c r="P287" s="399" t="str">
        <f t="shared" si="16"/>
        <v/>
      </c>
      <c r="Q287" s="405" t="str" cm="1">
        <f t="array" ref="Q287">+_xlfn.IFS(O287="Nacional","CLP",O287="Extranjero","USD",O287="","")</f>
        <v/>
      </c>
      <c r="R287" s="406" t="str">
        <f>IFERROR(IF(O287="Nacional",VLOOKUP(P287,PRICING!$D$4:$E$59,2,FALSE),VLOOKUP(P287,PRICING!$J$4:$K$59,2,FALSE)),"")</f>
        <v/>
      </c>
      <c r="S287"/>
      <c r="U287" s="406" t="str">
        <f t="shared" si="17"/>
        <v/>
      </c>
      <c r="W287" s="408" t="str">
        <f t="shared" si="18"/>
        <v/>
      </c>
      <c r="X287" s="409" t="str">
        <f t="shared" si="19"/>
        <v/>
      </c>
    </row>
    <row r="288" spans="1:24" ht="16" x14ac:dyDescent="0.25">
      <c r="A288" s="399" t="str">
        <f>IF(B288="","",CONCATENATE("GBL",B288," - ",Mantenedor!E292))</f>
        <v/>
      </c>
      <c r="P288" s="399" t="str">
        <f t="shared" si="16"/>
        <v/>
      </c>
      <c r="Q288" s="405" t="str" cm="1">
        <f t="array" ref="Q288">+_xlfn.IFS(O288="Nacional","CLP",O288="Extranjero","USD",O288="","")</f>
        <v/>
      </c>
      <c r="R288" s="406" t="str">
        <f>IFERROR(IF(O288="Nacional",VLOOKUP(P288,PRICING!$D$4:$E$59,2,FALSE),VLOOKUP(P288,PRICING!$J$4:$K$59,2,FALSE)),"")</f>
        <v/>
      </c>
      <c r="S288"/>
      <c r="U288" s="406" t="str">
        <f t="shared" si="17"/>
        <v/>
      </c>
      <c r="W288" s="408" t="str">
        <f t="shared" si="18"/>
        <v/>
      </c>
      <c r="X288" s="409" t="str">
        <f t="shared" si="19"/>
        <v/>
      </c>
    </row>
    <row r="289" spans="1:24" ht="16" x14ac:dyDescent="0.25">
      <c r="A289" s="399" t="str">
        <f>IF(B289="","",CONCATENATE("GBL",B289," - ",Mantenedor!E293))</f>
        <v/>
      </c>
      <c r="P289" s="399" t="str">
        <f t="shared" si="16"/>
        <v/>
      </c>
      <c r="Q289" s="405" t="str" cm="1">
        <f t="array" ref="Q289">+_xlfn.IFS(O289="Nacional","CLP",O289="Extranjero","USD",O289="","")</f>
        <v/>
      </c>
      <c r="R289" s="406" t="str">
        <f>IFERROR(IF(O289="Nacional",VLOOKUP(P289,PRICING!$D$4:$E$59,2,FALSE),VLOOKUP(P289,PRICING!$J$4:$K$59,2,FALSE)),"")</f>
        <v/>
      </c>
      <c r="S289"/>
      <c r="U289" s="406" t="str">
        <f t="shared" si="17"/>
        <v/>
      </c>
      <c r="W289" s="408" t="str">
        <f t="shared" si="18"/>
        <v/>
      </c>
      <c r="X289" s="409" t="str">
        <f t="shared" si="19"/>
        <v/>
      </c>
    </row>
    <row r="290" spans="1:24" ht="16" x14ac:dyDescent="0.25">
      <c r="A290" s="399" t="str">
        <f>IF(B290="","",CONCATENATE("GBL",B290," - ",Mantenedor!E294))</f>
        <v/>
      </c>
      <c r="P290" s="399" t="str">
        <f t="shared" si="16"/>
        <v/>
      </c>
      <c r="Q290" s="405" t="str" cm="1">
        <f t="array" ref="Q290">+_xlfn.IFS(O290="Nacional","CLP",O290="Extranjero","USD",O290="","")</f>
        <v/>
      </c>
      <c r="R290" s="406" t="str">
        <f>IFERROR(IF(O290="Nacional",VLOOKUP(P290,PRICING!$D$4:$E$59,2,FALSE),VLOOKUP(P290,PRICING!$J$4:$K$59,2,FALSE)),"")</f>
        <v/>
      </c>
      <c r="S290"/>
      <c r="U290" s="406" t="str">
        <f t="shared" si="17"/>
        <v/>
      </c>
      <c r="W290" s="408" t="str">
        <f t="shared" si="18"/>
        <v/>
      </c>
      <c r="X290" s="409" t="str">
        <f t="shared" si="19"/>
        <v/>
      </c>
    </row>
    <row r="291" spans="1:24" ht="16" x14ac:dyDescent="0.25">
      <c r="A291" s="399" t="str">
        <f>IF(B291="","",CONCATENATE("GBL",B291," - ",Mantenedor!E295))</f>
        <v/>
      </c>
      <c r="P291" s="399" t="str">
        <f t="shared" si="16"/>
        <v/>
      </c>
      <c r="Q291" s="405" t="str" cm="1">
        <f t="array" ref="Q291">+_xlfn.IFS(O291="Nacional","CLP",O291="Extranjero","USD",O291="","")</f>
        <v/>
      </c>
      <c r="R291" s="406" t="str">
        <f>IFERROR(IF(O291="Nacional",VLOOKUP(P291,PRICING!$D$4:$E$59,2,FALSE),VLOOKUP(P291,PRICING!$J$4:$K$59,2,FALSE)),"")</f>
        <v/>
      </c>
      <c r="S291"/>
      <c r="U291" s="406" t="str">
        <f t="shared" si="17"/>
        <v/>
      </c>
      <c r="W291" s="408" t="str">
        <f t="shared" si="18"/>
        <v/>
      </c>
      <c r="X291" s="409" t="str">
        <f t="shared" si="19"/>
        <v/>
      </c>
    </row>
    <row r="292" spans="1:24" ht="16" x14ac:dyDescent="0.25">
      <c r="A292" s="399" t="str">
        <f>IF(B292="","",CONCATENATE("GBL",B292," - ",Mantenedor!E296))</f>
        <v/>
      </c>
      <c r="P292" s="399" t="str">
        <f t="shared" si="16"/>
        <v/>
      </c>
      <c r="Q292" s="405" t="str" cm="1">
        <f t="array" ref="Q292">+_xlfn.IFS(O292="Nacional","CLP",O292="Extranjero","USD",O292="","")</f>
        <v/>
      </c>
      <c r="R292" s="406" t="str">
        <f>IFERROR(IF(O292="Nacional",VLOOKUP(P292,PRICING!$D$4:$E$59,2,FALSE),VLOOKUP(P292,PRICING!$J$4:$K$59,2,FALSE)),"")</f>
        <v/>
      </c>
      <c r="S292"/>
      <c r="U292" s="406" t="str">
        <f t="shared" si="17"/>
        <v/>
      </c>
      <c r="W292" s="408" t="str">
        <f t="shared" si="18"/>
        <v/>
      </c>
      <c r="X292" s="409" t="str">
        <f t="shared" si="19"/>
        <v/>
      </c>
    </row>
    <row r="293" spans="1:24" ht="16" x14ac:dyDescent="0.25">
      <c r="A293" s="399" t="str">
        <f>IF(B293="","",CONCATENATE("GBL",B293," - ",Mantenedor!E297))</f>
        <v/>
      </c>
      <c r="P293" s="399" t="str">
        <f t="shared" si="16"/>
        <v/>
      </c>
      <c r="Q293" s="405" t="str" cm="1">
        <f t="array" ref="Q293">+_xlfn.IFS(O293="Nacional","CLP",O293="Extranjero","USD",O293="","")</f>
        <v/>
      </c>
      <c r="R293" s="406" t="str">
        <f>IFERROR(IF(O293="Nacional",VLOOKUP(P293,PRICING!$D$4:$E$59,2,FALSE),VLOOKUP(P293,PRICING!$J$4:$K$59,2,FALSE)),"")</f>
        <v/>
      </c>
      <c r="S293"/>
      <c r="U293" s="406" t="str">
        <f t="shared" si="17"/>
        <v/>
      </c>
      <c r="W293" s="408" t="str">
        <f t="shared" si="18"/>
        <v/>
      </c>
      <c r="X293" s="409" t="str">
        <f t="shared" si="19"/>
        <v/>
      </c>
    </row>
    <row r="294" spans="1:24" ht="16" x14ac:dyDescent="0.25">
      <c r="A294" s="399" t="str">
        <f>IF(B294="","",CONCATENATE("GBL",B294," - ",Mantenedor!E298))</f>
        <v/>
      </c>
      <c r="P294" s="399" t="str">
        <f t="shared" si="16"/>
        <v/>
      </c>
      <c r="Q294" s="405" t="str" cm="1">
        <f t="array" ref="Q294">+_xlfn.IFS(O294="Nacional","CLP",O294="Extranjero","USD",O294="","")</f>
        <v/>
      </c>
      <c r="R294" s="406" t="str">
        <f>IFERROR(IF(O294="Nacional",VLOOKUP(P294,PRICING!$D$4:$E$59,2,FALSE),VLOOKUP(P294,PRICING!$J$4:$K$59,2,FALSE)),"")</f>
        <v/>
      </c>
      <c r="S294"/>
      <c r="U294" s="406" t="str">
        <f t="shared" si="17"/>
        <v/>
      </c>
      <c r="W294" s="408" t="str">
        <f t="shared" si="18"/>
        <v/>
      </c>
      <c r="X294" s="409" t="str">
        <f t="shared" si="19"/>
        <v/>
      </c>
    </row>
    <row r="295" spans="1:24" ht="16" x14ac:dyDescent="0.25">
      <c r="A295" s="399" t="str">
        <f>IF(B295="","",CONCATENATE("GBL",B295," - ",Mantenedor!E299))</f>
        <v/>
      </c>
      <c r="P295" s="399" t="str">
        <f t="shared" si="16"/>
        <v/>
      </c>
      <c r="Q295" s="405" t="str" cm="1">
        <f t="array" ref="Q295">+_xlfn.IFS(O295="Nacional","CLP",O295="Extranjero","USD",O295="","")</f>
        <v/>
      </c>
      <c r="R295" s="406" t="str">
        <f>IFERROR(IF(O295="Nacional",VLOOKUP(P295,PRICING!$D$4:$E$59,2,FALSE),VLOOKUP(P295,PRICING!$J$4:$K$59,2,FALSE)),"")</f>
        <v/>
      </c>
      <c r="S295"/>
      <c r="U295" s="406" t="str">
        <f t="shared" si="17"/>
        <v/>
      </c>
      <c r="W295" s="408" t="str">
        <f t="shared" si="18"/>
        <v/>
      </c>
      <c r="X295" s="409" t="str">
        <f t="shared" si="19"/>
        <v/>
      </c>
    </row>
    <row r="296" spans="1:24" ht="16" x14ac:dyDescent="0.25">
      <c r="A296" s="399" t="str">
        <f>IF(B296="","",CONCATENATE("GBL",B296," - ",Mantenedor!E300))</f>
        <v/>
      </c>
      <c r="P296" s="399" t="str">
        <f t="shared" si="16"/>
        <v/>
      </c>
      <c r="Q296" s="405" t="str" cm="1">
        <f t="array" ref="Q296">+_xlfn.IFS(O296="Nacional","CLP",O296="Extranjero","USD",O296="","")</f>
        <v/>
      </c>
      <c r="R296" s="406" t="str">
        <f>IFERROR(IF(O296="Nacional",VLOOKUP(P296,PRICING!$D$4:$E$59,2,FALSE),VLOOKUP(P296,PRICING!$J$4:$K$59,2,FALSE)),"")</f>
        <v/>
      </c>
      <c r="S296"/>
      <c r="U296" s="406" t="str">
        <f t="shared" si="17"/>
        <v/>
      </c>
      <c r="W296" s="408" t="str">
        <f t="shared" si="18"/>
        <v/>
      </c>
      <c r="X296" s="409" t="str">
        <f t="shared" si="19"/>
        <v/>
      </c>
    </row>
    <row r="297" spans="1:24" ht="16" x14ac:dyDescent="0.25">
      <c r="A297" s="399" t="str">
        <f>IF(B297="","",CONCATENATE("GBL",B297," - ",Mantenedor!E301))</f>
        <v/>
      </c>
      <c r="P297" s="399" t="str">
        <f t="shared" si="16"/>
        <v/>
      </c>
      <c r="Q297" s="405" t="str" cm="1">
        <f t="array" ref="Q297">+_xlfn.IFS(O297="Nacional","CLP",O297="Extranjero","USD",O297="","")</f>
        <v/>
      </c>
      <c r="R297" s="406" t="str">
        <f>IFERROR(IF(O297="Nacional",VLOOKUP(P297,PRICING!$D$4:$E$59,2,FALSE),VLOOKUP(P297,PRICING!$J$4:$K$59,2,FALSE)),"")</f>
        <v/>
      </c>
      <c r="S297"/>
      <c r="U297" s="406" t="str">
        <f t="shared" si="17"/>
        <v/>
      </c>
      <c r="W297" s="408" t="str">
        <f t="shared" si="18"/>
        <v/>
      </c>
      <c r="X297" s="409" t="str">
        <f t="shared" si="19"/>
        <v/>
      </c>
    </row>
    <row r="298" spans="1:24" ht="16" x14ac:dyDescent="0.25">
      <c r="A298" s="399" t="str">
        <f>IF(B298="","",CONCATENATE("GBL",B298," - ",Mantenedor!E302))</f>
        <v/>
      </c>
      <c r="P298" s="399" t="str">
        <f t="shared" si="16"/>
        <v/>
      </c>
      <c r="Q298" s="405" t="str" cm="1">
        <f t="array" ref="Q298">+_xlfn.IFS(O298="Nacional","CLP",O298="Extranjero","USD",O298="","")</f>
        <v/>
      </c>
      <c r="R298" s="406" t="str">
        <f>IFERROR(IF(O298="Nacional",VLOOKUP(P298,PRICING!$D$4:$E$59,2,FALSE),VLOOKUP(P298,PRICING!$J$4:$K$59,2,FALSE)),"")</f>
        <v/>
      </c>
      <c r="S298"/>
      <c r="U298" s="406" t="str">
        <f t="shared" si="17"/>
        <v/>
      </c>
      <c r="W298" s="408" t="str">
        <f t="shared" si="18"/>
        <v/>
      </c>
      <c r="X298" s="409" t="str">
        <f t="shared" si="19"/>
        <v/>
      </c>
    </row>
    <row r="299" spans="1:24" ht="16" x14ac:dyDescent="0.25">
      <c r="A299" s="399" t="str">
        <f>IF(B299="","",CONCATENATE("GBL",B299," - ",Mantenedor!E303))</f>
        <v/>
      </c>
      <c r="P299" s="399" t="str">
        <f t="shared" si="16"/>
        <v/>
      </c>
      <c r="Q299" s="405" t="str" cm="1">
        <f t="array" ref="Q299">+_xlfn.IFS(O299="Nacional","CLP",O299="Extranjero","USD",O299="","")</f>
        <v/>
      </c>
      <c r="R299" s="406" t="str">
        <f>IFERROR(IF(O299="Nacional",VLOOKUP(P299,PRICING!$D$4:$E$59,2,FALSE),VLOOKUP(P299,PRICING!$J$4:$K$59,2,FALSE)),"")</f>
        <v/>
      </c>
      <c r="S299"/>
      <c r="U299" s="406" t="str">
        <f t="shared" si="17"/>
        <v/>
      </c>
      <c r="W299" s="408" t="str">
        <f t="shared" si="18"/>
        <v/>
      </c>
      <c r="X299" s="409" t="str">
        <f t="shared" si="19"/>
        <v/>
      </c>
    </row>
    <row r="300" spans="1:24" ht="16" x14ac:dyDescent="0.25">
      <c r="A300" s="399" t="str">
        <f>IF(B300="","",CONCATENATE("GBL",B300," - ",Mantenedor!E304))</f>
        <v/>
      </c>
      <c r="P300" s="399" t="str">
        <f t="shared" si="16"/>
        <v/>
      </c>
      <c r="Q300" s="405" t="str" cm="1">
        <f t="array" ref="Q300">+_xlfn.IFS(O300="Nacional","CLP",O300="Extranjero","USD",O300="","")</f>
        <v/>
      </c>
      <c r="R300" s="406" t="str">
        <f>IFERROR(IF(O300="Nacional",VLOOKUP(P300,PRICING!$D$4:$E$59,2,FALSE),VLOOKUP(P300,PRICING!$J$4:$K$59,2,FALSE)),"")</f>
        <v/>
      </c>
      <c r="S300"/>
      <c r="U300" s="406" t="str">
        <f t="shared" si="17"/>
        <v/>
      </c>
      <c r="W300" s="408" t="str">
        <f t="shared" si="18"/>
        <v/>
      </c>
      <c r="X300" s="409" t="str">
        <f t="shared" si="19"/>
        <v/>
      </c>
    </row>
    <row r="301" spans="1:24" ht="16" x14ac:dyDescent="0.25">
      <c r="A301" s="399" t="str">
        <f>IF(B301="","",CONCATENATE("GBL",B301," - ",Mantenedor!E305))</f>
        <v/>
      </c>
      <c r="P301" s="399" t="str">
        <f t="shared" si="16"/>
        <v/>
      </c>
      <c r="Q301" s="405" t="str" cm="1">
        <f t="array" ref="Q301">+_xlfn.IFS(O301="Nacional","CLP",O301="Extranjero","USD",O301="","")</f>
        <v/>
      </c>
      <c r="R301" s="406" t="str">
        <f>IFERROR(IF(O301="Nacional",VLOOKUP(P301,PRICING!$D$4:$E$59,2,FALSE),VLOOKUP(P301,PRICING!$J$4:$K$59,2,FALSE)),"")</f>
        <v/>
      </c>
      <c r="S301"/>
      <c r="U301" s="406" t="str">
        <f t="shared" si="17"/>
        <v/>
      </c>
      <c r="W301" s="408" t="str">
        <f t="shared" si="18"/>
        <v/>
      </c>
      <c r="X301" s="409" t="str">
        <f t="shared" si="19"/>
        <v/>
      </c>
    </row>
    <row r="302" spans="1:24" ht="16" x14ac:dyDescent="0.25">
      <c r="A302" s="399" t="str">
        <f>IF(B302="","",CONCATENATE("GBL",B302," - ",Mantenedor!E306))</f>
        <v/>
      </c>
      <c r="P302" s="399" t="str">
        <f t="shared" si="16"/>
        <v/>
      </c>
      <c r="Q302" s="405" t="str" cm="1">
        <f t="array" ref="Q302">+_xlfn.IFS(O302="Nacional","CLP",O302="Extranjero","USD",O302="","")</f>
        <v/>
      </c>
      <c r="R302" s="406" t="str">
        <f>IFERROR(IF(O302="Nacional",VLOOKUP(P302,PRICING!$D$4:$E$59,2,FALSE),VLOOKUP(P302,PRICING!$J$4:$K$59,2,FALSE)),"")</f>
        <v/>
      </c>
      <c r="S302"/>
      <c r="U302" s="406" t="str">
        <f t="shared" si="17"/>
        <v/>
      </c>
      <c r="W302" s="408" t="str">
        <f t="shared" si="18"/>
        <v/>
      </c>
      <c r="X302" s="409" t="str">
        <f t="shared" si="19"/>
        <v/>
      </c>
    </row>
    <row r="303" spans="1:24" ht="16" x14ac:dyDescent="0.25">
      <c r="A303" s="399" t="str">
        <f>IF(B303="","",CONCATENATE("GBL",B303," - ",Mantenedor!E307))</f>
        <v/>
      </c>
      <c r="P303" s="399" t="str">
        <f t="shared" si="16"/>
        <v/>
      </c>
      <c r="Q303" s="405" t="str" cm="1">
        <f t="array" ref="Q303">+_xlfn.IFS(O303="Nacional","CLP",O303="Extranjero","USD",O303="","")</f>
        <v/>
      </c>
      <c r="R303" s="406" t="str">
        <f>IFERROR(IF(O303="Nacional",VLOOKUP(P303,PRICING!$D$4:$E$59,2,FALSE),VLOOKUP(P303,PRICING!$J$4:$K$59,2,FALSE)),"")</f>
        <v/>
      </c>
      <c r="S303"/>
      <c r="U303" s="406" t="str">
        <f t="shared" si="17"/>
        <v/>
      </c>
      <c r="W303" s="408" t="str">
        <f t="shared" si="18"/>
        <v/>
      </c>
      <c r="X303" s="409" t="str">
        <f t="shared" si="19"/>
        <v/>
      </c>
    </row>
    <row r="304" spans="1:24" ht="16" x14ac:dyDescent="0.25">
      <c r="A304" s="399" t="str">
        <f>IF(B304="","",CONCATENATE("GBL",B304," - ",Mantenedor!E308))</f>
        <v/>
      </c>
      <c r="P304" s="399" t="str">
        <f t="shared" si="16"/>
        <v/>
      </c>
      <c r="Q304" s="405" t="str" cm="1">
        <f t="array" ref="Q304">+_xlfn.IFS(O304="Nacional","CLP",O304="Extranjero","USD",O304="","")</f>
        <v/>
      </c>
      <c r="R304" s="406" t="str">
        <f>IFERROR(IF(O304="Nacional",VLOOKUP(P304,PRICING!$D$4:$E$59,2,FALSE),VLOOKUP(P304,PRICING!$J$4:$K$59,2,FALSE)),"")</f>
        <v/>
      </c>
      <c r="S304"/>
      <c r="U304" s="406" t="str">
        <f t="shared" si="17"/>
        <v/>
      </c>
      <c r="W304" s="408" t="str">
        <f t="shared" si="18"/>
        <v/>
      </c>
      <c r="X304" s="409" t="str">
        <f t="shared" si="19"/>
        <v/>
      </c>
    </row>
    <row r="305" spans="1:24" ht="16" x14ac:dyDescent="0.25">
      <c r="A305" s="399" t="str">
        <f>IF(B305="","",CONCATENATE("GBL",B305," - ",Mantenedor!E309))</f>
        <v/>
      </c>
      <c r="P305" s="399" t="str">
        <f t="shared" si="16"/>
        <v/>
      </c>
      <c r="Q305" s="405" t="str" cm="1">
        <f t="array" ref="Q305">+_xlfn.IFS(O305="Nacional","CLP",O305="Extranjero","USD",O305="","")</f>
        <v/>
      </c>
      <c r="R305" s="406" t="str">
        <f>IFERROR(IF(O305="Nacional",VLOOKUP(P305,PRICING!$D$4:$E$59,2,FALSE),VLOOKUP(P305,PRICING!$J$4:$K$59,2,FALSE)),"")</f>
        <v/>
      </c>
      <c r="S305"/>
      <c r="U305" s="406" t="str">
        <f t="shared" si="17"/>
        <v/>
      </c>
      <c r="W305" s="408" t="str">
        <f t="shared" si="18"/>
        <v/>
      </c>
      <c r="X305" s="409" t="str">
        <f t="shared" si="19"/>
        <v/>
      </c>
    </row>
    <row r="306" spans="1:24" ht="16" x14ac:dyDescent="0.25">
      <c r="A306" s="399" t="str">
        <f>IF(B306="","",CONCATENATE("GBL",B306," - ",Mantenedor!E310))</f>
        <v/>
      </c>
      <c r="P306" s="399" t="str">
        <f t="shared" si="16"/>
        <v/>
      </c>
      <c r="Q306" s="405" t="str" cm="1">
        <f t="array" ref="Q306">+_xlfn.IFS(O306="Nacional","CLP",O306="Extranjero","USD",O306="","")</f>
        <v/>
      </c>
      <c r="R306" s="406" t="str">
        <f>IFERROR(IF(O306="Nacional",VLOOKUP(P306,PRICING!$D$4:$E$59,2,FALSE),VLOOKUP(P306,PRICING!$J$4:$K$59,2,FALSE)),"")</f>
        <v/>
      </c>
      <c r="S306"/>
      <c r="U306" s="406" t="str">
        <f t="shared" si="17"/>
        <v/>
      </c>
      <c r="W306" s="408" t="str">
        <f t="shared" si="18"/>
        <v/>
      </c>
      <c r="X306" s="409" t="str">
        <f t="shared" si="19"/>
        <v/>
      </c>
    </row>
    <row r="307" spans="1:24" ht="16" x14ac:dyDescent="0.25">
      <c r="A307" s="399" t="str">
        <f>IF(B307="","",CONCATENATE("GBL",B307," - ",Mantenedor!E311))</f>
        <v/>
      </c>
      <c r="P307" s="399" t="str">
        <f t="shared" si="16"/>
        <v/>
      </c>
      <c r="Q307" s="405" t="str" cm="1">
        <f t="array" ref="Q307">+_xlfn.IFS(O307="Nacional","CLP",O307="Extranjero","USD",O307="","")</f>
        <v/>
      </c>
      <c r="R307" s="406" t="str">
        <f>IFERROR(IF(O307="Nacional",VLOOKUP(P307,PRICING!$D$4:$E$59,2,FALSE),VLOOKUP(P307,PRICING!$J$4:$K$59,2,FALSE)),"")</f>
        <v/>
      </c>
      <c r="S307"/>
      <c r="U307" s="406" t="str">
        <f t="shared" si="17"/>
        <v/>
      </c>
      <c r="W307" s="408" t="str">
        <f t="shared" si="18"/>
        <v/>
      </c>
      <c r="X307" s="409" t="str">
        <f t="shared" si="19"/>
        <v/>
      </c>
    </row>
    <row r="308" spans="1:24" ht="16" x14ac:dyDescent="0.25">
      <c r="A308" s="399" t="str">
        <f>IF(B308="","",CONCATENATE("GBL",B308," - ",Mantenedor!E312))</f>
        <v/>
      </c>
      <c r="P308" s="399" t="str">
        <f t="shared" si="16"/>
        <v/>
      </c>
      <c r="Q308" s="405" t="str" cm="1">
        <f t="array" ref="Q308">+_xlfn.IFS(O308="Nacional","CLP",O308="Extranjero","USD",O308="","")</f>
        <v/>
      </c>
      <c r="R308" s="406" t="str">
        <f>IFERROR(IF(O308="Nacional",VLOOKUP(P308,PRICING!$D$4:$E$59,2,FALSE),VLOOKUP(P308,PRICING!$J$4:$K$59,2,FALSE)),"")</f>
        <v/>
      </c>
      <c r="S308"/>
      <c r="U308" s="406" t="str">
        <f t="shared" si="17"/>
        <v/>
      </c>
      <c r="W308" s="408" t="str">
        <f t="shared" si="18"/>
        <v/>
      </c>
      <c r="X308" s="409" t="str">
        <f t="shared" si="19"/>
        <v/>
      </c>
    </row>
    <row r="309" spans="1:24" ht="16" x14ac:dyDescent="0.25">
      <c r="A309" s="399" t="str">
        <f>IF(B309="","",CONCATENATE("GBL",B309," - ",Mantenedor!E313))</f>
        <v/>
      </c>
      <c r="P309" s="399" t="str">
        <f t="shared" si="16"/>
        <v/>
      </c>
      <c r="Q309" s="405" t="str" cm="1">
        <f t="array" ref="Q309">+_xlfn.IFS(O309="Nacional","CLP",O309="Extranjero","USD",O309="","")</f>
        <v/>
      </c>
      <c r="R309" s="406" t="str">
        <f>IFERROR(IF(O309="Nacional",VLOOKUP(P309,PRICING!$D$4:$E$59,2,FALSE),VLOOKUP(P309,PRICING!$J$4:$K$59,2,FALSE)),"")</f>
        <v/>
      </c>
      <c r="S309"/>
      <c r="U309" s="406" t="str">
        <f t="shared" si="17"/>
        <v/>
      </c>
      <c r="W309" s="408" t="str">
        <f t="shared" si="18"/>
        <v/>
      </c>
      <c r="X309" s="409" t="str">
        <f t="shared" si="19"/>
        <v/>
      </c>
    </row>
    <row r="310" spans="1:24" ht="16" x14ac:dyDescent="0.25">
      <c r="A310" s="399" t="str">
        <f>IF(B310="","",CONCATENATE("GBL",B310," - ",Mantenedor!E314))</f>
        <v/>
      </c>
      <c r="P310" s="399" t="str">
        <f t="shared" si="16"/>
        <v/>
      </c>
      <c r="Q310" s="405" t="str" cm="1">
        <f t="array" ref="Q310">+_xlfn.IFS(O310="Nacional","CLP",O310="Extranjero","USD",O310="","")</f>
        <v/>
      </c>
      <c r="R310" s="406" t="str">
        <f>IFERROR(IF(O310="Nacional",VLOOKUP(P310,PRICING!$D$4:$E$59,2,FALSE),VLOOKUP(P310,PRICING!$J$4:$K$59,2,FALSE)),"")</f>
        <v/>
      </c>
      <c r="S310"/>
      <c r="U310" s="406" t="str">
        <f t="shared" si="17"/>
        <v/>
      </c>
      <c r="W310" s="408" t="str">
        <f t="shared" si="18"/>
        <v/>
      </c>
      <c r="X310" s="409" t="str">
        <f t="shared" si="19"/>
        <v/>
      </c>
    </row>
    <row r="311" spans="1:24" ht="16" x14ac:dyDescent="0.25">
      <c r="A311" s="399" t="str">
        <f>IF(B311="","",CONCATENATE("GBL",B311," - ",Mantenedor!E315))</f>
        <v/>
      </c>
      <c r="P311" s="399" t="str">
        <f t="shared" si="16"/>
        <v/>
      </c>
      <c r="Q311" s="405" t="str" cm="1">
        <f t="array" ref="Q311">+_xlfn.IFS(O311="Nacional","CLP",O311="Extranjero","USD",O311="","")</f>
        <v/>
      </c>
      <c r="R311" s="406" t="str">
        <f>IFERROR(IF(O311="Nacional",VLOOKUP(P311,PRICING!$D$4:$E$59,2,FALSE),VLOOKUP(P311,PRICING!$J$4:$K$59,2,FALSE)),"")</f>
        <v/>
      </c>
      <c r="S311"/>
      <c r="U311" s="406" t="str">
        <f t="shared" si="17"/>
        <v/>
      </c>
      <c r="W311" s="408" t="str">
        <f t="shared" si="18"/>
        <v/>
      </c>
      <c r="X311" s="409" t="str">
        <f t="shared" si="19"/>
        <v/>
      </c>
    </row>
    <row r="312" spans="1:24" ht="16" x14ac:dyDescent="0.25">
      <c r="A312" s="399" t="str">
        <f>IF(B312="","",CONCATENATE("GBL",B312," - ",Mantenedor!E316))</f>
        <v/>
      </c>
      <c r="P312" s="399" t="str">
        <f t="shared" si="16"/>
        <v/>
      </c>
      <c r="Q312" s="405" t="str" cm="1">
        <f t="array" ref="Q312">+_xlfn.IFS(O312="Nacional","CLP",O312="Extranjero","USD",O312="","")</f>
        <v/>
      </c>
      <c r="R312" s="406" t="str">
        <f>IFERROR(IF(O312="Nacional",VLOOKUP(P312,PRICING!$D$4:$E$59,2,FALSE),VLOOKUP(P312,PRICING!$J$4:$K$59,2,FALSE)),"")</f>
        <v/>
      </c>
      <c r="S312"/>
      <c r="U312" s="406" t="str">
        <f t="shared" si="17"/>
        <v/>
      </c>
      <c r="W312" s="408" t="str">
        <f t="shared" si="18"/>
        <v/>
      </c>
      <c r="X312" s="409" t="str">
        <f t="shared" si="19"/>
        <v/>
      </c>
    </row>
    <row r="313" spans="1:24" ht="16" x14ac:dyDescent="0.25">
      <c r="A313" s="399" t="str">
        <f>IF(B313="","",CONCATENATE("GBL",B313," - ",Mantenedor!E317))</f>
        <v/>
      </c>
      <c r="P313" s="399" t="str">
        <f t="shared" si="16"/>
        <v/>
      </c>
      <c r="Q313" s="405" t="str" cm="1">
        <f t="array" ref="Q313">+_xlfn.IFS(O313="Nacional","CLP",O313="Extranjero","USD",O313="","")</f>
        <v/>
      </c>
      <c r="R313" s="406" t="str">
        <f>IFERROR(IF(O313="Nacional",VLOOKUP(P313,PRICING!$D$4:$E$59,2,FALSE),VLOOKUP(P313,PRICING!$J$4:$K$59,2,FALSE)),"")</f>
        <v/>
      </c>
      <c r="S313"/>
      <c r="U313" s="406" t="str">
        <f t="shared" si="17"/>
        <v/>
      </c>
      <c r="W313" s="408" t="str">
        <f t="shared" si="18"/>
        <v/>
      </c>
      <c r="X313" s="409" t="str">
        <f t="shared" si="19"/>
        <v/>
      </c>
    </row>
    <row r="314" spans="1:24" ht="16" x14ac:dyDescent="0.25">
      <c r="A314" s="399" t="str">
        <f>IF(B314="","",CONCATENATE("GBL",B314," - ",Mantenedor!E318))</f>
        <v/>
      </c>
      <c r="P314" s="399" t="str">
        <f t="shared" si="16"/>
        <v/>
      </c>
      <c r="Q314" s="405" t="str" cm="1">
        <f t="array" ref="Q314">+_xlfn.IFS(O314="Nacional","CLP",O314="Extranjero","USD",O314="","")</f>
        <v/>
      </c>
      <c r="R314" s="406" t="str">
        <f>IFERROR(IF(O314="Nacional",VLOOKUP(P314,PRICING!$D$4:$E$59,2,FALSE),VLOOKUP(P314,PRICING!$J$4:$K$59,2,FALSE)),"")</f>
        <v/>
      </c>
      <c r="S314"/>
      <c r="U314" s="406" t="str">
        <f t="shared" si="17"/>
        <v/>
      </c>
      <c r="W314" s="408" t="str">
        <f t="shared" si="18"/>
        <v/>
      </c>
      <c r="X314" s="409" t="str">
        <f t="shared" si="19"/>
        <v/>
      </c>
    </row>
    <row r="315" spans="1:24" ht="16" x14ac:dyDescent="0.25">
      <c r="A315" s="399" t="str">
        <f>IF(B315="","",CONCATENATE("GBL",B315," - ",Mantenedor!E319))</f>
        <v/>
      </c>
      <c r="P315" s="399" t="str">
        <f t="shared" si="16"/>
        <v/>
      </c>
      <c r="Q315" s="405" t="str" cm="1">
        <f t="array" ref="Q315">+_xlfn.IFS(O315="Nacional","CLP",O315="Extranjero","USD",O315="","")</f>
        <v/>
      </c>
      <c r="R315" s="406" t="str">
        <f>IFERROR(IF(O315="Nacional",VLOOKUP(P315,PRICING!$D$4:$E$59,2,FALSE),VLOOKUP(P315,PRICING!$J$4:$K$59,2,FALSE)),"")</f>
        <v/>
      </c>
      <c r="S315"/>
      <c r="U315" s="406" t="str">
        <f t="shared" si="17"/>
        <v/>
      </c>
      <c r="W315" s="408" t="str">
        <f t="shared" si="18"/>
        <v/>
      </c>
      <c r="X315" s="409" t="str">
        <f t="shared" si="19"/>
        <v/>
      </c>
    </row>
    <row r="316" spans="1:24" ht="16" x14ac:dyDescent="0.25">
      <c r="A316" s="399" t="str">
        <f>IF(B316="","",CONCATENATE("GBL",B316," - ",Mantenedor!E320))</f>
        <v/>
      </c>
      <c r="P316" s="399" t="str">
        <f t="shared" si="16"/>
        <v/>
      </c>
      <c r="Q316" s="405" t="str" cm="1">
        <f t="array" ref="Q316">+_xlfn.IFS(O316="Nacional","CLP",O316="Extranjero","USD",O316="","")</f>
        <v/>
      </c>
      <c r="R316" s="406" t="str">
        <f>IFERROR(IF(O316="Nacional",VLOOKUP(P316,PRICING!$D$4:$E$59,2,FALSE),VLOOKUP(P316,PRICING!$J$4:$K$59,2,FALSE)),"")</f>
        <v/>
      </c>
      <c r="S316"/>
      <c r="U316" s="406" t="str">
        <f t="shared" si="17"/>
        <v/>
      </c>
      <c r="W316" s="408" t="str">
        <f t="shared" si="18"/>
        <v/>
      </c>
      <c r="X316" s="409" t="str">
        <f t="shared" si="19"/>
        <v/>
      </c>
    </row>
    <row r="317" spans="1:24" ht="16" x14ac:dyDescent="0.25">
      <c r="A317" s="399" t="str">
        <f>IF(B317="","",CONCATENATE("GBL",B317," - ",Mantenedor!E321))</f>
        <v/>
      </c>
      <c r="P317" s="399" t="str">
        <f t="shared" si="16"/>
        <v/>
      </c>
      <c r="Q317" s="405" t="str" cm="1">
        <f t="array" ref="Q317">+_xlfn.IFS(O317="Nacional","CLP",O317="Extranjero","USD",O317="","")</f>
        <v/>
      </c>
      <c r="R317" s="406" t="str">
        <f>IFERROR(IF(O317="Nacional",VLOOKUP(P317,PRICING!$D$4:$E$59,2,FALSE),VLOOKUP(P317,PRICING!$J$4:$K$59,2,FALSE)),"")</f>
        <v/>
      </c>
      <c r="S317"/>
      <c r="U317" s="406" t="str">
        <f t="shared" si="17"/>
        <v/>
      </c>
      <c r="W317" s="408" t="str">
        <f t="shared" si="18"/>
        <v/>
      </c>
      <c r="X317" s="409" t="str">
        <f t="shared" si="19"/>
        <v/>
      </c>
    </row>
    <row r="318" spans="1:24" ht="16" x14ac:dyDescent="0.25">
      <c r="A318" s="399" t="str">
        <f>IF(B318="","",CONCATENATE("GBL",B318," - ",Mantenedor!E322))</f>
        <v/>
      </c>
      <c r="P318" s="399" t="str">
        <f t="shared" si="16"/>
        <v/>
      </c>
      <c r="Q318" s="405" t="str" cm="1">
        <f t="array" ref="Q318">+_xlfn.IFS(O318="Nacional","CLP",O318="Extranjero","USD",O318="","")</f>
        <v/>
      </c>
      <c r="R318" s="406" t="str">
        <f>IFERROR(IF(O318="Nacional",VLOOKUP(P318,PRICING!$D$4:$E$59,2,FALSE),VLOOKUP(P318,PRICING!$J$4:$K$59,2,FALSE)),"")</f>
        <v/>
      </c>
      <c r="S318"/>
      <c r="U318" s="406" t="str">
        <f t="shared" si="17"/>
        <v/>
      </c>
      <c r="W318" s="408" t="str">
        <f t="shared" si="18"/>
        <v/>
      </c>
      <c r="X318" s="409" t="str">
        <f t="shared" si="19"/>
        <v/>
      </c>
    </row>
    <row r="319" spans="1:24" ht="16" x14ac:dyDescent="0.25">
      <c r="A319" s="399" t="str">
        <f>IF(B319="","",CONCATENATE("GBL",B319," - ",Mantenedor!E323))</f>
        <v/>
      </c>
      <c r="P319" s="399" t="str">
        <f t="shared" ref="P319:P382" si="20">IF(N319="","",(IF(L319=1,(CONCATENATE("Base ",N319," ",L319," noche")),(CONCATENATE("Base ",N319," ",L319," noches")))))</f>
        <v/>
      </c>
      <c r="Q319" s="405" t="str" cm="1">
        <f t="array" ref="Q319">+_xlfn.IFS(O319="Nacional","CLP",O319="Extranjero","USD",O319="","")</f>
        <v/>
      </c>
      <c r="R319" s="406" t="str">
        <f>IFERROR(IF(O319="Nacional",VLOOKUP(P319,PRICING!$D$4:$E$59,2,FALSE),VLOOKUP(P319,PRICING!$J$4:$K$59,2,FALSE)),"")</f>
        <v/>
      </c>
      <c r="S319"/>
      <c r="U319" s="406" t="str">
        <f t="shared" ref="U319:U382" si="21">IFERROR(+R319*(1-S319),"")</f>
        <v/>
      </c>
      <c r="W319" s="408" t="str">
        <f t="shared" ref="W319:W382" si="22">+IF(U319="","","50"%)</f>
        <v/>
      </c>
      <c r="X319" s="409" t="str">
        <f t="shared" si="19"/>
        <v/>
      </c>
    </row>
    <row r="320" spans="1:24" ht="16" x14ac:dyDescent="0.25">
      <c r="A320" s="399" t="str">
        <f>IF(B320="","",CONCATENATE("GBL",B320," - ",Mantenedor!E324))</f>
        <v/>
      </c>
      <c r="P320" s="399" t="str">
        <f t="shared" si="20"/>
        <v/>
      </c>
      <c r="Q320" s="405" t="str" cm="1">
        <f t="array" ref="Q320">+_xlfn.IFS(O320="Nacional","CLP",O320="Extranjero","USD",O320="","")</f>
        <v/>
      </c>
      <c r="R320" s="406" t="str">
        <f>IFERROR(IF(O320="Nacional",VLOOKUP(P320,PRICING!$D$4:$E$59,2,FALSE),VLOOKUP(P320,PRICING!$J$4:$K$59,2,FALSE)),"")</f>
        <v/>
      </c>
      <c r="S320"/>
      <c r="U320" s="406" t="str">
        <f t="shared" si="21"/>
        <v/>
      </c>
      <c r="W320" s="408" t="str">
        <f t="shared" si="22"/>
        <v/>
      </c>
      <c r="X320" s="409" t="str">
        <f t="shared" ref="X320:X383" si="23">+IF(W320="","",(1-W320))</f>
        <v/>
      </c>
    </row>
    <row r="321" spans="1:24" ht="16" x14ac:dyDescent="0.25">
      <c r="A321" s="399" t="str">
        <f>IF(B321="","",CONCATENATE("GBL",B321," - ",Mantenedor!E325))</f>
        <v/>
      </c>
      <c r="P321" s="399" t="str">
        <f t="shared" si="20"/>
        <v/>
      </c>
      <c r="Q321" s="405" t="str" cm="1">
        <f t="array" ref="Q321">+_xlfn.IFS(O321="Nacional","CLP",O321="Extranjero","USD",O321="","")</f>
        <v/>
      </c>
      <c r="R321" s="406" t="str">
        <f>IFERROR(IF(O321="Nacional",VLOOKUP(P321,PRICING!$D$4:$E$59,2,FALSE),VLOOKUP(P321,PRICING!$J$4:$K$59,2,FALSE)),"")</f>
        <v/>
      </c>
      <c r="S321"/>
      <c r="U321" s="406" t="str">
        <f t="shared" si="21"/>
        <v/>
      </c>
      <c r="W321" s="408" t="str">
        <f t="shared" si="22"/>
        <v/>
      </c>
      <c r="X321" s="409" t="str">
        <f t="shared" si="23"/>
        <v/>
      </c>
    </row>
    <row r="322" spans="1:24" ht="16" x14ac:dyDescent="0.25">
      <c r="A322" s="399" t="str">
        <f>IF(B322="","",CONCATENATE("GBL",B322," - ",Mantenedor!E326))</f>
        <v/>
      </c>
      <c r="P322" s="399" t="str">
        <f t="shared" si="20"/>
        <v/>
      </c>
      <c r="Q322" s="405" t="str" cm="1">
        <f t="array" ref="Q322">+_xlfn.IFS(O322="Nacional","CLP",O322="Extranjero","USD",O322="","")</f>
        <v/>
      </c>
      <c r="R322" s="406" t="str">
        <f>IFERROR(IF(O322="Nacional",VLOOKUP(P322,PRICING!$D$4:$E$59,2,FALSE),VLOOKUP(P322,PRICING!$J$4:$K$59,2,FALSE)),"")</f>
        <v/>
      </c>
      <c r="S322"/>
      <c r="U322" s="406" t="str">
        <f t="shared" si="21"/>
        <v/>
      </c>
      <c r="W322" s="408" t="str">
        <f t="shared" si="22"/>
        <v/>
      </c>
      <c r="X322" s="409" t="str">
        <f t="shared" si="23"/>
        <v/>
      </c>
    </row>
    <row r="323" spans="1:24" ht="16" x14ac:dyDescent="0.25">
      <c r="A323" s="399" t="str">
        <f>IF(B323="","",CONCATENATE("GBL",B323," - ",Mantenedor!E327))</f>
        <v/>
      </c>
      <c r="P323" s="399" t="str">
        <f t="shared" si="20"/>
        <v/>
      </c>
      <c r="Q323" s="405" t="str" cm="1">
        <f t="array" ref="Q323">+_xlfn.IFS(O323="Nacional","CLP",O323="Extranjero","USD",O323="","")</f>
        <v/>
      </c>
      <c r="R323" s="406" t="str">
        <f>IFERROR(IF(O323="Nacional",VLOOKUP(P323,PRICING!$D$4:$E$59,2,FALSE),VLOOKUP(P323,PRICING!$J$4:$K$59,2,FALSE)),"")</f>
        <v/>
      </c>
      <c r="S323"/>
      <c r="U323" s="406" t="str">
        <f t="shared" si="21"/>
        <v/>
      </c>
      <c r="W323" s="408" t="str">
        <f t="shared" si="22"/>
        <v/>
      </c>
      <c r="X323" s="409" t="str">
        <f t="shared" si="23"/>
        <v/>
      </c>
    </row>
    <row r="324" spans="1:24" ht="16" x14ac:dyDescent="0.25">
      <c r="A324" s="399" t="str">
        <f>IF(B324="","",CONCATENATE("GBL",B324," - ",Mantenedor!E328))</f>
        <v/>
      </c>
      <c r="P324" s="399" t="str">
        <f t="shared" si="20"/>
        <v/>
      </c>
      <c r="Q324" s="405" t="str" cm="1">
        <f t="array" ref="Q324">+_xlfn.IFS(O324="Nacional","CLP",O324="Extranjero","USD",O324="","")</f>
        <v/>
      </c>
      <c r="R324" s="406" t="str">
        <f>IFERROR(IF(O324="Nacional",VLOOKUP(P324,PRICING!$D$4:$E$59,2,FALSE),VLOOKUP(P324,PRICING!$J$4:$K$59,2,FALSE)),"")</f>
        <v/>
      </c>
      <c r="S324"/>
      <c r="U324" s="406" t="str">
        <f t="shared" si="21"/>
        <v/>
      </c>
      <c r="W324" s="408" t="str">
        <f t="shared" si="22"/>
        <v/>
      </c>
      <c r="X324" s="409" t="str">
        <f t="shared" si="23"/>
        <v/>
      </c>
    </row>
    <row r="325" spans="1:24" ht="16" x14ac:dyDescent="0.25">
      <c r="A325" s="399" t="str">
        <f>IF(B325="","",CONCATENATE("GBL",B325," - ",Mantenedor!E329))</f>
        <v/>
      </c>
      <c r="P325" s="399" t="str">
        <f t="shared" si="20"/>
        <v/>
      </c>
      <c r="Q325" s="405" t="str" cm="1">
        <f t="array" ref="Q325">+_xlfn.IFS(O325="Nacional","CLP",O325="Extranjero","USD",O325="","")</f>
        <v/>
      </c>
      <c r="R325" s="406" t="str">
        <f>IFERROR(IF(O325="Nacional",VLOOKUP(P325,PRICING!$D$4:$E$59,2,FALSE),VLOOKUP(P325,PRICING!$J$4:$K$59,2,FALSE)),"")</f>
        <v/>
      </c>
      <c r="S325"/>
      <c r="U325" s="406" t="str">
        <f t="shared" si="21"/>
        <v/>
      </c>
      <c r="W325" s="408" t="str">
        <f t="shared" si="22"/>
        <v/>
      </c>
      <c r="X325" s="409" t="str">
        <f t="shared" si="23"/>
        <v/>
      </c>
    </row>
    <row r="326" spans="1:24" ht="16" x14ac:dyDescent="0.25">
      <c r="A326" s="399" t="str">
        <f>IF(B326="","",CONCATENATE("GBL",B326," - ",Mantenedor!E330))</f>
        <v/>
      </c>
      <c r="P326" s="399" t="str">
        <f t="shared" si="20"/>
        <v/>
      </c>
      <c r="Q326" s="405" t="str" cm="1">
        <f t="array" ref="Q326">+_xlfn.IFS(O326="Nacional","CLP",O326="Extranjero","USD",O326="","")</f>
        <v/>
      </c>
      <c r="R326" s="406" t="str">
        <f>IFERROR(IF(O326="Nacional",VLOOKUP(P326,PRICING!$D$4:$E$59,2,FALSE),VLOOKUP(P326,PRICING!$J$4:$K$59,2,FALSE)),"")</f>
        <v/>
      </c>
      <c r="S326"/>
      <c r="U326" s="406" t="str">
        <f t="shared" si="21"/>
        <v/>
      </c>
      <c r="W326" s="408" t="str">
        <f t="shared" si="22"/>
        <v/>
      </c>
      <c r="X326" s="409" t="str">
        <f t="shared" si="23"/>
        <v/>
      </c>
    </row>
    <row r="327" spans="1:24" ht="16" x14ac:dyDescent="0.25">
      <c r="A327" s="399" t="str">
        <f>IF(B327="","",CONCATENATE("GBL",B327," - ",Mantenedor!E331))</f>
        <v/>
      </c>
      <c r="P327" s="399" t="str">
        <f t="shared" si="20"/>
        <v/>
      </c>
      <c r="Q327" s="405" t="str" cm="1">
        <f t="array" ref="Q327">+_xlfn.IFS(O327="Nacional","CLP",O327="Extranjero","USD",O327="","")</f>
        <v/>
      </c>
      <c r="R327" s="406" t="str">
        <f>IFERROR(IF(O327="Nacional",VLOOKUP(P327,PRICING!$D$4:$E$59,2,FALSE),VLOOKUP(P327,PRICING!$J$4:$K$59,2,FALSE)),"")</f>
        <v/>
      </c>
      <c r="S327"/>
      <c r="U327" s="406" t="str">
        <f t="shared" si="21"/>
        <v/>
      </c>
      <c r="W327" s="408" t="str">
        <f t="shared" si="22"/>
        <v/>
      </c>
      <c r="X327" s="409" t="str">
        <f t="shared" si="23"/>
        <v/>
      </c>
    </row>
    <row r="328" spans="1:24" ht="16" x14ac:dyDescent="0.25">
      <c r="A328" s="399" t="str">
        <f>IF(B328="","",CONCATENATE("GBL",B328," - ",Mantenedor!E332))</f>
        <v/>
      </c>
      <c r="P328" s="399" t="str">
        <f t="shared" si="20"/>
        <v/>
      </c>
      <c r="Q328" s="405" t="str" cm="1">
        <f t="array" ref="Q328">+_xlfn.IFS(O328="Nacional","CLP",O328="Extranjero","USD",O328="","")</f>
        <v/>
      </c>
      <c r="R328" s="406" t="str">
        <f>IFERROR(IF(O328="Nacional",VLOOKUP(P328,PRICING!$D$4:$E$59,2,FALSE),VLOOKUP(P328,PRICING!$J$4:$K$59,2,FALSE)),"")</f>
        <v/>
      </c>
      <c r="S328"/>
      <c r="U328" s="406" t="str">
        <f t="shared" si="21"/>
        <v/>
      </c>
      <c r="W328" s="408" t="str">
        <f t="shared" si="22"/>
        <v/>
      </c>
      <c r="X328" s="409" t="str">
        <f t="shared" si="23"/>
        <v/>
      </c>
    </row>
    <row r="329" spans="1:24" ht="16" x14ac:dyDescent="0.25">
      <c r="A329" s="399" t="str">
        <f>IF(B329="","",CONCATENATE("GBL",B329," - ",Mantenedor!E333))</f>
        <v/>
      </c>
      <c r="P329" s="399" t="str">
        <f t="shared" si="20"/>
        <v/>
      </c>
      <c r="Q329" s="405" t="str" cm="1">
        <f t="array" ref="Q329">+_xlfn.IFS(O329="Nacional","CLP",O329="Extranjero","USD",O329="","")</f>
        <v/>
      </c>
      <c r="R329" s="406" t="str">
        <f>IFERROR(IF(O329="Nacional",VLOOKUP(P329,PRICING!$D$4:$E$59,2,FALSE),VLOOKUP(P329,PRICING!$J$4:$K$59,2,FALSE)),"")</f>
        <v/>
      </c>
      <c r="S329"/>
      <c r="U329" s="406" t="str">
        <f t="shared" si="21"/>
        <v/>
      </c>
      <c r="W329" s="408" t="str">
        <f t="shared" si="22"/>
        <v/>
      </c>
      <c r="X329" s="409" t="str">
        <f t="shared" si="23"/>
        <v/>
      </c>
    </row>
    <row r="330" spans="1:24" ht="16" x14ac:dyDescent="0.25">
      <c r="A330" s="399" t="str">
        <f>IF(B330="","",CONCATENATE("GBL",B330," - ",Mantenedor!E334))</f>
        <v/>
      </c>
      <c r="P330" s="399" t="str">
        <f t="shared" si="20"/>
        <v/>
      </c>
      <c r="Q330" s="405" t="str" cm="1">
        <f t="array" ref="Q330">+_xlfn.IFS(O330="Nacional","CLP",O330="Extranjero","USD",O330="","")</f>
        <v/>
      </c>
      <c r="R330" s="406" t="str">
        <f>IFERROR(IF(O330="Nacional",VLOOKUP(P330,PRICING!$D$4:$E$59,2,FALSE),VLOOKUP(P330,PRICING!$J$4:$K$59,2,FALSE)),"")</f>
        <v/>
      </c>
      <c r="S330"/>
      <c r="U330" s="406" t="str">
        <f t="shared" si="21"/>
        <v/>
      </c>
      <c r="W330" s="408" t="str">
        <f t="shared" si="22"/>
        <v/>
      </c>
      <c r="X330" s="409" t="str">
        <f t="shared" si="23"/>
        <v/>
      </c>
    </row>
    <row r="331" spans="1:24" ht="16" x14ac:dyDescent="0.25">
      <c r="A331" s="399" t="str">
        <f>IF(B331="","",CONCATENATE("GBL",B331," - ",Mantenedor!E335))</f>
        <v/>
      </c>
      <c r="P331" s="399" t="str">
        <f t="shared" si="20"/>
        <v/>
      </c>
      <c r="Q331" s="405" t="str" cm="1">
        <f t="array" ref="Q331">+_xlfn.IFS(O331="Nacional","CLP",O331="Extranjero","USD",O331="","")</f>
        <v/>
      </c>
      <c r="R331" s="406" t="str">
        <f>IFERROR(IF(O331="Nacional",VLOOKUP(P331,PRICING!$D$4:$E$59,2,FALSE),VLOOKUP(P331,PRICING!$J$4:$K$59,2,FALSE)),"")</f>
        <v/>
      </c>
      <c r="S331"/>
      <c r="U331" s="406" t="str">
        <f t="shared" si="21"/>
        <v/>
      </c>
      <c r="W331" s="408" t="str">
        <f t="shared" si="22"/>
        <v/>
      </c>
      <c r="X331" s="409" t="str">
        <f t="shared" si="23"/>
        <v/>
      </c>
    </row>
    <row r="332" spans="1:24" ht="16" x14ac:dyDescent="0.25">
      <c r="A332" s="399" t="str">
        <f>IF(B332="","",CONCATENATE("GBL",B332," - ",Mantenedor!E336))</f>
        <v/>
      </c>
      <c r="P332" s="399" t="str">
        <f t="shared" si="20"/>
        <v/>
      </c>
      <c r="Q332" s="405" t="str" cm="1">
        <f t="array" ref="Q332">+_xlfn.IFS(O332="Nacional","CLP",O332="Extranjero","USD",O332="","")</f>
        <v/>
      </c>
      <c r="R332" s="406" t="str">
        <f>IFERROR(IF(O332="Nacional",VLOOKUP(P332,PRICING!$D$4:$E$59,2,FALSE),VLOOKUP(P332,PRICING!$J$4:$K$59,2,FALSE)),"")</f>
        <v/>
      </c>
      <c r="S332"/>
      <c r="U332" s="406" t="str">
        <f t="shared" si="21"/>
        <v/>
      </c>
      <c r="W332" s="408" t="str">
        <f t="shared" si="22"/>
        <v/>
      </c>
      <c r="X332" s="409" t="str">
        <f t="shared" si="23"/>
        <v/>
      </c>
    </row>
    <row r="333" spans="1:24" ht="16" x14ac:dyDescent="0.25">
      <c r="A333" s="399" t="str">
        <f>IF(B333="","",CONCATENATE("GBL",B333," - ",Mantenedor!E337))</f>
        <v/>
      </c>
      <c r="P333" s="399" t="str">
        <f t="shared" si="20"/>
        <v/>
      </c>
      <c r="Q333" s="405" t="str" cm="1">
        <f t="array" ref="Q333">+_xlfn.IFS(O333="Nacional","CLP",O333="Extranjero","USD",O333="","")</f>
        <v/>
      </c>
      <c r="R333" s="406" t="str">
        <f>IFERROR(IF(O333="Nacional",VLOOKUP(P333,PRICING!$D$4:$E$59,2,FALSE),VLOOKUP(P333,PRICING!$J$4:$K$59,2,FALSE)),"")</f>
        <v/>
      </c>
      <c r="S333"/>
      <c r="U333" s="406" t="str">
        <f t="shared" si="21"/>
        <v/>
      </c>
      <c r="W333" s="408" t="str">
        <f t="shared" si="22"/>
        <v/>
      </c>
      <c r="X333" s="409" t="str">
        <f t="shared" si="23"/>
        <v/>
      </c>
    </row>
    <row r="334" spans="1:24" ht="16" x14ac:dyDescent="0.25">
      <c r="A334" s="399" t="str">
        <f>IF(B334="","",CONCATENATE("GBL",B334," - ",Mantenedor!E338))</f>
        <v/>
      </c>
      <c r="P334" s="399" t="str">
        <f t="shared" si="20"/>
        <v/>
      </c>
      <c r="Q334" s="405" t="str" cm="1">
        <f t="array" ref="Q334">+_xlfn.IFS(O334="Nacional","CLP",O334="Extranjero","USD",O334="","")</f>
        <v/>
      </c>
      <c r="R334" s="406" t="str">
        <f>IFERROR(IF(O334="Nacional",VLOOKUP(P334,PRICING!$D$4:$E$59,2,FALSE),VLOOKUP(P334,PRICING!$J$4:$K$59,2,FALSE)),"")</f>
        <v/>
      </c>
      <c r="S334"/>
      <c r="U334" s="406" t="str">
        <f t="shared" si="21"/>
        <v/>
      </c>
      <c r="W334" s="408" t="str">
        <f t="shared" si="22"/>
        <v/>
      </c>
      <c r="X334" s="409" t="str">
        <f t="shared" si="23"/>
        <v/>
      </c>
    </row>
    <row r="335" spans="1:24" ht="16" x14ac:dyDescent="0.25">
      <c r="A335" s="399" t="str">
        <f>IF(B335="","",CONCATENATE("GBL",B335," - ",Mantenedor!E339))</f>
        <v/>
      </c>
      <c r="P335" s="399" t="str">
        <f t="shared" si="20"/>
        <v/>
      </c>
      <c r="Q335" s="405" t="str" cm="1">
        <f t="array" ref="Q335">+_xlfn.IFS(O335="Nacional","CLP",O335="Extranjero","USD",O335="","")</f>
        <v/>
      </c>
      <c r="R335" s="406" t="str">
        <f>IFERROR(IF(O335="Nacional",VLOOKUP(P335,PRICING!$D$4:$E$59,2,FALSE),VLOOKUP(P335,PRICING!$J$4:$K$59,2,FALSE)),"")</f>
        <v/>
      </c>
      <c r="S335"/>
      <c r="U335" s="406" t="str">
        <f t="shared" si="21"/>
        <v/>
      </c>
      <c r="W335" s="408" t="str">
        <f t="shared" si="22"/>
        <v/>
      </c>
      <c r="X335" s="409" t="str">
        <f t="shared" si="23"/>
        <v/>
      </c>
    </row>
    <row r="336" spans="1:24" ht="16" x14ac:dyDescent="0.25">
      <c r="A336" s="399" t="str">
        <f>IF(B336="","",CONCATENATE("GBL",B336," - ",Mantenedor!E340))</f>
        <v/>
      </c>
      <c r="P336" s="399" t="str">
        <f t="shared" si="20"/>
        <v/>
      </c>
      <c r="Q336" s="405" t="str" cm="1">
        <f t="array" ref="Q336">+_xlfn.IFS(O336="Nacional","CLP",O336="Extranjero","USD",O336="","")</f>
        <v/>
      </c>
      <c r="R336" s="406" t="str">
        <f>IFERROR(IF(O336="Nacional",VLOOKUP(P336,PRICING!$D$4:$E$59,2,FALSE),VLOOKUP(P336,PRICING!$J$4:$K$59,2,FALSE)),"")</f>
        <v/>
      </c>
      <c r="S336"/>
      <c r="U336" s="406" t="str">
        <f t="shared" si="21"/>
        <v/>
      </c>
      <c r="W336" s="408" t="str">
        <f t="shared" si="22"/>
        <v/>
      </c>
      <c r="X336" s="409" t="str">
        <f t="shared" si="23"/>
        <v/>
      </c>
    </row>
    <row r="337" spans="1:24" ht="16" x14ac:dyDescent="0.25">
      <c r="A337" s="399" t="str">
        <f>IF(B337="","",CONCATENATE("GBL",B337," - ",Mantenedor!E341))</f>
        <v/>
      </c>
      <c r="P337" s="399" t="str">
        <f t="shared" si="20"/>
        <v/>
      </c>
      <c r="Q337" s="405" t="str" cm="1">
        <f t="array" ref="Q337">+_xlfn.IFS(O337="Nacional","CLP",O337="Extranjero","USD",O337="","")</f>
        <v/>
      </c>
      <c r="R337" s="406" t="str">
        <f>IFERROR(IF(O337="Nacional",VLOOKUP(P337,PRICING!$D$4:$E$59,2,FALSE),VLOOKUP(P337,PRICING!$J$4:$K$59,2,FALSE)),"")</f>
        <v/>
      </c>
      <c r="S337"/>
      <c r="U337" s="406" t="str">
        <f t="shared" si="21"/>
        <v/>
      </c>
      <c r="W337" s="408" t="str">
        <f t="shared" si="22"/>
        <v/>
      </c>
      <c r="X337" s="409" t="str">
        <f t="shared" si="23"/>
        <v/>
      </c>
    </row>
    <row r="338" spans="1:24" ht="16" x14ac:dyDescent="0.25">
      <c r="A338" s="399" t="str">
        <f>IF(B338="","",CONCATENATE("GBL",B338," - ",Mantenedor!E342))</f>
        <v/>
      </c>
      <c r="P338" s="399" t="str">
        <f t="shared" si="20"/>
        <v/>
      </c>
      <c r="Q338" s="405" t="str" cm="1">
        <f t="array" ref="Q338">+_xlfn.IFS(O338="Nacional","CLP",O338="Extranjero","USD",O338="","")</f>
        <v/>
      </c>
      <c r="R338" s="406" t="str">
        <f>IFERROR(IF(O338="Nacional",VLOOKUP(P338,PRICING!$D$4:$E$59,2,FALSE),VLOOKUP(P338,PRICING!$J$4:$K$59,2,FALSE)),"")</f>
        <v/>
      </c>
      <c r="S338"/>
      <c r="U338" s="406" t="str">
        <f t="shared" si="21"/>
        <v/>
      </c>
      <c r="W338" s="408" t="str">
        <f t="shared" si="22"/>
        <v/>
      </c>
      <c r="X338" s="409" t="str">
        <f t="shared" si="23"/>
        <v/>
      </c>
    </row>
    <row r="339" spans="1:24" ht="16" x14ac:dyDescent="0.25">
      <c r="A339" s="399" t="str">
        <f>IF(B339="","",CONCATENATE("GBL",B339," - ",Mantenedor!E343))</f>
        <v/>
      </c>
      <c r="P339" s="399" t="str">
        <f t="shared" si="20"/>
        <v/>
      </c>
      <c r="Q339" s="405" t="str" cm="1">
        <f t="array" ref="Q339">+_xlfn.IFS(O339="Nacional","CLP",O339="Extranjero","USD",O339="","")</f>
        <v/>
      </c>
      <c r="R339" s="406" t="str">
        <f>IFERROR(IF(O339="Nacional",VLOOKUP(P339,PRICING!$D$4:$E$59,2,FALSE),VLOOKUP(P339,PRICING!$J$4:$K$59,2,FALSE)),"")</f>
        <v/>
      </c>
      <c r="S339"/>
      <c r="U339" s="406" t="str">
        <f t="shared" si="21"/>
        <v/>
      </c>
      <c r="W339" s="408" t="str">
        <f t="shared" si="22"/>
        <v/>
      </c>
      <c r="X339" s="409" t="str">
        <f t="shared" si="23"/>
        <v/>
      </c>
    </row>
    <row r="340" spans="1:24" ht="16" x14ac:dyDescent="0.25">
      <c r="A340" s="399" t="str">
        <f>IF(B340="","",CONCATENATE("GBL",B340," - ",Mantenedor!E344))</f>
        <v/>
      </c>
      <c r="P340" s="399" t="str">
        <f t="shared" si="20"/>
        <v/>
      </c>
      <c r="Q340" s="405" t="str" cm="1">
        <f t="array" ref="Q340">+_xlfn.IFS(O340="Nacional","CLP",O340="Extranjero","USD",O340="","")</f>
        <v/>
      </c>
      <c r="R340" s="406" t="str">
        <f>IFERROR(IF(O340="Nacional",VLOOKUP(P340,PRICING!$D$4:$E$59,2,FALSE),VLOOKUP(P340,PRICING!$J$4:$K$59,2,FALSE)),"")</f>
        <v/>
      </c>
      <c r="S340"/>
      <c r="U340" s="406" t="str">
        <f t="shared" si="21"/>
        <v/>
      </c>
      <c r="W340" s="408" t="str">
        <f t="shared" si="22"/>
        <v/>
      </c>
      <c r="X340" s="409" t="str">
        <f t="shared" si="23"/>
        <v/>
      </c>
    </row>
    <row r="341" spans="1:24" ht="16" x14ac:dyDescent="0.25">
      <c r="A341" s="399" t="str">
        <f>IF(B341="","",CONCATENATE("GBL",B341," - ",Mantenedor!E345))</f>
        <v/>
      </c>
      <c r="P341" s="399" t="str">
        <f t="shared" si="20"/>
        <v/>
      </c>
      <c r="Q341" s="405" t="str" cm="1">
        <f t="array" ref="Q341">+_xlfn.IFS(O341="Nacional","CLP",O341="Extranjero","USD",O341="","")</f>
        <v/>
      </c>
      <c r="R341" s="406" t="str">
        <f>IFERROR(IF(O341="Nacional",VLOOKUP(P341,PRICING!$D$4:$E$59,2,FALSE),VLOOKUP(P341,PRICING!$J$4:$K$59,2,FALSE)),"")</f>
        <v/>
      </c>
      <c r="S341"/>
      <c r="U341" s="406" t="str">
        <f t="shared" si="21"/>
        <v/>
      </c>
      <c r="W341" s="408" t="str">
        <f t="shared" si="22"/>
        <v/>
      </c>
      <c r="X341" s="409" t="str">
        <f t="shared" si="23"/>
        <v/>
      </c>
    </row>
    <row r="342" spans="1:24" ht="16" x14ac:dyDescent="0.25">
      <c r="A342" s="399" t="str">
        <f>IF(B342="","",CONCATENATE("GBL",B342," - ",Mantenedor!E346))</f>
        <v/>
      </c>
      <c r="P342" s="399" t="str">
        <f t="shared" si="20"/>
        <v/>
      </c>
      <c r="Q342" s="405" t="str" cm="1">
        <f t="array" ref="Q342">+_xlfn.IFS(O342="Nacional","CLP",O342="Extranjero","USD",O342="","")</f>
        <v/>
      </c>
      <c r="R342" s="406" t="str">
        <f>IFERROR(IF(O342="Nacional",VLOOKUP(P342,PRICING!$D$4:$E$59,2,FALSE),VLOOKUP(P342,PRICING!$J$4:$K$59,2,FALSE)),"")</f>
        <v/>
      </c>
      <c r="S342"/>
      <c r="U342" s="406" t="str">
        <f t="shared" si="21"/>
        <v/>
      </c>
      <c r="W342" s="408" t="str">
        <f t="shared" si="22"/>
        <v/>
      </c>
      <c r="X342" s="409" t="str">
        <f t="shared" si="23"/>
        <v/>
      </c>
    </row>
    <row r="343" spans="1:24" ht="16" x14ac:dyDescent="0.25">
      <c r="A343" s="399" t="str">
        <f>IF(B343="","",CONCATENATE("GBL",B343," - ",Mantenedor!E347))</f>
        <v/>
      </c>
      <c r="P343" s="399" t="str">
        <f t="shared" si="20"/>
        <v/>
      </c>
      <c r="Q343" s="405" t="str" cm="1">
        <f t="array" ref="Q343">+_xlfn.IFS(O343="Nacional","CLP",O343="Extranjero","USD",O343="","")</f>
        <v/>
      </c>
      <c r="R343" s="406" t="str">
        <f>IFERROR(IF(O343="Nacional",VLOOKUP(P343,PRICING!$D$4:$E$59,2,FALSE),VLOOKUP(P343,PRICING!$J$4:$K$59,2,FALSE)),"")</f>
        <v/>
      </c>
      <c r="S343"/>
      <c r="U343" s="406" t="str">
        <f t="shared" si="21"/>
        <v/>
      </c>
      <c r="W343" s="408" t="str">
        <f t="shared" si="22"/>
        <v/>
      </c>
      <c r="X343" s="409" t="str">
        <f t="shared" si="23"/>
        <v/>
      </c>
    </row>
    <row r="344" spans="1:24" ht="16" x14ac:dyDescent="0.25">
      <c r="A344" s="399" t="str">
        <f>IF(B344="","",CONCATENATE("GBL",B344," - ",Mantenedor!E348))</f>
        <v/>
      </c>
      <c r="P344" s="399" t="str">
        <f t="shared" si="20"/>
        <v/>
      </c>
      <c r="Q344" s="405" t="str" cm="1">
        <f t="array" ref="Q344">+_xlfn.IFS(O344="Nacional","CLP",O344="Extranjero","USD",O344="","")</f>
        <v/>
      </c>
      <c r="R344" s="406" t="str">
        <f>IFERROR(IF(O344="Nacional",VLOOKUP(P344,PRICING!$D$4:$E$59,2,FALSE),VLOOKUP(P344,PRICING!$J$4:$K$59,2,FALSE)),"")</f>
        <v/>
      </c>
      <c r="S344"/>
      <c r="U344" s="406" t="str">
        <f t="shared" si="21"/>
        <v/>
      </c>
      <c r="W344" s="408" t="str">
        <f t="shared" si="22"/>
        <v/>
      </c>
      <c r="X344" s="409" t="str">
        <f t="shared" si="23"/>
        <v/>
      </c>
    </row>
    <row r="345" spans="1:24" ht="16" x14ac:dyDescent="0.25">
      <c r="A345" s="399" t="str">
        <f>IF(B345="","",CONCATENATE("GBL",B345," - ",Mantenedor!E349))</f>
        <v/>
      </c>
      <c r="P345" s="399" t="str">
        <f t="shared" si="20"/>
        <v/>
      </c>
      <c r="Q345" s="405" t="str" cm="1">
        <f t="array" ref="Q345">+_xlfn.IFS(O345="Nacional","CLP",O345="Extranjero","USD",O345="","")</f>
        <v/>
      </c>
      <c r="R345" s="406" t="str">
        <f>IFERROR(IF(O345="Nacional",VLOOKUP(P345,PRICING!$D$4:$E$59,2,FALSE),VLOOKUP(P345,PRICING!$J$4:$K$59,2,FALSE)),"")</f>
        <v/>
      </c>
      <c r="S345"/>
      <c r="U345" s="406" t="str">
        <f t="shared" si="21"/>
        <v/>
      </c>
      <c r="W345" s="408" t="str">
        <f t="shared" si="22"/>
        <v/>
      </c>
      <c r="X345" s="409" t="str">
        <f t="shared" si="23"/>
        <v/>
      </c>
    </row>
    <row r="346" spans="1:24" ht="16" x14ac:dyDescent="0.25">
      <c r="A346" s="399" t="str">
        <f>IF(B346="","",CONCATENATE("GBL",B346," - ",Mantenedor!E350))</f>
        <v/>
      </c>
      <c r="P346" s="399" t="str">
        <f t="shared" si="20"/>
        <v/>
      </c>
      <c r="Q346" s="405" t="str" cm="1">
        <f t="array" ref="Q346">+_xlfn.IFS(O346="Nacional","CLP",O346="Extranjero","USD",O346="","")</f>
        <v/>
      </c>
      <c r="R346" s="406" t="str">
        <f>IFERROR(IF(O346="Nacional",VLOOKUP(P346,PRICING!$D$4:$E$59,2,FALSE),VLOOKUP(P346,PRICING!$J$4:$K$59,2,FALSE)),"")</f>
        <v/>
      </c>
      <c r="S346"/>
      <c r="U346" s="406" t="str">
        <f t="shared" si="21"/>
        <v/>
      </c>
      <c r="W346" s="408" t="str">
        <f t="shared" si="22"/>
        <v/>
      </c>
      <c r="X346" s="409" t="str">
        <f t="shared" si="23"/>
        <v/>
      </c>
    </row>
    <row r="347" spans="1:24" ht="16" x14ac:dyDescent="0.25">
      <c r="A347" s="399" t="str">
        <f>IF(B347="","",CONCATENATE("GBL",B347," - ",Mantenedor!E351))</f>
        <v/>
      </c>
      <c r="P347" s="399" t="str">
        <f t="shared" si="20"/>
        <v/>
      </c>
      <c r="Q347" s="405" t="str" cm="1">
        <f t="array" ref="Q347">+_xlfn.IFS(O347="Nacional","CLP",O347="Extranjero","USD",O347="","")</f>
        <v/>
      </c>
      <c r="R347" s="406" t="str">
        <f>IFERROR(IF(O347="Nacional",VLOOKUP(P347,PRICING!$D$4:$E$59,2,FALSE),VLOOKUP(P347,PRICING!$J$4:$K$59,2,FALSE)),"")</f>
        <v/>
      </c>
      <c r="S347"/>
      <c r="U347" s="406" t="str">
        <f t="shared" si="21"/>
        <v/>
      </c>
      <c r="W347" s="408" t="str">
        <f t="shared" si="22"/>
        <v/>
      </c>
      <c r="X347" s="409" t="str">
        <f t="shared" si="23"/>
        <v/>
      </c>
    </row>
    <row r="348" spans="1:24" ht="16" x14ac:dyDescent="0.25">
      <c r="A348" s="399" t="str">
        <f>IF(B348="","",CONCATENATE("GBL",B348," - ",Mantenedor!E352))</f>
        <v/>
      </c>
      <c r="P348" s="399" t="str">
        <f t="shared" si="20"/>
        <v/>
      </c>
      <c r="Q348" s="405" t="str" cm="1">
        <f t="array" ref="Q348">+_xlfn.IFS(O348="Nacional","CLP",O348="Extranjero","USD",O348="","")</f>
        <v/>
      </c>
      <c r="R348" s="406" t="str">
        <f>IFERROR(IF(O348="Nacional",VLOOKUP(P348,PRICING!$D$4:$E$59,2,FALSE),VLOOKUP(P348,PRICING!$J$4:$K$59,2,FALSE)),"")</f>
        <v/>
      </c>
      <c r="S348"/>
      <c r="U348" s="406" t="str">
        <f t="shared" si="21"/>
        <v/>
      </c>
      <c r="W348" s="408" t="str">
        <f t="shared" si="22"/>
        <v/>
      </c>
      <c r="X348" s="409" t="str">
        <f t="shared" si="23"/>
        <v/>
      </c>
    </row>
    <row r="349" spans="1:24" ht="16" x14ac:dyDescent="0.25">
      <c r="A349" s="399" t="str">
        <f>IF(B349="","",CONCATENATE("GBL",B349," - ",Mantenedor!E353))</f>
        <v/>
      </c>
      <c r="P349" s="399" t="str">
        <f t="shared" si="20"/>
        <v/>
      </c>
      <c r="Q349" s="405" t="str" cm="1">
        <f t="array" ref="Q349">+_xlfn.IFS(O349="Nacional","CLP",O349="Extranjero","USD",O349="","")</f>
        <v/>
      </c>
      <c r="R349" s="406" t="str">
        <f>IFERROR(IF(O349="Nacional",VLOOKUP(P349,PRICING!$D$4:$E$59,2,FALSE),VLOOKUP(P349,PRICING!$J$4:$K$59,2,FALSE)),"")</f>
        <v/>
      </c>
      <c r="S349"/>
      <c r="U349" s="406" t="str">
        <f t="shared" si="21"/>
        <v/>
      </c>
      <c r="W349" s="408" t="str">
        <f t="shared" si="22"/>
        <v/>
      </c>
      <c r="X349" s="409" t="str">
        <f t="shared" si="23"/>
        <v/>
      </c>
    </row>
    <row r="350" spans="1:24" ht="16" x14ac:dyDescent="0.25">
      <c r="A350" s="399" t="str">
        <f>IF(B350="","",CONCATENATE("GBL",B350," - ",Mantenedor!E354))</f>
        <v/>
      </c>
      <c r="P350" s="399" t="str">
        <f t="shared" si="20"/>
        <v/>
      </c>
      <c r="Q350" s="405" t="str" cm="1">
        <f t="array" ref="Q350">+_xlfn.IFS(O350="Nacional","CLP",O350="Extranjero","USD",O350="","")</f>
        <v/>
      </c>
      <c r="R350" s="406" t="str">
        <f>IFERROR(IF(O350="Nacional",VLOOKUP(P350,PRICING!$D$4:$E$59,2,FALSE),VLOOKUP(P350,PRICING!$J$4:$K$59,2,FALSE)),"")</f>
        <v/>
      </c>
      <c r="S350"/>
      <c r="U350" s="406" t="str">
        <f t="shared" si="21"/>
        <v/>
      </c>
      <c r="W350" s="408" t="str">
        <f t="shared" si="22"/>
        <v/>
      </c>
      <c r="X350" s="409" t="str">
        <f t="shared" si="23"/>
        <v/>
      </c>
    </row>
    <row r="351" spans="1:24" ht="16" x14ac:dyDescent="0.25">
      <c r="A351" s="399" t="str">
        <f>IF(B351="","",CONCATENATE("GBL",B351," - ",Mantenedor!E355))</f>
        <v/>
      </c>
      <c r="P351" s="399" t="str">
        <f t="shared" si="20"/>
        <v/>
      </c>
      <c r="Q351" s="405" t="str" cm="1">
        <f t="array" ref="Q351">+_xlfn.IFS(O351="Nacional","CLP",O351="Extranjero","USD",O351="","")</f>
        <v/>
      </c>
      <c r="R351" s="406" t="str">
        <f>IFERROR(IF(O351="Nacional",VLOOKUP(P351,PRICING!$D$4:$E$59,2,FALSE),VLOOKUP(P351,PRICING!$J$4:$K$59,2,FALSE)),"")</f>
        <v/>
      </c>
      <c r="S351"/>
      <c r="U351" s="406" t="str">
        <f t="shared" si="21"/>
        <v/>
      </c>
      <c r="W351" s="408" t="str">
        <f t="shared" si="22"/>
        <v/>
      </c>
      <c r="X351" s="409" t="str">
        <f t="shared" si="23"/>
        <v/>
      </c>
    </row>
    <row r="352" spans="1:24" ht="16" x14ac:dyDescent="0.25">
      <c r="A352" s="399" t="str">
        <f>IF(B352="","",CONCATENATE("GBL",B352," - ",Mantenedor!E356))</f>
        <v/>
      </c>
      <c r="P352" s="399" t="str">
        <f t="shared" si="20"/>
        <v/>
      </c>
      <c r="Q352" s="405" t="str" cm="1">
        <f t="array" ref="Q352">+_xlfn.IFS(O352="Nacional","CLP",O352="Extranjero","USD",O352="","")</f>
        <v/>
      </c>
      <c r="R352" s="406" t="str">
        <f>IFERROR(IF(O352="Nacional",VLOOKUP(P352,PRICING!$D$4:$E$59,2,FALSE),VLOOKUP(P352,PRICING!$J$4:$K$59,2,FALSE)),"")</f>
        <v/>
      </c>
      <c r="S352"/>
      <c r="U352" s="406" t="str">
        <f t="shared" si="21"/>
        <v/>
      </c>
      <c r="W352" s="408" t="str">
        <f t="shared" si="22"/>
        <v/>
      </c>
      <c r="X352" s="409" t="str">
        <f t="shared" si="23"/>
        <v/>
      </c>
    </row>
    <row r="353" spans="1:24" ht="16" x14ac:dyDescent="0.25">
      <c r="A353" s="399" t="str">
        <f>IF(B353="","",CONCATENATE("GBL",B353," - ",Mantenedor!E357))</f>
        <v/>
      </c>
      <c r="P353" s="399" t="str">
        <f t="shared" si="20"/>
        <v/>
      </c>
      <c r="Q353" s="405" t="str" cm="1">
        <f t="array" ref="Q353">+_xlfn.IFS(O353="Nacional","CLP",O353="Extranjero","USD",O353="","")</f>
        <v/>
      </c>
      <c r="R353" s="406" t="str">
        <f>IFERROR(IF(O353="Nacional",VLOOKUP(P353,PRICING!$D$4:$E$59,2,FALSE),VLOOKUP(P353,PRICING!$J$4:$K$59,2,FALSE)),"")</f>
        <v/>
      </c>
      <c r="S353"/>
      <c r="U353" s="406" t="str">
        <f t="shared" si="21"/>
        <v/>
      </c>
      <c r="W353" s="408" t="str">
        <f t="shared" si="22"/>
        <v/>
      </c>
      <c r="X353" s="409" t="str">
        <f t="shared" si="23"/>
        <v/>
      </c>
    </row>
    <row r="354" spans="1:24" ht="16" x14ac:dyDescent="0.25">
      <c r="A354" s="399" t="str">
        <f>IF(B354="","",CONCATENATE("GBL",B354," - ",Mantenedor!E358))</f>
        <v/>
      </c>
      <c r="P354" s="399" t="str">
        <f t="shared" si="20"/>
        <v/>
      </c>
      <c r="Q354" s="405" t="str" cm="1">
        <f t="array" ref="Q354">+_xlfn.IFS(O354="Nacional","CLP",O354="Extranjero","USD",O354="","")</f>
        <v/>
      </c>
      <c r="R354" s="406" t="str">
        <f>IFERROR(IF(O354="Nacional",VLOOKUP(P354,PRICING!$D$4:$E$59,2,FALSE),VLOOKUP(P354,PRICING!$J$4:$K$59,2,FALSE)),"")</f>
        <v/>
      </c>
      <c r="S354"/>
      <c r="U354" s="406" t="str">
        <f t="shared" si="21"/>
        <v/>
      </c>
      <c r="W354" s="408" t="str">
        <f t="shared" si="22"/>
        <v/>
      </c>
      <c r="X354" s="409" t="str">
        <f t="shared" si="23"/>
        <v/>
      </c>
    </row>
    <row r="355" spans="1:24" ht="16" x14ac:dyDescent="0.25">
      <c r="A355" s="399" t="str">
        <f>IF(B355="","",CONCATENATE("GBL",B355," - ",Mantenedor!E359))</f>
        <v/>
      </c>
      <c r="P355" s="399" t="str">
        <f t="shared" si="20"/>
        <v/>
      </c>
      <c r="Q355" s="405" t="str" cm="1">
        <f t="array" ref="Q355">+_xlfn.IFS(O355="Nacional","CLP",O355="Extranjero","USD",O355="","")</f>
        <v/>
      </c>
      <c r="R355" s="406" t="str">
        <f>IFERROR(IF(O355="Nacional",VLOOKUP(P355,PRICING!$D$4:$E$59,2,FALSE),VLOOKUP(P355,PRICING!$J$4:$K$59,2,FALSE)),"")</f>
        <v/>
      </c>
      <c r="S355"/>
      <c r="U355" s="406" t="str">
        <f t="shared" si="21"/>
        <v/>
      </c>
      <c r="W355" s="408" t="str">
        <f t="shared" si="22"/>
        <v/>
      </c>
      <c r="X355" s="409" t="str">
        <f t="shared" si="23"/>
        <v/>
      </c>
    </row>
    <row r="356" spans="1:24" ht="16" x14ac:dyDescent="0.25">
      <c r="A356" s="399" t="str">
        <f>IF(B356="","",CONCATENATE("GBL",B356," - ",Mantenedor!E360))</f>
        <v/>
      </c>
      <c r="P356" s="399" t="str">
        <f t="shared" si="20"/>
        <v/>
      </c>
      <c r="Q356" s="405" t="str" cm="1">
        <f t="array" ref="Q356">+_xlfn.IFS(O356="Nacional","CLP",O356="Extranjero","USD",O356="","")</f>
        <v/>
      </c>
      <c r="R356" s="406" t="str">
        <f>IFERROR(IF(O356="Nacional",VLOOKUP(P356,PRICING!$D$4:$E$59,2,FALSE),VLOOKUP(P356,PRICING!$J$4:$K$59,2,FALSE)),"")</f>
        <v/>
      </c>
      <c r="S356"/>
      <c r="U356" s="406" t="str">
        <f t="shared" si="21"/>
        <v/>
      </c>
      <c r="W356" s="408" t="str">
        <f t="shared" si="22"/>
        <v/>
      </c>
      <c r="X356" s="409" t="str">
        <f t="shared" si="23"/>
        <v/>
      </c>
    </row>
    <row r="357" spans="1:24" ht="16" x14ac:dyDescent="0.25">
      <c r="A357" s="399" t="str">
        <f>IF(B357="","",CONCATENATE("GBL",B357," - ",Mantenedor!E361))</f>
        <v/>
      </c>
      <c r="P357" s="399" t="str">
        <f t="shared" si="20"/>
        <v/>
      </c>
      <c r="Q357" s="405" t="str" cm="1">
        <f t="array" ref="Q357">+_xlfn.IFS(O357="Nacional","CLP",O357="Extranjero","USD",O357="","")</f>
        <v/>
      </c>
      <c r="R357" s="406" t="str">
        <f>IFERROR(IF(O357="Nacional",VLOOKUP(P357,PRICING!$D$4:$E$59,2,FALSE),VLOOKUP(P357,PRICING!$J$4:$K$59,2,FALSE)),"")</f>
        <v/>
      </c>
      <c r="S357"/>
      <c r="U357" s="406" t="str">
        <f t="shared" si="21"/>
        <v/>
      </c>
      <c r="W357" s="408" t="str">
        <f t="shared" si="22"/>
        <v/>
      </c>
      <c r="X357" s="409" t="str">
        <f t="shared" si="23"/>
        <v/>
      </c>
    </row>
    <row r="358" spans="1:24" ht="16" x14ac:dyDescent="0.25">
      <c r="A358" s="399" t="str">
        <f>IF(B358="","",CONCATENATE("GBL",B358," - ",Mantenedor!E362))</f>
        <v/>
      </c>
      <c r="P358" s="399" t="str">
        <f t="shared" si="20"/>
        <v/>
      </c>
      <c r="Q358" s="405" t="str" cm="1">
        <f t="array" ref="Q358">+_xlfn.IFS(O358="Nacional","CLP",O358="Extranjero","USD",O358="","")</f>
        <v/>
      </c>
      <c r="R358" s="406" t="str">
        <f>IFERROR(IF(O358="Nacional",VLOOKUP(P358,PRICING!$D$4:$E$59,2,FALSE),VLOOKUP(P358,PRICING!$J$4:$K$59,2,FALSE)),"")</f>
        <v/>
      </c>
      <c r="S358"/>
      <c r="U358" s="406" t="str">
        <f t="shared" si="21"/>
        <v/>
      </c>
      <c r="W358" s="408" t="str">
        <f t="shared" si="22"/>
        <v/>
      </c>
      <c r="X358" s="409" t="str">
        <f t="shared" si="23"/>
        <v/>
      </c>
    </row>
    <row r="359" spans="1:24" ht="16" x14ac:dyDescent="0.25">
      <c r="A359" s="399" t="str">
        <f>IF(B359="","",CONCATENATE("GBL",B359," - ",Mantenedor!E363))</f>
        <v/>
      </c>
      <c r="P359" s="399" t="str">
        <f t="shared" si="20"/>
        <v/>
      </c>
      <c r="Q359" s="405" t="str" cm="1">
        <f t="array" ref="Q359">+_xlfn.IFS(O359="Nacional","CLP",O359="Extranjero","USD",O359="","")</f>
        <v/>
      </c>
      <c r="R359" s="406" t="str">
        <f>IFERROR(IF(O359="Nacional",VLOOKUP(P359,PRICING!$D$4:$E$59,2,FALSE),VLOOKUP(P359,PRICING!$J$4:$K$59,2,FALSE)),"")</f>
        <v/>
      </c>
      <c r="S359"/>
      <c r="U359" s="406" t="str">
        <f t="shared" si="21"/>
        <v/>
      </c>
      <c r="W359" s="408" t="str">
        <f t="shared" si="22"/>
        <v/>
      </c>
      <c r="X359" s="409" t="str">
        <f t="shared" si="23"/>
        <v/>
      </c>
    </row>
    <row r="360" spans="1:24" ht="16" x14ac:dyDescent="0.25">
      <c r="A360" s="399" t="str">
        <f>IF(B360="","",CONCATENATE("GBL",B360," - ",Mantenedor!E364))</f>
        <v/>
      </c>
      <c r="P360" s="399" t="str">
        <f t="shared" si="20"/>
        <v/>
      </c>
      <c r="Q360" s="405" t="str" cm="1">
        <f t="array" ref="Q360">+_xlfn.IFS(O360="Nacional","CLP",O360="Extranjero","USD",O360="","")</f>
        <v/>
      </c>
      <c r="R360" s="406" t="str">
        <f>IFERROR(IF(O360="Nacional",VLOOKUP(P360,PRICING!$D$4:$E$59,2,FALSE),VLOOKUP(P360,PRICING!$J$4:$K$59,2,FALSE)),"")</f>
        <v/>
      </c>
      <c r="S360"/>
      <c r="U360" s="406" t="str">
        <f t="shared" si="21"/>
        <v/>
      </c>
      <c r="W360" s="408" t="str">
        <f t="shared" si="22"/>
        <v/>
      </c>
      <c r="X360" s="409" t="str">
        <f t="shared" si="23"/>
        <v/>
      </c>
    </row>
    <row r="361" spans="1:24" ht="16" x14ac:dyDescent="0.25">
      <c r="A361" s="399" t="str">
        <f>IF(B361="","",CONCATENATE("GBL",B361," - ",Mantenedor!E365))</f>
        <v/>
      </c>
      <c r="P361" s="399" t="str">
        <f t="shared" si="20"/>
        <v/>
      </c>
      <c r="Q361" s="405" t="str" cm="1">
        <f t="array" ref="Q361">+_xlfn.IFS(O361="Nacional","CLP",O361="Extranjero","USD",O361="","")</f>
        <v/>
      </c>
      <c r="R361" s="406" t="str">
        <f>IFERROR(IF(O361="Nacional",VLOOKUP(P361,PRICING!$D$4:$E$59,2,FALSE),VLOOKUP(P361,PRICING!$J$4:$K$59,2,FALSE)),"")</f>
        <v/>
      </c>
      <c r="S361"/>
      <c r="U361" s="406" t="str">
        <f t="shared" si="21"/>
        <v/>
      </c>
      <c r="W361" s="408" t="str">
        <f t="shared" si="22"/>
        <v/>
      </c>
      <c r="X361" s="409" t="str">
        <f t="shared" si="23"/>
        <v/>
      </c>
    </row>
    <row r="362" spans="1:24" ht="16" x14ac:dyDescent="0.25">
      <c r="A362" s="399" t="str">
        <f>IF(B362="","",CONCATENATE("GBL",B362," - ",Mantenedor!E366))</f>
        <v/>
      </c>
      <c r="P362" s="399" t="str">
        <f t="shared" si="20"/>
        <v/>
      </c>
      <c r="Q362" s="405" t="str" cm="1">
        <f t="array" ref="Q362">+_xlfn.IFS(O362="Nacional","CLP",O362="Extranjero","USD",O362="","")</f>
        <v/>
      </c>
      <c r="R362" s="406" t="str">
        <f>IFERROR(IF(O362="Nacional",VLOOKUP(P362,PRICING!$D$4:$E$59,2,FALSE),VLOOKUP(P362,PRICING!$J$4:$K$59,2,FALSE)),"")</f>
        <v/>
      </c>
      <c r="S362"/>
      <c r="U362" s="406" t="str">
        <f t="shared" si="21"/>
        <v/>
      </c>
      <c r="W362" s="408" t="str">
        <f t="shared" si="22"/>
        <v/>
      </c>
      <c r="X362" s="409" t="str">
        <f t="shared" si="23"/>
        <v/>
      </c>
    </row>
    <row r="363" spans="1:24" ht="16" x14ac:dyDescent="0.25">
      <c r="A363" s="399" t="str">
        <f>IF(B363="","",CONCATENATE("GBL",B363," - ",Mantenedor!E367))</f>
        <v/>
      </c>
      <c r="P363" s="399" t="str">
        <f t="shared" si="20"/>
        <v/>
      </c>
      <c r="Q363" s="405" t="str" cm="1">
        <f t="array" ref="Q363">+_xlfn.IFS(O363="Nacional","CLP",O363="Extranjero","USD",O363="","")</f>
        <v/>
      </c>
      <c r="R363" s="406" t="str">
        <f>IFERROR(IF(O363="Nacional",VLOOKUP(P363,PRICING!$D$4:$E$59,2,FALSE),VLOOKUP(P363,PRICING!$J$4:$K$59,2,FALSE)),"")</f>
        <v/>
      </c>
      <c r="S363"/>
      <c r="U363" s="406" t="str">
        <f t="shared" si="21"/>
        <v/>
      </c>
      <c r="W363" s="408" t="str">
        <f t="shared" si="22"/>
        <v/>
      </c>
      <c r="X363" s="409" t="str">
        <f t="shared" si="23"/>
        <v/>
      </c>
    </row>
    <row r="364" spans="1:24" ht="16" x14ac:dyDescent="0.25">
      <c r="A364" s="399" t="str">
        <f>IF(B364="","",CONCATENATE("GBL",B364," - ",Mantenedor!E368))</f>
        <v/>
      </c>
      <c r="P364" s="399" t="str">
        <f t="shared" si="20"/>
        <v/>
      </c>
      <c r="Q364" s="405" t="str" cm="1">
        <f t="array" ref="Q364">+_xlfn.IFS(O364="Nacional","CLP",O364="Extranjero","USD",O364="","")</f>
        <v/>
      </c>
      <c r="R364" s="406" t="str">
        <f>IFERROR(IF(O364="Nacional",VLOOKUP(P364,PRICING!$D$4:$E$59,2,FALSE),VLOOKUP(P364,PRICING!$J$4:$K$59,2,FALSE)),"")</f>
        <v/>
      </c>
      <c r="S364"/>
      <c r="U364" s="406" t="str">
        <f t="shared" si="21"/>
        <v/>
      </c>
      <c r="W364" s="408" t="str">
        <f t="shared" si="22"/>
        <v/>
      </c>
      <c r="X364" s="409" t="str">
        <f t="shared" si="23"/>
        <v/>
      </c>
    </row>
    <row r="365" spans="1:24" ht="16" x14ac:dyDescent="0.25">
      <c r="A365" s="399" t="str">
        <f>IF(B365="","",CONCATENATE("GBL",B365," - ",Mantenedor!E369))</f>
        <v/>
      </c>
      <c r="P365" s="399" t="str">
        <f t="shared" si="20"/>
        <v/>
      </c>
      <c r="Q365" s="405" t="str" cm="1">
        <f t="array" ref="Q365">+_xlfn.IFS(O365="Nacional","CLP",O365="Extranjero","USD",O365="","")</f>
        <v/>
      </c>
      <c r="R365" s="406" t="str">
        <f>IFERROR(IF(O365="Nacional",VLOOKUP(P365,PRICING!$D$4:$E$59,2,FALSE),VLOOKUP(P365,PRICING!$J$4:$K$59,2,FALSE)),"")</f>
        <v/>
      </c>
      <c r="S365"/>
      <c r="U365" s="406" t="str">
        <f t="shared" si="21"/>
        <v/>
      </c>
      <c r="W365" s="408" t="str">
        <f t="shared" si="22"/>
        <v/>
      </c>
      <c r="X365" s="409" t="str">
        <f t="shared" si="23"/>
        <v/>
      </c>
    </row>
    <row r="366" spans="1:24" ht="16" x14ac:dyDescent="0.25">
      <c r="A366" s="399" t="str">
        <f>IF(B366="","",CONCATENATE("GBL",B366," - ",Mantenedor!E370))</f>
        <v/>
      </c>
      <c r="P366" s="399" t="str">
        <f t="shared" si="20"/>
        <v/>
      </c>
      <c r="Q366" s="405" t="str" cm="1">
        <f t="array" ref="Q366">+_xlfn.IFS(O366="Nacional","CLP",O366="Extranjero","USD",O366="","")</f>
        <v/>
      </c>
      <c r="R366" s="406" t="str">
        <f>IFERROR(IF(O366="Nacional",VLOOKUP(P366,PRICING!$D$4:$E$59,2,FALSE),VLOOKUP(P366,PRICING!$J$4:$K$59,2,FALSE)),"")</f>
        <v/>
      </c>
      <c r="S366"/>
      <c r="U366" s="406" t="str">
        <f t="shared" si="21"/>
        <v/>
      </c>
      <c r="W366" s="408" t="str">
        <f t="shared" si="22"/>
        <v/>
      </c>
      <c r="X366" s="409" t="str">
        <f t="shared" si="23"/>
        <v/>
      </c>
    </row>
    <row r="367" spans="1:24" ht="16" x14ac:dyDescent="0.25">
      <c r="A367" s="399" t="str">
        <f>IF(B367="","",CONCATENATE("GBL",B367," - ",Mantenedor!E371))</f>
        <v/>
      </c>
      <c r="P367" s="399" t="str">
        <f t="shared" si="20"/>
        <v/>
      </c>
      <c r="Q367" s="405" t="str" cm="1">
        <f t="array" ref="Q367">+_xlfn.IFS(O367="Nacional","CLP",O367="Extranjero","USD",O367="","")</f>
        <v/>
      </c>
      <c r="R367" s="406" t="str">
        <f>IFERROR(IF(O367="Nacional",VLOOKUP(P367,PRICING!$D$4:$E$59,2,FALSE),VLOOKUP(P367,PRICING!$J$4:$K$59,2,FALSE)),"")</f>
        <v/>
      </c>
      <c r="S367"/>
      <c r="U367" s="406" t="str">
        <f t="shared" si="21"/>
        <v/>
      </c>
      <c r="W367" s="408" t="str">
        <f t="shared" si="22"/>
        <v/>
      </c>
      <c r="X367" s="409" t="str">
        <f t="shared" si="23"/>
        <v/>
      </c>
    </row>
    <row r="368" spans="1:24" ht="16" x14ac:dyDescent="0.25">
      <c r="A368" s="399" t="str">
        <f>IF(B368="","",CONCATENATE("GBL",B368," - ",Mantenedor!E372))</f>
        <v/>
      </c>
      <c r="P368" s="399" t="str">
        <f t="shared" si="20"/>
        <v/>
      </c>
      <c r="Q368" s="405" t="str" cm="1">
        <f t="array" ref="Q368">+_xlfn.IFS(O368="Nacional","CLP",O368="Extranjero","USD",O368="","")</f>
        <v/>
      </c>
      <c r="R368" s="406" t="str">
        <f>IFERROR(IF(O368="Nacional",VLOOKUP(P368,PRICING!$D$4:$E$59,2,FALSE),VLOOKUP(P368,PRICING!$J$4:$K$59,2,FALSE)),"")</f>
        <v/>
      </c>
      <c r="S368"/>
      <c r="U368" s="406" t="str">
        <f t="shared" si="21"/>
        <v/>
      </c>
      <c r="W368" s="408" t="str">
        <f t="shared" si="22"/>
        <v/>
      </c>
      <c r="X368" s="409" t="str">
        <f t="shared" si="23"/>
        <v/>
      </c>
    </row>
    <row r="369" spans="1:24" ht="16" x14ac:dyDescent="0.25">
      <c r="A369" s="399" t="str">
        <f>IF(B369="","",CONCATENATE("GBL",B369," - ",Mantenedor!E373))</f>
        <v/>
      </c>
      <c r="P369" s="399" t="str">
        <f t="shared" si="20"/>
        <v/>
      </c>
      <c r="Q369" s="405" t="str" cm="1">
        <f t="array" ref="Q369">+_xlfn.IFS(O369="Nacional","CLP",O369="Extranjero","USD",O369="","")</f>
        <v/>
      </c>
      <c r="R369" s="406" t="str">
        <f>IFERROR(IF(O369="Nacional",VLOOKUP(P369,PRICING!$D$4:$E$59,2,FALSE),VLOOKUP(P369,PRICING!$J$4:$K$59,2,FALSE)),"")</f>
        <v/>
      </c>
      <c r="S369"/>
      <c r="U369" s="406" t="str">
        <f t="shared" si="21"/>
        <v/>
      </c>
      <c r="W369" s="408" t="str">
        <f t="shared" si="22"/>
        <v/>
      </c>
      <c r="X369" s="409" t="str">
        <f t="shared" si="23"/>
        <v/>
      </c>
    </row>
    <row r="370" spans="1:24" ht="16" x14ac:dyDescent="0.25">
      <c r="A370" s="399" t="str">
        <f>IF(B370="","",CONCATENATE("GBL",B370," - ",Mantenedor!E374))</f>
        <v/>
      </c>
      <c r="P370" s="399" t="str">
        <f t="shared" si="20"/>
        <v/>
      </c>
      <c r="Q370" s="405" t="str" cm="1">
        <f t="array" ref="Q370">+_xlfn.IFS(O370="Nacional","CLP",O370="Extranjero","USD",O370="","")</f>
        <v/>
      </c>
      <c r="R370" s="406" t="str">
        <f>IFERROR(IF(O370="Nacional",VLOOKUP(P370,PRICING!$D$4:$E$59,2,FALSE),VLOOKUP(P370,PRICING!$J$4:$K$59,2,FALSE)),"")</f>
        <v/>
      </c>
      <c r="S370"/>
      <c r="U370" s="406" t="str">
        <f t="shared" si="21"/>
        <v/>
      </c>
      <c r="W370" s="408" t="str">
        <f t="shared" si="22"/>
        <v/>
      </c>
      <c r="X370" s="409" t="str">
        <f t="shared" si="23"/>
        <v/>
      </c>
    </row>
    <row r="371" spans="1:24" ht="16" x14ac:dyDescent="0.25">
      <c r="A371" s="399" t="str">
        <f>IF(B371="","",CONCATENATE("GBL",B371," - ",Mantenedor!E375))</f>
        <v/>
      </c>
      <c r="P371" s="399" t="str">
        <f t="shared" si="20"/>
        <v/>
      </c>
      <c r="Q371" s="405" t="str" cm="1">
        <f t="array" ref="Q371">+_xlfn.IFS(O371="Nacional","CLP",O371="Extranjero","USD",O371="","")</f>
        <v/>
      </c>
      <c r="R371" s="406" t="str">
        <f>IFERROR(IF(O371="Nacional",VLOOKUP(P371,PRICING!$D$4:$E$59,2,FALSE),VLOOKUP(P371,PRICING!$J$4:$K$59,2,FALSE)),"")</f>
        <v/>
      </c>
      <c r="S371"/>
      <c r="U371" s="406" t="str">
        <f t="shared" si="21"/>
        <v/>
      </c>
      <c r="W371" s="408" t="str">
        <f t="shared" si="22"/>
        <v/>
      </c>
      <c r="X371" s="409" t="str">
        <f t="shared" si="23"/>
        <v/>
      </c>
    </row>
    <row r="372" spans="1:24" ht="16" x14ac:dyDescent="0.25">
      <c r="A372" s="399" t="str">
        <f>IF(B372="","",CONCATENATE("GBL",B372," - ",Mantenedor!E376))</f>
        <v/>
      </c>
      <c r="P372" s="399" t="str">
        <f t="shared" si="20"/>
        <v/>
      </c>
      <c r="Q372" s="405" t="str" cm="1">
        <f t="array" ref="Q372">+_xlfn.IFS(O372="Nacional","CLP",O372="Extranjero","USD",O372="","")</f>
        <v/>
      </c>
      <c r="R372" s="406" t="str">
        <f>IFERROR(IF(O372="Nacional",VLOOKUP(P372,PRICING!$D$4:$E$59,2,FALSE),VLOOKUP(P372,PRICING!$J$4:$K$59,2,FALSE)),"")</f>
        <v/>
      </c>
      <c r="S372"/>
      <c r="U372" s="406" t="str">
        <f t="shared" si="21"/>
        <v/>
      </c>
      <c r="W372" s="408" t="str">
        <f t="shared" si="22"/>
        <v/>
      </c>
      <c r="X372" s="409" t="str">
        <f t="shared" si="23"/>
        <v/>
      </c>
    </row>
    <row r="373" spans="1:24" ht="16" x14ac:dyDescent="0.25">
      <c r="A373" s="399" t="str">
        <f>IF(B373="","",CONCATENATE("GBL",B373," - ",Mantenedor!E377))</f>
        <v/>
      </c>
      <c r="P373" s="399" t="str">
        <f t="shared" si="20"/>
        <v/>
      </c>
      <c r="Q373" s="405" t="str" cm="1">
        <f t="array" ref="Q373">+_xlfn.IFS(O373="Nacional","CLP",O373="Extranjero","USD",O373="","")</f>
        <v/>
      </c>
      <c r="R373" s="406" t="str">
        <f>IFERROR(IF(O373="Nacional",VLOOKUP(P373,PRICING!$D$4:$E$59,2,FALSE),VLOOKUP(P373,PRICING!$J$4:$K$59,2,FALSE)),"")</f>
        <v/>
      </c>
      <c r="S373"/>
      <c r="U373" s="406" t="str">
        <f t="shared" si="21"/>
        <v/>
      </c>
      <c r="W373" s="408" t="str">
        <f t="shared" si="22"/>
        <v/>
      </c>
      <c r="X373" s="409" t="str">
        <f t="shared" si="23"/>
        <v/>
      </c>
    </row>
    <row r="374" spans="1:24" ht="16" x14ac:dyDescent="0.25">
      <c r="A374" s="399" t="str">
        <f>IF(B374="","",CONCATENATE("GBL",B374," - ",Mantenedor!E378))</f>
        <v/>
      </c>
      <c r="P374" s="399" t="str">
        <f t="shared" si="20"/>
        <v/>
      </c>
      <c r="Q374" s="405" t="str" cm="1">
        <f t="array" ref="Q374">+_xlfn.IFS(O374="Nacional","CLP",O374="Extranjero","USD",O374="","")</f>
        <v/>
      </c>
      <c r="R374" s="406" t="str">
        <f>IFERROR(IF(O374="Nacional",VLOOKUP(P374,PRICING!$D$4:$E$59,2,FALSE),VLOOKUP(P374,PRICING!$J$4:$K$59,2,FALSE)),"")</f>
        <v/>
      </c>
      <c r="S374"/>
      <c r="U374" s="406" t="str">
        <f t="shared" si="21"/>
        <v/>
      </c>
      <c r="W374" s="408" t="str">
        <f t="shared" si="22"/>
        <v/>
      </c>
      <c r="X374" s="409" t="str">
        <f t="shared" si="23"/>
        <v/>
      </c>
    </row>
    <row r="375" spans="1:24" ht="16" x14ac:dyDescent="0.25">
      <c r="A375" s="399" t="str">
        <f>IF(B375="","",CONCATENATE("GBL",B375," - ",Mantenedor!E379))</f>
        <v/>
      </c>
      <c r="P375" s="399" t="str">
        <f t="shared" si="20"/>
        <v/>
      </c>
      <c r="Q375" s="405" t="str" cm="1">
        <f t="array" ref="Q375">+_xlfn.IFS(O375="Nacional","CLP",O375="Extranjero","USD",O375="","")</f>
        <v/>
      </c>
      <c r="R375" s="406" t="str">
        <f>IFERROR(IF(O375="Nacional",VLOOKUP(P375,PRICING!$D$4:$E$59,2,FALSE),VLOOKUP(P375,PRICING!$J$4:$K$59,2,FALSE)),"")</f>
        <v/>
      </c>
      <c r="S375"/>
      <c r="U375" s="406" t="str">
        <f t="shared" si="21"/>
        <v/>
      </c>
      <c r="W375" s="408" t="str">
        <f t="shared" si="22"/>
        <v/>
      </c>
      <c r="X375" s="409" t="str">
        <f t="shared" si="23"/>
        <v/>
      </c>
    </row>
    <row r="376" spans="1:24" ht="16" x14ac:dyDescent="0.25">
      <c r="A376" s="399" t="str">
        <f>IF(B376="","",CONCATENATE("GBL",B376," - ",Mantenedor!E380))</f>
        <v/>
      </c>
      <c r="P376" s="399" t="str">
        <f t="shared" si="20"/>
        <v/>
      </c>
      <c r="Q376" s="405" t="str" cm="1">
        <f t="array" ref="Q376">+_xlfn.IFS(O376="Nacional","CLP",O376="Extranjero","USD",O376="","")</f>
        <v/>
      </c>
      <c r="R376" s="406" t="str">
        <f>IFERROR(IF(O376="Nacional",VLOOKUP(P376,PRICING!$D$4:$E$59,2,FALSE),VLOOKUP(P376,PRICING!$J$4:$K$59,2,FALSE)),"")</f>
        <v/>
      </c>
      <c r="S376"/>
      <c r="U376" s="406" t="str">
        <f t="shared" si="21"/>
        <v/>
      </c>
      <c r="W376" s="408" t="str">
        <f t="shared" si="22"/>
        <v/>
      </c>
      <c r="X376" s="409" t="str">
        <f t="shared" si="23"/>
        <v/>
      </c>
    </row>
    <row r="377" spans="1:24" ht="16" x14ac:dyDescent="0.25">
      <c r="A377" s="399" t="str">
        <f>IF(B377="","",CONCATENATE("GBL",B377," - ",Mantenedor!E381))</f>
        <v/>
      </c>
      <c r="P377" s="399" t="str">
        <f t="shared" si="20"/>
        <v/>
      </c>
      <c r="Q377" s="405" t="str" cm="1">
        <f t="array" ref="Q377">+_xlfn.IFS(O377="Nacional","CLP",O377="Extranjero","USD",O377="","")</f>
        <v/>
      </c>
      <c r="R377" s="406" t="str">
        <f>IFERROR(IF(O377="Nacional",VLOOKUP(P377,PRICING!$D$4:$E$59,2,FALSE),VLOOKUP(P377,PRICING!$J$4:$K$59,2,FALSE)),"")</f>
        <v/>
      </c>
      <c r="S377"/>
      <c r="U377" s="406" t="str">
        <f t="shared" si="21"/>
        <v/>
      </c>
      <c r="W377" s="408" t="str">
        <f t="shared" si="22"/>
        <v/>
      </c>
      <c r="X377" s="409" t="str">
        <f t="shared" si="23"/>
        <v/>
      </c>
    </row>
    <row r="378" spans="1:24" ht="16" x14ac:dyDescent="0.25">
      <c r="A378" s="399" t="str">
        <f>IF(B378="","",CONCATENATE("GBL",B378," - ",Mantenedor!E382))</f>
        <v/>
      </c>
      <c r="P378" s="399" t="str">
        <f t="shared" si="20"/>
        <v/>
      </c>
      <c r="Q378" s="405" t="str" cm="1">
        <f t="array" ref="Q378">+_xlfn.IFS(O378="Nacional","CLP",O378="Extranjero","USD",O378="","")</f>
        <v/>
      </c>
      <c r="R378" s="406" t="str">
        <f>IFERROR(IF(O378="Nacional",VLOOKUP(P378,PRICING!$D$4:$E$59,2,FALSE),VLOOKUP(P378,PRICING!$J$4:$K$59,2,FALSE)),"")</f>
        <v/>
      </c>
      <c r="S378"/>
      <c r="U378" s="406" t="str">
        <f t="shared" si="21"/>
        <v/>
      </c>
      <c r="W378" s="408" t="str">
        <f t="shared" si="22"/>
        <v/>
      </c>
      <c r="X378" s="409" t="str">
        <f t="shared" si="23"/>
        <v/>
      </c>
    </row>
    <row r="379" spans="1:24" ht="16" x14ac:dyDescent="0.25">
      <c r="A379" s="399" t="str">
        <f>IF(B379="","",CONCATENATE("GBL",B379," - ",Mantenedor!E383))</f>
        <v/>
      </c>
      <c r="P379" s="399" t="str">
        <f t="shared" si="20"/>
        <v/>
      </c>
      <c r="Q379" s="405" t="str" cm="1">
        <f t="array" ref="Q379">+_xlfn.IFS(O379="Nacional","CLP",O379="Extranjero","USD",O379="","")</f>
        <v/>
      </c>
      <c r="R379" s="406" t="str">
        <f>IFERROR(IF(O379="Nacional",VLOOKUP(P379,PRICING!$D$4:$E$59,2,FALSE),VLOOKUP(P379,PRICING!$J$4:$K$59,2,FALSE)),"")</f>
        <v/>
      </c>
      <c r="S379"/>
      <c r="U379" s="406" t="str">
        <f t="shared" si="21"/>
        <v/>
      </c>
      <c r="W379" s="408" t="str">
        <f t="shared" si="22"/>
        <v/>
      </c>
      <c r="X379" s="409" t="str">
        <f t="shared" si="23"/>
        <v/>
      </c>
    </row>
    <row r="380" spans="1:24" ht="16" x14ac:dyDescent="0.25">
      <c r="A380" s="399" t="str">
        <f>IF(B380="","",CONCATENATE("GBL",B380," - ",Mantenedor!E384))</f>
        <v/>
      </c>
      <c r="P380" s="399" t="str">
        <f t="shared" si="20"/>
        <v/>
      </c>
      <c r="Q380" s="405" t="str" cm="1">
        <f t="array" ref="Q380">+_xlfn.IFS(O380="Nacional","CLP",O380="Extranjero","USD",O380="","")</f>
        <v/>
      </c>
      <c r="R380" s="406" t="str">
        <f>IFERROR(IF(O380="Nacional",VLOOKUP(P380,PRICING!$D$4:$E$59,2,FALSE),VLOOKUP(P380,PRICING!$J$4:$K$59,2,FALSE)),"")</f>
        <v/>
      </c>
      <c r="S380"/>
      <c r="U380" s="406" t="str">
        <f t="shared" si="21"/>
        <v/>
      </c>
      <c r="W380" s="408" t="str">
        <f t="shared" si="22"/>
        <v/>
      </c>
      <c r="X380" s="409" t="str">
        <f t="shared" si="23"/>
        <v/>
      </c>
    </row>
    <row r="381" spans="1:24" ht="16" x14ac:dyDescent="0.25">
      <c r="A381" s="399" t="str">
        <f>IF(B381="","",CONCATENATE("GBL",B381," - ",Mantenedor!E385))</f>
        <v/>
      </c>
      <c r="P381" s="399" t="str">
        <f t="shared" si="20"/>
        <v/>
      </c>
      <c r="Q381" s="405" t="str" cm="1">
        <f t="array" ref="Q381">+_xlfn.IFS(O381="Nacional","CLP",O381="Extranjero","USD",O381="","")</f>
        <v/>
      </c>
      <c r="R381" s="406" t="str">
        <f>IFERROR(IF(O381="Nacional",VLOOKUP(P381,PRICING!$D$4:$E$59,2,FALSE),VLOOKUP(P381,PRICING!$J$4:$K$59,2,FALSE)),"")</f>
        <v/>
      </c>
      <c r="S381"/>
      <c r="U381" s="406" t="str">
        <f t="shared" si="21"/>
        <v/>
      </c>
      <c r="W381" s="408" t="str">
        <f t="shared" si="22"/>
        <v/>
      </c>
      <c r="X381" s="409" t="str">
        <f t="shared" si="23"/>
        <v/>
      </c>
    </row>
    <row r="382" spans="1:24" ht="16" x14ac:dyDescent="0.25">
      <c r="A382" s="399" t="str">
        <f>IF(B382="","",CONCATENATE("GBL",B382," - ",Mantenedor!E386))</f>
        <v/>
      </c>
      <c r="P382" s="399" t="str">
        <f t="shared" si="20"/>
        <v/>
      </c>
      <c r="Q382" s="405" t="str" cm="1">
        <f t="array" ref="Q382">+_xlfn.IFS(O382="Nacional","CLP",O382="Extranjero","USD",O382="","")</f>
        <v/>
      </c>
      <c r="R382" s="406" t="str">
        <f>IFERROR(IF(O382="Nacional",VLOOKUP(P382,PRICING!$D$4:$E$59,2,FALSE),VLOOKUP(P382,PRICING!$J$4:$K$59,2,FALSE)),"")</f>
        <v/>
      </c>
      <c r="S382"/>
      <c r="U382" s="406" t="str">
        <f t="shared" si="21"/>
        <v/>
      </c>
      <c r="W382" s="408" t="str">
        <f t="shared" si="22"/>
        <v/>
      </c>
      <c r="X382" s="409" t="str">
        <f t="shared" si="23"/>
        <v/>
      </c>
    </row>
    <row r="383" spans="1:24" ht="16" x14ac:dyDescent="0.25">
      <c r="A383" s="399" t="str">
        <f>IF(B383="","",CONCATENATE("GBL",B383," - ",Mantenedor!E387))</f>
        <v/>
      </c>
      <c r="P383" s="399" t="str">
        <f t="shared" ref="P383:P446" si="24">IF(N383="","",(IF(L383=1,(CONCATENATE("Base ",N383," ",L383," noche")),(CONCATENATE("Base ",N383," ",L383," noches")))))</f>
        <v/>
      </c>
      <c r="Q383" s="405" t="str" cm="1">
        <f t="array" ref="Q383">+_xlfn.IFS(O383="Nacional","CLP",O383="Extranjero","USD",O383="","")</f>
        <v/>
      </c>
      <c r="R383" s="406" t="str">
        <f>IFERROR(IF(O383="Nacional",VLOOKUP(P383,PRICING!$D$4:$E$59,2,FALSE),VLOOKUP(P383,PRICING!$J$4:$K$59,2,FALSE)),"")</f>
        <v/>
      </c>
      <c r="S383"/>
      <c r="U383" s="406" t="str">
        <f t="shared" ref="U383:U446" si="25">IFERROR(+R383*(1-S383),"")</f>
        <v/>
      </c>
      <c r="W383" s="408" t="str">
        <f t="shared" ref="W383:W446" si="26">+IF(U383="","","50"%)</f>
        <v/>
      </c>
      <c r="X383" s="409" t="str">
        <f t="shared" si="23"/>
        <v/>
      </c>
    </row>
    <row r="384" spans="1:24" ht="16" x14ac:dyDescent="0.25">
      <c r="A384" s="399" t="str">
        <f>IF(B384="","",CONCATENATE("GBL",B384," - ",Mantenedor!E388))</f>
        <v/>
      </c>
      <c r="P384" s="399" t="str">
        <f t="shared" si="24"/>
        <v/>
      </c>
      <c r="Q384" s="405" t="str" cm="1">
        <f t="array" ref="Q384">+_xlfn.IFS(O384="Nacional","CLP",O384="Extranjero","USD",O384="","")</f>
        <v/>
      </c>
      <c r="R384" s="406" t="str">
        <f>IFERROR(IF(O384="Nacional",VLOOKUP(P384,PRICING!$D$4:$E$59,2,FALSE),VLOOKUP(P384,PRICING!$J$4:$K$59,2,FALSE)),"")</f>
        <v/>
      </c>
      <c r="S384"/>
      <c r="U384" s="406" t="str">
        <f t="shared" si="25"/>
        <v/>
      </c>
      <c r="W384" s="408" t="str">
        <f t="shared" si="26"/>
        <v/>
      </c>
      <c r="X384" s="409" t="str">
        <f t="shared" ref="X384:X447" si="27">+IF(W384="","",(1-W384))</f>
        <v/>
      </c>
    </row>
    <row r="385" spans="1:24" ht="16" x14ac:dyDescent="0.25">
      <c r="A385" s="399" t="str">
        <f>IF(B385="","",CONCATENATE("GBL",B385," - ",Mantenedor!E389))</f>
        <v/>
      </c>
      <c r="P385" s="399" t="str">
        <f t="shared" si="24"/>
        <v/>
      </c>
      <c r="Q385" s="405" t="str" cm="1">
        <f t="array" ref="Q385">+_xlfn.IFS(O385="Nacional","CLP",O385="Extranjero","USD",O385="","")</f>
        <v/>
      </c>
      <c r="R385" s="406" t="str">
        <f>IFERROR(IF(O385="Nacional",VLOOKUP(P385,PRICING!$D$4:$E$59,2,FALSE),VLOOKUP(P385,PRICING!$J$4:$K$59,2,FALSE)),"")</f>
        <v/>
      </c>
      <c r="S385"/>
      <c r="U385" s="406" t="str">
        <f t="shared" si="25"/>
        <v/>
      </c>
      <c r="W385" s="408" t="str">
        <f t="shared" si="26"/>
        <v/>
      </c>
      <c r="X385" s="409" t="str">
        <f t="shared" si="27"/>
        <v/>
      </c>
    </row>
    <row r="386" spans="1:24" ht="16" x14ac:dyDescent="0.25">
      <c r="A386" s="399" t="str">
        <f>IF(B386="","",CONCATENATE("GBL",B386," - ",Mantenedor!E390))</f>
        <v/>
      </c>
      <c r="P386" s="399" t="str">
        <f t="shared" si="24"/>
        <v/>
      </c>
      <c r="Q386" s="405" t="str" cm="1">
        <f t="array" ref="Q386">+_xlfn.IFS(O386="Nacional","CLP",O386="Extranjero","USD",O386="","")</f>
        <v/>
      </c>
      <c r="R386" s="406" t="str">
        <f>IFERROR(IF(O386="Nacional",VLOOKUP(P386,PRICING!$D$4:$E$59,2,FALSE),VLOOKUP(P386,PRICING!$J$4:$K$59,2,FALSE)),"")</f>
        <v/>
      </c>
      <c r="S386"/>
      <c r="U386" s="406" t="str">
        <f t="shared" si="25"/>
        <v/>
      </c>
      <c r="W386" s="408" t="str">
        <f t="shared" si="26"/>
        <v/>
      </c>
      <c r="X386" s="409" t="str">
        <f t="shared" si="27"/>
        <v/>
      </c>
    </row>
    <row r="387" spans="1:24" ht="16" x14ac:dyDescent="0.25">
      <c r="A387" s="399" t="str">
        <f>IF(B387="","",CONCATENATE("GBL",B387," - ",Mantenedor!E391))</f>
        <v/>
      </c>
      <c r="P387" s="399" t="str">
        <f t="shared" si="24"/>
        <v/>
      </c>
      <c r="Q387" s="405" t="str" cm="1">
        <f t="array" ref="Q387">+_xlfn.IFS(O387="Nacional","CLP",O387="Extranjero","USD",O387="","")</f>
        <v/>
      </c>
      <c r="R387" s="406" t="str">
        <f>IFERROR(IF(O387="Nacional",VLOOKUP(P387,PRICING!$D$4:$E$59,2,FALSE),VLOOKUP(P387,PRICING!$J$4:$K$59,2,FALSE)),"")</f>
        <v/>
      </c>
      <c r="S387"/>
      <c r="U387" s="406" t="str">
        <f t="shared" si="25"/>
        <v/>
      </c>
      <c r="W387" s="408" t="str">
        <f t="shared" si="26"/>
        <v/>
      </c>
      <c r="X387" s="409" t="str">
        <f t="shared" si="27"/>
        <v/>
      </c>
    </row>
    <row r="388" spans="1:24" ht="16" x14ac:dyDescent="0.25">
      <c r="A388" s="399" t="str">
        <f>IF(B388="","",CONCATENATE("GBL",B388," - ",Mantenedor!E392))</f>
        <v/>
      </c>
      <c r="P388" s="399" t="str">
        <f t="shared" si="24"/>
        <v/>
      </c>
      <c r="Q388" s="405" t="str" cm="1">
        <f t="array" ref="Q388">+_xlfn.IFS(O388="Nacional","CLP",O388="Extranjero","USD",O388="","")</f>
        <v/>
      </c>
      <c r="R388" s="406" t="str">
        <f>IFERROR(IF(O388="Nacional",VLOOKUP(P388,PRICING!$D$4:$E$59,2,FALSE),VLOOKUP(P388,PRICING!$J$4:$K$59,2,FALSE)),"")</f>
        <v/>
      </c>
      <c r="S388"/>
      <c r="U388" s="406" t="str">
        <f t="shared" si="25"/>
        <v/>
      </c>
      <c r="W388" s="408" t="str">
        <f t="shared" si="26"/>
        <v/>
      </c>
      <c r="X388" s="409" t="str">
        <f t="shared" si="27"/>
        <v/>
      </c>
    </row>
    <row r="389" spans="1:24" ht="16" x14ac:dyDescent="0.25">
      <c r="A389" s="399" t="str">
        <f>IF(B389="","",CONCATENATE("GBL",B389," - ",Mantenedor!E393))</f>
        <v/>
      </c>
      <c r="P389" s="399" t="str">
        <f t="shared" si="24"/>
        <v/>
      </c>
      <c r="Q389" s="405" t="str" cm="1">
        <f t="array" ref="Q389">+_xlfn.IFS(O389="Nacional","CLP",O389="Extranjero","USD",O389="","")</f>
        <v/>
      </c>
      <c r="R389" s="406" t="str">
        <f>IFERROR(IF(O389="Nacional",VLOOKUP(P389,PRICING!$D$4:$E$59,2,FALSE),VLOOKUP(P389,PRICING!$J$4:$K$59,2,FALSE)),"")</f>
        <v/>
      </c>
      <c r="S389"/>
      <c r="U389" s="406" t="str">
        <f t="shared" si="25"/>
        <v/>
      </c>
      <c r="W389" s="408" t="str">
        <f t="shared" si="26"/>
        <v/>
      </c>
      <c r="X389" s="409" t="str">
        <f t="shared" si="27"/>
        <v/>
      </c>
    </row>
    <row r="390" spans="1:24" ht="16" x14ac:dyDescent="0.25">
      <c r="A390" s="399" t="str">
        <f>IF(B390="","",CONCATENATE("GBL",B390," - ",Mantenedor!E394))</f>
        <v/>
      </c>
      <c r="P390" s="399" t="str">
        <f t="shared" si="24"/>
        <v/>
      </c>
      <c r="Q390" s="405" t="str" cm="1">
        <f t="array" ref="Q390">+_xlfn.IFS(O390="Nacional","CLP",O390="Extranjero","USD",O390="","")</f>
        <v/>
      </c>
      <c r="R390" s="406" t="str">
        <f>IFERROR(IF(O390="Nacional",VLOOKUP(P390,PRICING!$D$4:$E$59,2,FALSE),VLOOKUP(P390,PRICING!$J$4:$K$59,2,FALSE)),"")</f>
        <v/>
      </c>
      <c r="S390"/>
      <c r="U390" s="406" t="str">
        <f t="shared" si="25"/>
        <v/>
      </c>
      <c r="W390" s="408" t="str">
        <f t="shared" si="26"/>
        <v/>
      </c>
      <c r="X390" s="409" t="str">
        <f t="shared" si="27"/>
        <v/>
      </c>
    </row>
    <row r="391" spans="1:24" ht="16" x14ac:dyDescent="0.25">
      <c r="A391" s="399" t="str">
        <f>IF(B391="","",CONCATENATE("GBL",B391," - ",Mantenedor!E395))</f>
        <v/>
      </c>
      <c r="P391" s="399" t="str">
        <f t="shared" si="24"/>
        <v/>
      </c>
      <c r="Q391" s="405" t="str" cm="1">
        <f t="array" ref="Q391">+_xlfn.IFS(O391="Nacional","CLP",O391="Extranjero","USD",O391="","")</f>
        <v/>
      </c>
      <c r="R391" s="406" t="str">
        <f>IFERROR(IF(O391="Nacional",VLOOKUP(P391,PRICING!$D$4:$E$59,2,FALSE),VLOOKUP(P391,PRICING!$J$4:$K$59,2,FALSE)),"")</f>
        <v/>
      </c>
      <c r="S391"/>
      <c r="U391" s="406" t="str">
        <f t="shared" si="25"/>
        <v/>
      </c>
      <c r="W391" s="408" t="str">
        <f t="shared" si="26"/>
        <v/>
      </c>
      <c r="X391" s="409" t="str">
        <f t="shared" si="27"/>
        <v/>
      </c>
    </row>
    <row r="392" spans="1:24" ht="16" x14ac:dyDescent="0.25">
      <c r="A392" s="399" t="str">
        <f>IF(B392="","",CONCATENATE("GBL",B392," - ",Mantenedor!E396))</f>
        <v/>
      </c>
      <c r="P392" s="399" t="str">
        <f t="shared" si="24"/>
        <v/>
      </c>
      <c r="Q392" s="405" t="str" cm="1">
        <f t="array" ref="Q392">+_xlfn.IFS(O392="Nacional","CLP",O392="Extranjero","USD",O392="","")</f>
        <v/>
      </c>
      <c r="R392" s="406" t="str">
        <f>IFERROR(IF(O392="Nacional",VLOOKUP(P392,PRICING!$D$4:$E$59,2,FALSE),VLOOKUP(P392,PRICING!$J$4:$K$59,2,FALSE)),"")</f>
        <v/>
      </c>
      <c r="S392"/>
      <c r="U392" s="406" t="str">
        <f t="shared" si="25"/>
        <v/>
      </c>
      <c r="W392" s="408" t="str">
        <f t="shared" si="26"/>
        <v/>
      </c>
      <c r="X392" s="409" t="str">
        <f t="shared" si="27"/>
        <v/>
      </c>
    </row>
    <row r="393" spans="1:24" ht="16" x14ac:dyDescent="0.25">
      <c r="A393" s="399" t="str">
        <f>IF(B393="","",CONCATENATE("GBL",B393," - ",Mantenedor!E397))</f>
        <v/>
      </c>
      <c r="P393" s="399" t="str">
        <f t="shared" si="24"/>
        <v/>
      </c>
      <c r="Q393" s="405" t="str" cm="1">
        <f t="array" ref="Q393">+_xlfn.IFS(O393="Nacional","CLP",O393="Extranjero","USD",O393="","")</f>
        <v/>
      </c>
      <c r="R393" s="406" t="str">
        <f>IFERROR(IF(O393="Nacional",VLOOKUP(P393,PRICING!$D$4:$E$59,2,FALSE),VLOOKUP(P393,PRICING!$J$4:$K$59,2,FALSE)),"")</f>
        <v/>
      </c>
      <c r="S393"/>
      <c r="U393" s="406" t="str">
        <f t="shared" si="25"/>
        <v/>
      </c>
      <c r="W393" s="408" t="str">
        <f t="shared" si="26"/>
        <v/>
      </c>
      <c r="X393" s="409" t="str">
        <f t="shared" si="27"/>
        <v/>
      </c>
    </row>
    <row r="394" spans="1:24" ht="16" x14ac:dyDescent="0.25">
      <c r="A394" s="399" t="str">
        <f>IF(B394="","",CONCATENATE("GBL",B394," - ",Mantenedor!E398))</f>
        <v/>
      </c>
      <c r="P394" s="399" t="str">
        <f t="shared" si="24"/>
        <v/>
      </c>
      <c r="Q394" s="405" t="str" cm="1">
        <f t="array" ref="Q394">+_xlfn.IFS(O394="Nacional","CLP",O394="Extranjero","USD",O394="","")</f>
        <v/>
      </c>
      <c r="R394" s="406" t="str">
        <f>IFERROR(IF(O394="Nacional",VLOOKUP(P394,PRICING!$D$4:$E$59,2,FALSE),VLOOKUP(P394,PRICING!$J$4:$K$59,2,FALSE)),"")</f>
        <v/>
      </c>
      <c r="S394"/>
      <c r="U394" s="406" t="str">
        <f t="shared" si="25"/>
        <v/>
      </c>
      <c r="W394" s="408" t="str">
        <f t="shared" si="26"/>
        <v/>
      </c>
      <c r="X394" s="409" t="str">
        <f t="shared" si="27"/>
        <v/>
      </c>
    </row>
    <row r="395" spans="1:24" ht="16" x14ac:dyDescent="0.25">
      <c r="A395" s="399" t="str">
        <f>IF(B395="","",CONCATENATE("GBL",B395," - ",Mantenedor!E399))</f>
        <v/>
      </c>
      <c r="P395" s="399" t="str">
        <f t="shared" si="24"/>
        <v/>
      </c>
      <c r="Q395" s="405" t="str" cm="1">
        <f t="array" ref="Q395">+_xlfn.IFS(O395="Nacional","CLP",O395="Extranjero","USD",O395="","")</f>
        <v/>
      </c>
      <c r="R395" s="406" t="str">
        <f>IFERROR(IF(O395="Nacional",VLOOKUP(P395,PRICING!$D$4:$E$59,2,FALSE),VLOOKUP(P395,PRICING!$J$4:$K$59,2,FALSE)),"")</f>
        <v/>
      </c>
      <c r="S395"/>
      <c r="U395" s="406" t="str">
        <f t="shared" si="25"/>
        <v/>
      </c>
      <c r="W395" s="408" t="str">
        <f t="shared" si="26"/>
        <v/>
      </c>
      <c r="X395" s="409" t="str">
        <f t="shared" si="27"/>
        <v/>
      </c>
    </row>
    <row r="396" spans="1:24" ht="16" x14ac:dyDescent="0.25">
      <c r="A396" s="399" t="str">
        <f>IF(B396="","",CONCATENATE("GBL",B396," - ",Mantenedor!E400))</f>
        <v/>
      </c>
      <c r="P396" s="399" t="str">
        <f t="shared" si="24"/>
        <v/>
      </c>
      <c r="Q396" s="405" t="str" cm="1">
        <f t="array" ref="Q396">+_xlfn.IFS(O396="Nacional","CLP",O396="Extranjero","USD",O396="","")</f>
        <v/>
      </c>
      <c r="R396" s="406" t="str">
        <f>IFERROR(IF(O396="Nacional",VLOOKUP(P396,PRICING!$D$4:$E$59,2,FALSE),VLOOKUP(P396,PRICING!$J$4:$K$59,2,FALSE)),"")</f>
        <v/>
      </c>
      <c r="S396"/>
      <c r="U396" s="406" t="str">
        <f t="shared" si="25"/>
        <v/>
      </c>
      <c r="W396" s="408" t="str">
        <f t="shared" si="26"/>
        <v/>
      </c>
      <c r="X396" s="409" t="str">
        <f t="shared" si="27"/>
        <v/>
      </c>
    </row>
    <row r="397" spans="1:24" ht="16" x14ac:dyDescent="0.25">
      <c r="A397" s="399" t="str">
        <f>IF(B397="","",CONCATENATE("GBL",B397," - ",Mantenedor!E401))</f>
        <v/>
      </c>
      <c r="P397" s="399" t="str">
        <f t="shared" si="24"/>
        <v/>
      </c>
      <c r="Q397" s="405" t="str" cm="1">
        <f t="array" ref="Q397">+_xlfn.IFS(O397="Nacional","CLP",O397="Extranjero","USD",O397="","")</f>
        <v/>
      </c>
      <c r="R397" s="406" t="str">
        <f>IFERROR(IF(O397="Nacional",VLOOKUP(P397,PRICING!$D$4:$E$59,2,FALSE),VLOOKUP(P397,PRICING!$J$4:$K$59,2,FALSE)),"")</f>
        <v/>
      </c>
      <c r="S397"/>
      <c r="U397" s="406" t="str">
        <f t="shared" si="25"/>
        <v/>
      </c>
      <c r="W397" s="408" t="str">
        <f t="shared" si="26"/>
        <v/>
      </c>
      <c r="X397" s="409" t="str">
        <f t="shared" si="27"/>
        <v/>
      </c>
    </row>
    <row r="398" spans="1:24" ht="16" x14ac:dyDescent="0.25">
      <c r="A398" s="399" t="str">
        <f>IF(B398="","",CONCATENATE("GBL",B398," - ",Mantenedor!E402))</f>
        <v/>
      </c>
      <c r="P398" s="399" t="str">
        <f t="shared" si="24"/>
        <v/>
      </c>
      <c r="Q398" s="405" t="str" cm="1">
        <f t="array" ref="Q398">+_xlfn.IFS(O398="Nacional","CLP",O398="Extranjero","USD",O398="","")</f>
        <v/>
      </c>
      <c r="R398" s="406" t="str">
        <f>IFERROR(IF(O398="Nacional",VLOOKUP(P398,PRICING!$D$4:$E$59,2,FALSE),VLOOKUP(P398,PRICING!$J$4:$K$59,2,FALSE)),"")</f>
        <v/>
      </c>
      <c r="S398"/>
      <c r="U398" s="406" t="str">
        <f t="shared" si="25"/>
        <v/>
      </c>
      <c r="W398" s="408" t="str">
        <f t="shared" si="26"/>
        <v/>
      </c>
      <c r="X398" s="409" t="str">
        <f t="shared" si="27"/>
        <v/>
      </c>
    </row>
    <row r="399" spans="1:24" ht="16" x14ac:dyDescent="0.25">
      <c r="A399" s="399" t="str">
        <f>IF(B399="","",CONCATENATE("GBL",B399," - ",Mantenedor!E403))</f>
        <v/>
      </c>
      <c r="P399" s="399" t="str">
        <f t="shared" si="24"/>
        <v/>
      </c>
      <c r="Q399" s="405" t="str" cm="1">
        <f t="array" ref="Q399">+_xlfn.IFS(O399="Nacional","CLP",O399="Extranjero","USD",O399="","")</f>
        <v/>
      </c>
      <c r="R399" s="406" t="str">
        <f>IFERROR(IF(O399="Nacional",VLOOKUP(P399,PRICING!$D$4:$E$59,2,FALSE),VLOOKUP(P399,PRICING!$J$4:$K$59,2,FALSE)),"")</f>
        <v/>
      </c>
      <c r="S399"/>
      <c r="U399" s="406" t="str">
        <f t="shared" si="25"/>
        <v/>
      </c>
      <c r="W399" s="408" t="str">
        <f t="shared" si="26"/>
        <v/>
      </c>
      <c r="X399" s="409" t="str">
        <f t="shared" si="27"/>
        <v/>
      </c>
    </row>
    <row r="400" spans="1:24" ht="16" x14ac:dyDescent="0.25">
      <c r="A400" s="399" t="str">
        <f>IF(B400="","",CONCATENATE("GBL",B400," - ",Mantenedor!E404))</f>
        <v/>
      </c>
      <c r="P400" s="399" t="str">
        <f t="shared" si="24"/>
        <v/>
      </c>
      <c r="Q400" s="405" t="str" cm="1">
        <f t="array" ref="Q400">+_xlfn.IFS(O400="Nacional","CLP",O400="Extranjero","USD",O400="","")</f>
        <v/>
      </c>
      <c r="R400" s="406" t="str">
        <f>IFERROR(IF(O400="Nacional",VLOOKUP(P400,PRICING!$D$4:$E$59,2,FALSE),VLOOKUP(P400,PRICING!$J$4:$K$59,2,FALSE)),"")</f>
        <v/>
      </c>
      <c r="S400"/>
      <c r="U400" s="406" t="str">
        <f t="shared" si="25"/>
        <v/>
      </c>
      <c r="W400" s="408" t="str">
        <f t="shared" si="26"/>
        <v/>
      </c>
      <c r="X400" s="409" t="str">
        <f t="shared" si="27"/>
        <v/>
      </c>
    </row>
    <row r="401" spans="1:24" ht="16" x14ac:dyDescent="0.25">
      <c r="A401" s="399" t="str">
        <f>IF(B401="","",CONCATENATE("GBL",B401," - ",Mantenedor!E405))</f>
        <v/>
      </c>
      <c r="P401" s="399" t="str">
        <f t="shared" si="24"/>
        <v/>
      </c>
      <c r="Q401" s="405" t="str" cm="1">
        <f t="array" ref="Q401">+_xlfn.IFS(O401="Nacional","CLP",O401="Extranjero","USD",O401="","")</f>
        <v/>
      </c>
      <c r="R401" s="406" t="str">
        <f>IFERROR(IF(O401="Nacional",VLOOKUP(P401,PRICING!$D$4:$E$59,2,FALSE),VLOOKUP(P401,PRICING!$J$4:$K$59,2,FALSE)),"")</f>
        <v/>
      </c>
      <c r="S401"/>
      <c r="U401" s="406" t="str">
        <f t="shared" si="25"/>
        <v/>
      </c>
      <c r="W401" s="408" t="str">
        <f t="shared" si="26"/>
        <v/>
      </c>
      <c r="X401" s="409" t="str">
        <f t="shared" si="27"/>
        <v/>
      </c>
    </row>
    <row r="402" spans="1:24" ht="16" x14ac:dyDescent="0.25">
      <c r="A402" s="399" t="str">
        <f>IF(B402="","",CONCATENATE("GBL",B402," - ",Mantenedor!E406))</f>
        <v/>
      </c>
      <c r="P402" s="399" t="str">
        <f t="shared" si="24"/>
        <v/>
      </c>
      <c r="Q402" s="405" t="str" cm="1">
        <f t="array" ref="Q402">+_xlfn.IFS(O402="Nacional","CLP",O402="Extranjero","USD",O402="","")</f>
        <v/>
      </c>
      <c r="R402" s="406" t="str">
        <f>IFERROR(IF(O402="Nacional",VLOOKUP(P402,PRICING!$D$4:$E$59,2,FALSE),VLOOKUP(P402,PRICING!$J$4:$K$59,2,FALSE)),"")</f>
        <v/>
      </c>
      <c r="S402"/>
      <c r="U402" s="406" t="str">
        <f t="shared" si="25"/>
        <v/>
      </c>
      <c r="W402" s="408" t="str">
        <f t="shared" si="26"/>
        <v/>
      </c>
      <c r="X402" s="409" t="str">
        <f t="shared" si="27"/>
        <v/>
      </c>
    </row>
    <row r="403" spans="1:24" ht="16" x14ac:dyDescent="0.25">
      <c r="A403" s="399" t="str">
        <f>IF(B403="","",CONCATENATE("GBL",B403," - ",Mantenedor!E407))</f>
        <v/>
      </c>
      <c r="P403" s="399" t="str">
        <f t="shared" si="24"/>
        <v/>
      </c>
      <c r="Q403" s="405" t="str" cm="1">
        <f t="array" ref="Q403">+_xlfn.IFS(O403="Nacional","CLP",O403="Extranjero","USD",O403="","")</f>
        <v/>
      </c>
      <c r="R403" s="406" t="str">
        <f>IFERROR(IF(O403="Nacional",VLOOKUP(P403,PRICING!$D$4:$E$59,2,FALSE),VLOOKUP(P403,PRICING!$J$4:$K$59,2,FALSE)),"")</f>
        <v/>
      </c>
      <c r="S403"/>
      <c r="U403" s="406" t="str">
        <f t="shared" si="25"/>
        <v/>
      </c>
      <c r="W403" s="408" t="str">
        <f t="shared" si="26"/>
        <v/>
      </c>
      <c r="X403" s="409" t="str">
        <f t="shared" si="27"/>
        <v/>
      </c>
    </row>
    <row r="404" spans="1:24" ht="16" x14ac:dyDescent="0.25">
      <c r="A404" s="399" t="str">
        <f>IF(B404="","",CONCATENATE("GBL",B404," - ",Mantenedor!E408))</f>
        <v/>
      </c>
      <c r="P404" s="399" t="str">
        <f t="shared" si="24"/>
        <v/>
      </c>
      <c r="Q404" s="405" t="str" cm="1">
        <f t="array" ref="Q404">+_xlfn.IFS(O404="Nacional","CLP",O404="Extranjero","USD",O404="","")</f>
        <v/>
      </c>
      <c r="R404" s="406" t="str">
        <f>IFERROR(IF(O404="Nacional",VLOOKUP(P404,PRICING!$D$4:$E$59,2,FALSE),VLOOKUP(P404,PRICING!$J$4:$K$59,2,FALSE)),"")</f>
        <v/>
      </c>
      <c r="S404"/>
      <c r="U404" s="406" t="str">
        <f t="shared" si="25"/>
        <v/>
      </c>
      <c r="W404" s="408" t="str">
        <f t="shared" si="26"/>
        <v/>
      </c>
      <c r="X404" s="409" t="str">
        <f t="shared" si="27"/>
        <v/>
      </c>
    </row>
    <row r="405" spans="1:24" ht="16" x14ac:dyDescent="0.25">
      <c r="A405" s="399" t="str">
        <f>IF(B405="","",CONCATENATE("GBL",B405," - ",Mantenedor!E409))</f>
        <v/>
      </c>
      <c r="P405" s="399" t="str">
        <f t="shared" si="24"/>
        <v/>
      </c>
      <c r="Q405" s="405" t="str" cm="1">
        <f t="array" ref="Q405">+_xlfn.IFS(O405="Nacional","CLP",O405="Extranjero","USD",O405="","")</f>
        <v/>
      </c>
      <c r="R405" s="406" t="str">
        <f>IFERROR(IF(O405="Nacional",VLOOKUP(P405,PRICING!$D$4:$E$59,2,FALSE),VLOOKUP(P405,PRICING!$J$4:$K$59,2,FALSE)),"")</f>
        <v/>
      </c>
      <c r="S405"/>
      <c r="U405" s="406" t="str">
        <f t="shared" si="25"/>
        <v/>
      </c>
      <c r="W405" s="408" t="str">
        <f t="shared" si="26"/>
        <v/>
      </c>
      <c r="X405" s="409" t="str">
        <f t="shared" si="27"/>
        <v/>
      </c>
    </row>
    <row r="406" spans="1:24" ht="16" x14ac:dyDescent="0.25">
      <c r="A406" s="399" t="str">
        <f>IF(B406="","",CONCATENATE("GBL",B406," - ",Mantenedor!E410))</f>
        <v/>
      </c>
      <c r="P406" s="399" t="str">
        <f t="shared" si="24"/>
        <v/>
      </c>
      <c r="Q406" s="405" t="str" cm="1">
        <f t="array" ref="Q406">+_xlfn.IFS(O406="Nacional","CLP",O406="Extranjero","USD",O406="","")</f>
        <v/>
      </c>
      <c r="R406" s="406" t="str">
        <f>IFERROR(IF(O406="Nacional",VLOOKUP(P406,PRICING!$D$4:$E$59,2,FALSE),VLOOKUP(P406,PRICING!$J$4:$K$59,2,FALSE)),"")</f>
        <v/>
      </c>
      <c r="S406"/>
      <c r="U406" s="406" t="str">
        <f t="shared" si="25"/>
        <v/>
      </c>
      <c r="W406" s="408" t="str">
        <f t="shared" si="26"/>
        <v/>
      </c>
      <c r="X406" s="409" t="str">
        <f t="shared" si="27"/>
        <v/>
      </c>
    </row>
    <row r="407" spans="1:24" ht="16" x14ac:dyDescent="0.25">
      <c r="A407" s="399" t="str">
        <f>IF(B407="","",CONCATENATE("GBL",B407," - ",Mantenedor!E411))</f>
        <v/>
      </c>
      <c r="P407" s="399" t="str">
        <f t="shared" si="24"/>
        <v/>
      </c>
      <c r="Q407" s="405" t="str" cm="1">
        <f t="array" ref="Q407">+_xlfn.IFS(O407="Nacional","CLP",O407="Extranjero","USD",O407="","")</f>
        <v/>
      </c>
      <c r="R407" s="406" t="str">
        <f>IFERROR(IF(O407="Nacional",VLOOKUP(P407,PRICING!$D$4:$E$59,2,FALSE),VLOOKUP(P407,PRICING!$J$4:$K$59,2,FALSE)),"")</f>
        <v/>
      </c>
      <c r="S407"/>
      <c r="U407" s="406" t="str">
        <f t="shared" si="25"/>
        <v/>
      </c>
      <c r="W407" s="408" t="str">
        <f t="shared" si="26"/>
        <v/>
      </c>
      <c r="X407" s="409" t="str">
        <f t="shared" si="27"/>
        <v/>
      </c>
    </row>
    <row r="408" spans="1:24" ht="16" x14ac:dyDescent="0.25">
      <c r="A408" s="399" t="str">
        <f>IF(B408="","",CONCATENATE("GBL",B408," - ",Mantenedor!E412))</f>
        <v/>
      </c>
      <c r="P408" s="399" t="str">
        <f t="shared" si="24"/>
        <v/>
      </c>
      <c r="Q408" s="405" t="str" cm="1">
        <f t="array" ref="Q408">+_xlfn.IFS(O408="Nacional","CLP",O408="Extranjero","USD",O408="","")</f>
        <v/>
      </c>
      <c r="R408" s="406" t="str">
        <f>IFERROR(IF(O408="Nacional",VLOOKUP(P408,PRICING!$D$4:$E$59,2,FALSE),VLOOKUP(P408,PRICING!$J$4:$K$59,2,FALSE)),"")</f>
        <v/>
      </c>
      <c r="S408"/>
      <c r="U408" s="406" t="str">
        <f t="shared" si="25"/>
        <v/>
      </c>
      <c r="W408" s="408" t="str">
        <f t="shared" si="26"/>
        <v/>
      </c>
      <c r="X408" s="409" t="str">
        <f t="shared" si="27"/>
        <v/>
      </c>
    </row>
    <row r="409" spans="1:24" ht="16" x14ac:dyDescent="0.25">
      <c r="A409" s="399" t="str">
        <f>IF(B409="","",CONCATENATE("GBL",B409," - ",Mantenedor!E413))</f>
        <v/>
      </c>
      <c r="P409" s="399" t="str">
        <f t="shared" si="24"/>
        <v/>
      </c>
      <c r="Q409" s="405" t="str" cm="1">
        <f t="array" ref="Q409">+_xlfn.IFS(O409="Nacional","CLP",O409="Extranjero","USD",O409="","")</f>
        <v/>
      </c>
      <c r="R409" s="406" t="str">
        <f>IFERROR(IF(O409="Nacional",VLOOKUP(P409,PRICING!$D$4:$E$59,2,FALSE),VLOOKUP(P409,PRICING!$J$4:$K$59,2,FALSE)),"")</f>
        <v/>
      </c>
      <c r="S409"/>
      <c r="U409" s="406" t="str">
        <f t="shared" si="25"/>
        <v/>
      </c>
      <c r="W409" s="408" t="str">
        <f t="shared" si="26"/>
        <v/>
      </c>
      <c r="X409" s="409" t="str">
        <f t="shared" si="27"/>
        <v/>
      </c>
    </row>
    <row r="410" spans="1:24" ht="16" x14ac:dyDescent="0.25">
      <c r="A410" s="399" t="str">
        <f>IF(B410="","",CONCATENATE("GBL",B410," - ",Mantenedor!E414))</f>
        <v/>
      </c>
      <c r="P410" s="399" t="str">
        <f t="shared" si="24"/>
        <v/>
      </c>
      <c r="Q410" s="405" t="str" cm="1">
        <f t="array" ref="Q410">+_xlfn.IFS(O410="Nacional","CLP",O410="Extranjero","USD",O410="","")</f>
        <v/>
      </c>
      <c r="R410" s="406" t="str">
        <f>IFERROR(IF(O410="Nacional",VLOOKUP(P410,PRICING!$D$4:$E$59,2,FALSE),VLOOKUP(P410,PRICING!$J$4:$K$59,2,FALSE)),"")</f>
        <v/>
      </c>
      <c r="S410"/>
      <c r="U410" s="406" t="str">
        <f t="shared" si="25"/>
        <v/>
      </c>
      <c r="W410" s="408" t="str">
        <f t="shared" si="26"/>
        <v/>
      </c>
      <c r="X410" s="409" t="str">
        <f t="shared" si="27"/>
        <v/>
      </c>
    </row>
    <row r="411" spans="1:24" ht="16" x14ac:dyDescent="0.25">
      <c r="A411" s="399" t="str">
        <f>IF(B411="","",CONCATENATE("GBL",B411," - ",Mantenedor!E415))</f>
        <v/>
      </c>
      <c r="P411" s="399" t="str">
        <f t="shared" si="24"/>
        <v/>
      </c>
      <c r="Q411" s="405" t="str" cm="1">
        <f t="array" ref="Q411">+_xlfn.IFS(O411="Nacional","CLP",O411="Extranjero","USD",O411="","")</f>
        <v/>
      </c>
      <c r="R411" s="406" t="str">
        <f>IFERROR(IF(O411="Nacional",VLOOKUP(P411,PRICING!$D$4:$E$59,2,FALSE),VLOOKUP(P411,PRICING!$J$4:$K$59,2,FALSE)),"")</f>
        <v/>
      </c>
      <c r="S411"/>
      <c r="U411" s="406" t="str">
        <f t="shared" si="25"/>
        <v/>
      </c>
      <c r="W411" s="408" t="str">
        <f t="shared" si="26"/>
        <v/>
      </c>
      <c r="X411" s="409" t="str">
        <f t="shared" si="27"/>
        <v/>
      </c>
    </row>
    <row r="412" spans="1:24" ht="16" x14ac:dyDescent="0.25">
      <c r="A412" s="399" t="str">
        <f>IF(B412="","",CONCATENATE("GBL",B412," - ",Mantenedor!E416))</f>
        <v/>
      </c>
      <c r="P412" s="399" t="str">
        <f t="shared" si="24"/>
        <v/>
      </c>
      <c r="Q412" s="405" t="str" cm="1">
        <f t="array" ref="Q412">+_xlfn.IFS(O412="Nacional","CLP",O412="Extranjero","USD",O412="","")</f>
        <v/>
      </c>
      <c r="R412" s="406" t="str">
        <f>IFERROR(IF(O412="Nacional",VLOOKUP(P412,PRICING!$D$4:$E$59,2,FALSE),VLOOKUP(P412,PRICING!$J$4:$K$59,2,FALSE)),"")</f>
        <v/>
      </c>
      <c r="S412"/>
      <c r="U412" s="406" t="str">
        <f t="shared" si="25"/>
        <v/>
      </c>
      <c r="W412" s="408" t="str">
        <f t="shared" si="26"/>
        <v/>
      </c>
      <c r="X412" s="409" t="str">
        <f t="shared" si="27"/>
        <v/>
      </c>
    </row>
    <row r="413" spans="1:24" ht="16" x14ac:dyDescent="0.25">
      <c r="A413" s="399" t="str">
        <f>IF(B413="","",CONCATENATE("GBL",B413," - ",Mantenedor!E417))</f>
        <v/>
      </c>
      <c r="P413" s="399" t="str">
        <f t="shared" si="24"/>
        <v/>
      </c>
      <c r="Q413" s="405" t="str" cm="1">
        <f t="array" ref="Q413">+_xlfn.IFS(O413="Nacional","CLP",O413="Extranjero","USD",O413="","")</f>
        <v/>
      </c>
      <c r="R413" s="406" t="str">
        <f>IFERROR(IF(O413="Nacional",VLOOKUP(P413,PRICING!$D$4:$E$59,2,FALSE),VLOOKUP(P413,PRICING!$J$4:$K$59,2,FALSE)),"")</f>
        <v/>
      </c>
      <c r="S413"/>
      <c r="U413" s="406" t="str">
        <f t="shared" si="25"/>
        <v/>
      </c>
      <c r="W413" s="408" t="str">
        <f t="shared" si="26"/>
        <v/>
      </c>
      <c r="X413" s="409" t="str">
        <f t="shared" si="27"/>
        <v/>
      </c>
    </row>
    <row r="414" spans="1:24" ht="16" x14ac:dyDescent="0.25">
      <c r="A414" s="399" t="str">
        <f>IF(B414="","",CONCATENATE("GBL",B414," - ",Mantenedor!E418))</f>
        <v/>
      </c>
      <c r="P414" s="399" t="str">
        <f t="shared" si="24"/>
        <v/>
      </c>
      <c r="Q414" s="405" t="str" cm="1">
        <f t="array" ref="Q414">+_xlfn.IFS(O414="Nacional","CLP",O414="Extranjero","USD",O414="","")</f>
        <v/>
      </c>
      <c r="R414" s="406" t="str">
        <f>IFERROR(IF(O414="Nacional",VLOOKUP(P414,PRICING!$D$4:$E$59,2,FALSE),VLOOKUP(P414,PRICING!$J$4:$K$59,2,FALSE)),"")</f>
        <v/>
      </c>
      <c r="S414"/>
      <c r="U414" s="406" t="str">
        <f t="shared" si="25"/>
        <v/>
      </c>
      <c r="W414" s="408" t="str">
        <f t="shared" si="26"/>
        <v/>
      </c>
      <c r="X414" s="409" t="str">
        <f t="shared" si="27"/>
        <v/>
      </c>
    </row>
    <row r="415" spans="1:24" ht="16" x14ac:dyDescent="0.25">
      <c r="A415" s="399" t="str">
        <f>IF(B415="","",CONCATENATE("GBL",B415," - ",Mantenedor!E419))</f>
        <v/>
      </c>
      <c r="P415" s="399" t="str">
        <f t="shared" si="24"/>
        <v/>
      </c>
      <c r="Q415" s="405" t="str" cm="1">
        <f t="array" ref="Q415">+_xlfn.IFS(O415="Nacional","CLP",O415="Extranjero","USD",O415="","")</f>
        <v/>
      </c>
      <c r="R415" s="406" t="str">
        <f>IFERROR(IF(O415="Nacional",VLOOKUP(P415,PRICING!$D$4:$E$59,2,FALSE),VLOOKUP(P415,PRICING!$J$4:$K$59,2,FALSE)),"")</f>
        <v/>
      </c>
      <c r="S415"/>
      <c r="U415" s="406" t="str">
        <f t="shared" si="25"/>
        <v/>
      </c>
      <c r="W415" s="408" t="str">
        <f t="shared" si="26"/>
        <v/>
      </c>
      <c r="X415" s="409" t="str">
        <f t="shared" si="27"/>
        <v/>
      </c>
    </row>
    <row r="416" spans="1:24" ht="16" x14ac:dyDescent="0.25">
      <c r="A416" s="399" t="str">
        <f>IF(B416="","",CONCATENATE("GBL",B416," - ",Mantenedor!E420))</f>
        <v/>
      </c>
      <c r="P416" s="399" t="str">
        <f t="shared" si="24"/>
        <v/>
      </c>
      <c r="Q416" s="405" t="str" cm="1">
        <f t="array" ref="Q416">+_xlfn.IFS(O416="Nacional","CLP",O416="Extranjero","USD",O416="","")</f>
        <v/>
      </c>
      <c r="R416" s="406" t="str">
        <f>IFERROR(IF(O416="Nacional",VLOOKUP(P416,PRICING!$D$4:$E$59,2,FALSE),VLOOKUP(P416,PRICING!$J$4:$K$59,2,FALSE)),"")</f>
        <v/>
      </c>
      <c r="S416"/>
      <c r="U416" s="406" t="str">
        <f t="shared" si="25"/>
        <v/>
      </c>
      <c r="W416" s="408" t="str">
        <f t="shared" si="26"/>
        <v/>
      </c>
      <c r="X416" s="409" t="str">
        <f t="shared" si="27"/>
        <v/>
      </c>
    </row>
    <row r="417" spans="1:24" ht="16" x14ac:dyDescent="0.25">
      <c r="A417" s="399" t="str">
        <f>IF(B417="","",CONCATENATE("GBL",B417," - ",Mantenedor!E421))</f>
        <v/>
      </c>
      <c r="P417" s="399" t="str">
        <f t="shared" si="24"/>
        <v/>
      </c>
      <c r="Q417" s="405" t="str" cm="1">
        <f t="array" ref="Q417">+_xlfn.IFS(O417="Nacional","CLP",O417="Extranjero","USD",O417="","")</f>
        <v/>
      </c>
      <c r="R417" s="406" t="str">
        <f>IFERROR(IF(O417="Nacional",VLOOKUP(P417,PRICING!$D$4:$E$59,2,FALSE),VLOOKUP(P417,PRICING!$J$4:$K$59,2,FALSE)),"")</f>
        <v/>
      </c>
      <c r="S417"/>
      <c r="U417" s="406" t="str">
        <f t="shared" si="25"/>
        <v/>
      </c>
      <c r="W417" s="408" t="str">
        <f t="shared" si="26"/>
        <v/>
      </c>
      <c r="X417" s="409" t="str">
        <f t="shared" si="27"/>
        <v/>
      </c>
    </row>
    <row r="418" spans="1:24" ht="16" x14ac:dyDescent="0.25">
      <c r="A418" s="399" t="str">
        <f>IF(B418="","",CONCATENATE("GBL",B418," - ",Mantenedor!E422))</f>
        <v/>
      </c>
      <c r="P418" s="399" t="str">
        <f t="shared" si="24"/>
        <v/>
      </c>
      <c r="Q418" s="405" t="str" cm="1">
        <f t="array" ref="Q418">+_xlfn.IFS(O418="Nacional","CLP",O418="Extranjero","USD",O418="","")</f>
        <v/>
      </c>
      <c r="R418" s="406" t="str">
        <f>IFERROR(IF(O418="Nacional",VLOOKUP(P418,PRICING!$D$4:$E$59,2,FALSE),VLOOKUP(P418,PRICING!$J$4:$K$59,2,FALSE)),"")</f>
        <v/>
      </c>
      <c r="S418"/>
      <c r="U418" s="406" t="str">
        <f t="shared" si="25"/>
        <v/>
      </c>
      <c r="W418" s="408" t="str">
        <f t="shared" si="26"/>
        <v/>
      </c>
      <c r="X418" s="409" t="str">
        <f t="shared" si="27"/>
        <v/>
      </c>
    </row>
    <row r="419" spans="1:24" ht="16" x14ac:dyDescent="0.25">
      <c r="A419" s="399" t="str">
        <f>IF(B419="","",CONCATENATE("GBL",B419," - ",Mantenedor!E423))</f>
        <v/>
      </c>
      <c r="P419" s="399" t="str">
        <f t="shared" si="24"/>
        <v/>
      </c>
      <c r="Q419" s="405" t="str" cm="1">
        <f t="array" ref="Q419">+_xlfn.IFS(O419="Nacional","CLP",O419="Extranjero","USD",O419="","")</f>
        <v/>
      </c>
      <c r="R419" s="406" t="str">
        <f>IFERROR(IF(O419="Nacional",VLOOKUP(P419,PRICING!$D$4:$E$59,2,FALSE),VLOOKUP(P419,PRICING!$J$4:$K$59,2,FALSE)),"")</f>
        <v/>
      </c>
      <c r="S419"/>
      <c r="U419" s="406" t="str">
        <f t="shared" si="25"/>
        <v/>
      </c>
      <c r="W419" s="408" t="str">
        <f t="shared" si="26"/>
        <v/>
      </c>
      <c r="X419" s="409" t="str">
        <f t="shared" si="27"/>
        <v/>
      </c>
    </row>
    <row r="420" spans="1:24" ht="16" x14ac:dyDescent="0.25">
      <c r="A420" s="399" t="str">
        <f>IF(B420="","",CONCATENATE("GBL",B420," - ",Mantenedor!E424))</f>
        <v/>
      </c>
      <c r="P420" s="399" t="str">
        <f t="shared" si="24"/>
        <v/>
      </c>
      <c r="Q420" s="405" t="str" cm="1">
        <f t="array" ref="Q420">+_xlfn.IFS(O420="Nacional","CLP",O420="Extranjero","USD",O420="","")</f>
        <v/>
      </c>
      <c r="R420" s="406" t="str">
        <f>IFERROR(IF(O420="Nacional",VLOOKUP(P420,PRICING!$D$4:$E$59,2,FALSE),VLOOKUP(P420,PRICING!$J$4:$K$59,2,FALSE)),"")</f>
        <v/>
      </c>
      <c r="S420"/>
      <c r="U420" s="406" t="str">
        <f t="shared" si="25"/>
        <v/>
      </c>
      <c r="W420" s="408" t="str">
        <f t="shared" si="26"/>
        <v/>
      </c>
      <c r="X420" s="409" t="str">
        <f t="shared" si="27"/>
        <v/>
      </c>
    </row>
    <row r="421" spans="1:24" ht="16" x14ac:dyDescent="0.25">
      <c r="A421" s="399" t="str">
        <f>IF(B421="","",CONCATENATE("GBL",B421," - ",Mantenedor!E425))</f>
        <v/>
      </c>
      <c r="P421" s="399" t="str">
        <f t="shared" si="24"/>
        <v/>
      </c>
      <c r="Q421" s="405" t="str" cm="1">
        <f t="array" ref="Q421">+_xlfn.IFS(O421="Nacional","CLP",O421="Extranjero","USD",O421="","")</f>
        <v/>
      </c>
      <c r="R421" s="406" t="str">
        <f>IFERROR(IF(O421="Nacional",VLOOKUP(P421,PRICING!$D$4:$E$59,2,FALSE),VLOOKUP(P421,PRICING!$J$4:$K$59,2,FALSE)),"")</f>
        <v/>
      </c>
      <c r="S421"/>
      <c r="U421" s="406" t="str">
        <f t="shared" si="25"/>
        <v/>
      </c>
      <c r="W421" s="408" t="str">
        <f t="shared" si="26"/>
        <v/>
      </c>
      <c r="X421" s="409" t="str">
        <f t="shared" si="27"/>
        <v/>
      </c>
    </row>
    <row r="422" spans="1:24" ht="16" x14ac:dyDescent="0.25">
      <c r="A422" s="399" t="str">
        <f>IF(B422="","",CONCATENATE("GBL",B422," - ",Mantenedor!E426))</f>
        <v/>
      </c>
      <c r="P422" s="399" t="str">
        <f t="shared" si="24"/>
        <v/>
      </c>
      <c r="Q422" s="405" t="str" cm="1">
        <f t="array" ref="Q422">+_xlfn.IFS(O422="Nacional","CLP",O422="Extranjero","USD",O422="","")</f>
        <v/>
      </c>
      <c r="R422" s="406" t="str">
        <f>IFERROR(IF(O422="Nacional",VLOOKUP(P422,PRICING!$D$4:$E$59,2,FALSE),VLOOKUP(P422,PRICING!$J$4:$K$59,2,FALSE)),"")</f>
        <v/>
      </c>
      <c r="S422"/>
      <c r="U422" s="406" t="str">
        <f t="shared" si="25"/>
        <v/>
      </c>
      <c r="W422" s="408" t="str">
        <f t="shared" si="26"/>
        <v/>
      </c>
      <c r="X422" s="409" t="str">
        <f t="shared" si="27"/>
        <v/>
      </c>
    </row>
    <row r="423" spans="1:24" ht="16" x14ac:dyDescent="0.25">
      <c r="A423" s="399" t="str">
        <f>IF(B423="","",CONCATENATE("GBL",B423," - ",Mantenedor!E427))</f>
        <v/>
      </c>
      <c r="P423" s="399" t="str">
        <f t="shared" si="24"/>
        <v/>
      </c>
      <c r="Q423" s="405" t="str" cm="1">
        <f t="array" ref="Q423">+_xlfn.IFS(O423="Nacional","CLP",O423="Extranjero","USD",O423="","")</f>
        <v/>
      </c>
      <c r="R423" s="406" t="str">
        <f>IFERROR(IF(O423="Nacional",VLOOKUP(P423,PRICING!$D$4:$E$59,2,FALSE),VLOOKUP(P423,PRICING!$J$4:$K$59,2,FALSE)),"")</f>
        <v/>
      </c>
      <c r="S423"/>
      <c r="U423" s="406" t="str">
        <f t="shared" si="25"/>
        <v/>
      </c>
      <c r="W423" s="408" t="str">
        <f t="shared" si="26"/>
        <v/>
      </c>
      <c r="X423" s="409" t="str">
        <f t="shared" si="27"/>
        <v/>
      </c>
    </row>
    <row r="424" spans="1:24" ht="16" x14ac:dyDescent="0.25">
      <c r="A424" s="399" t="str">
        <f>IF(B424="","",CONCATENATE("GBL",B424," - ",Mantenedor!E428))</f>
        <v/>
      </c>
      <c r="P424" s="399" t="str">
        <f t="shared" si="24"/>
        <v/>
      </c>
      <c r="Q424" s="405" t="str" cm="1">
        <f t="array" ref="Q424">+_xlfn.IFS(O424="Nacional","CLP",O424="Extranjero","USD",O424="","")</f>
        <v/>
      </c>
      <c r="R424" s="406" t="str">
        <f>IFERROR(IF(O424="Nacional",VLOOKUP(P424,PRICING!$D$4:$E$59,2,FALSE),VLOOKUP(P424,PRICING!$J$4:$K$59,2,FALSE)),"")</f>
        <v/>
      </c>
      <c r="S424"/>
      <c r="U424" s="406" t="str">
        <f t="shared" si="25"/>
        <v/>
      </c>
      <c r="W424" s="408" t="str">
        <f t="shared" si="26"/>
        <v/>
      </c>
      <c r="X424" s="409" t="str">
        <f t="shared" si="27"/>
        <v/>
      </c>
    </row>
    <row r="425" spans="1:24" ht="16" x14ac:dyDescent="0.25">
      <c r="A425" s="399" t="str">
        <f>IF(B425="","",CONCATENATE("GBL",B425," - ",Mantenedor!E429))</f>
        <v/>
      </c>
      <c r="P425" s="399" t="str">
        <f t="shared" si="24"/>
        <v/>
      </c>
      <c r="Q425" s="405" t="str" cm="1">
        <f t="array" ref="Q425">+_xlfn.IFS(O425="Nacional","CLP",O425="Extranjero","USD",O425="","")</f>
        <v/>
      </c>
      <c r="R425" s="406" t="str">
        <f>IFERROR(IF(O425="Nacional",VLOOKUP(P425,PRICING!$D$4:$E$59,2,FALSE),VLOOKUP(P425,PRICING!$J$4:$K$59,2,FALSE)),"")</f>
        <v/>
      </c>
      <c r="S425"/>
      <c r="U425" s="406" t="str">
        <f t="shared" si="25"/>
        <v/>
      </c>
      <c r="W425" s="408" t="str">
        <f t="shared" si="26"/>
        <v/>
      </c>
      <c r="X425" s="409" t="str">
        <f t="shared" si="27"/>
        <v/>
      </c>
    </row>
    <row r="426" spans="1:24" ht="16" x14ac:dyDescent="0.25">
      <c r="A426" s="399" t="str">
        <f>IF(B426="","",CONCATENATE("GBL",B426," - ",Mantenedor!E430))</f>
        <v/>
      </c>
      <c r="P426" s="399" t="str">
        <f t="shared" si="24"/>
        <v/>
      </c>
      <c r="Q426" s="405" t="str" cm="1">
        <f t="array" ref="Q426">+_xlfn.IFS(O426="Nacional","CLP",O426="Extranjero","USD",O426="","")</f>
        <v/>
      </c>
      <c r="R426" s="406" t="str">
        <f>IFERROR(IF(O426="Nacional",VLOOKUP(P426,PRICING!$D$4:$E$59,2,FALSE),VLOOKUP(P426,PRICING!$J$4:$K$59,2,FALSE)),"")</f>
        <v/>
      </c>
      <c r="S426"/>
      <c r="U426" s="406" t="str">
        <f t="shared" si="25"/>
        <v/>
      </c>
      <c r="W426" s="408" t="str">
        <f t="shared" si="26"/>
        <v/>
      </c>
      <c r="X426" s="409" t="str">
        <f t="shared" si="27"/>
        <v/>
      </c>
    </row>
    <row r="427" spans="1:24" ht="16" x14ac:dyDescent="0.25">
      <c r="A427" s="399" t="str">
        <f>IF(B427="","",CONCATENATE("GBL",B427," - ",Mantenedor!E431))</f>
        <v/>
      </c>
      <c r="P427" s="399" t="str">
        <f t="shared" si="24"/>
        <v/>
      </c>
      <c r="Q427" s="405" t="str" cm="1">
        <f t="array" ref="Q427">+_xlfn.IFS(O427="Nacional","CLP",O427="Extranjero","USD",O427="","")</f>
        <v/>
      </c>
      <c r="R427" s="406" t="str">
        <f>IFERROR(IF(O427="Nacional",VLOOKUP(P427,PRICING!$D$4:$E$59,2,FALSE),VLOOKUP(P427,PRICING!$J$4:$K$59,2,FALSE)),"")</f>
        <v/>
      </c>
      <c r="S427"/>
      <c r="U427" s="406" t="str">
        <f t="shared" si="25"/>
        <v/>
      </c>
      <c r="W427" s="408" t="str">
        <f t="shared" si="26"/>
        <v/>
      </c>
      <c r="X427" s="409" t="str">
        <f t="shared" si="27"/>
        <v/>
      </c>
    </row>
    <row r="428" spans="1:24" ht="16" x14ac:dyDescent="0.25">
      <c r="A428" s="399" t="str">
        <f>IF(B428="","",CONCATENATE("GBL",B428," - ",Mantenedor!E432))</f>
        <v/>
      </c>
      <c r="P428" s="399" t="str">
        <f t="shared" si="24"/>
        <v/>
      </c>
      <c r="Q428" s="405" t="str" cm="1">
        <f t="array" ref="Q428">+_xlfn.IFS(O428="Nacional","CLP",O428="Extranjero","USD",O428="","")</f>
        <v/>
      </c>
      <c r="R428" s="406" t="str">
        <f>IFERROR(IF(O428="Nacional",VLOOKUP(P428,PRICING!$D$4:$E$59,2,FALSE),VLOOKUP(P428,PRICING!$J$4:$K$59,2,FALSE)),"")</f>
        <v/>
      </c>
      <c r="S428"/>
      <c r="U428" s="406" t="str">
        <f t="shared" si="25"/>
        <v/>
      </c>
      <c r="W428" s="408" t="str">
        <f t="shared" si="26"/>
        <v/>
      </c>
      <c r="X428" s="409" t="str">
        <f t="shared" si="27"/>
        <v/>
      </c>
    </row>
    <row r="429" spans="1:24" ht="16" x14ac:dyDescent="0.25">
      <c r="A429" s="399" t="str">
        <f>IF(B429="","",CONCATENATE("GBL",B429," - ",Mantenedor!E433))</f>
        <v/>
      </c>
      <c r="P429" s="399" t="str">
        <f t="shared" si="24"/>
        <v/>
      </c>
      <c r="Q429" s="405" t="str" cm="1">
        <f t="array" ref="Q429">+_xlfn.IFS(O429="Nacional","CLP",O429="Extranjero","USD",O429="","")</f>
        <v/>
      </c>
      <c r="R429" s="406" t="str">
        <f>IFERROR(IF(O429="Nacional",VLOOKUP(P429,PRICING!$D$4:$E$59,2,FALSE),VLOOKUP(P429,PRICING!$J$4:$K$59,2,FALSE)),"")</f>
        <v/>
      </c>
      <c r="S429"/>
      <c r="U429" s="406" t="str">
        <f t="shared" si="25"/>
        <v/>
      </c>
      <c r="W429" s="408" t="str">
        <f t="shared" si="26"/>
        <v/>
      </c>
      <c r="X429" s="409" t="str">
        <f t="shared" si="27"/>
        <v/>
      </c>
    </row>
    <row r="430" spans="1:24" ht="16" x14ac:dyDescent="0.25">
      <c r="A430" s="399" t="str">
        <f>IF(B430="","",CONCATENATE("GBL",B430," - ",Mantenedor!E434))</f>
        <v/>
      </c>
      <c r="P430" s="399" t="str">
        <f t="shared" si="24"/>
        <v/>
      </c>
      <c r="Q430" s="405" t="str" cm="1">
        <f t="array" ref="Q430">+_xlfn.IFS(O430="Nacional","CLP",O430="Extranjero","USD",O430="","")</f>
        <v/>
      </c>
      <c r="R430" s="406" t="str">
        <f>IFERROR(IF(O430="Nacional",VLOOKUP(P430,PRICING!$D$4:$E$59,2,FALSE),VLOOKUP(P430,PRICING!$J$4:$K$59,2,FALSE)),"")</f>
        <v/>
      </c>
      <c r="S430"/>
      <c r="U430" s="406" t="str">
        <f t="shared" si="25"/>
        <v/>
      </c>
      <c r="W430" s="408" t="str">
        <f t="shared" si="26"/>
        <v/>
      </c>
      <c r="X430" s="409" t="str">
        <f t="shared" si="27"/>
        <v/>
      </c>
    </row>
    <row r="431" spans="1:24" ht="16" x14ac:dyDescent="0.25">
      <c r="A431" s="399" t="str">
        <f>IF(B431="","",CONCATENATE("GBL",B431," - ",Mantenedor!E435))</f>
        <v/>
      </c>
      <c r="P431" s="399" t="str">
        <f t="shared" si="24"/>
        <v/>
      </c>
      <c r="Q431" s="405" t="str" cm="1">
        <f t="array" ref="Q431">+_xlfn.IFS(O431="Nacional","CLP",O431="Extranjero","USD",O431="","")</f>
        <v/>
      </c>
      <c r="R431" s="406" t="str">
        <f>IFERROR(IF(O431="Nacional",VLOOKUP(P431,PRICING!$D$4:$E$59,2,FALSE),VLOOKUP(P431,PRICING!$J$4:$K$59,2,FALSE)),"")</f>
        <v/>
      </c>
      <c r="S431"/>
      <c r="U431" s="406" t="str">
        <f t="shared" si="25"/>
        <v/>
      </c>
      <c r="W431" s="408" t="str">
        <f t="shared" si="26"/>
        <v/>
      </c>
      <c r="X431" s="409" t="str">
        <f t="shared" si="27"/>
        <v/>
      </c>
    </row>
    <row r="432" spans="1:24" ht="16" x14ac:dyDescent="0.25">
      <c r="A432" s="399" t="str">
        <f>IF(B432="","",CONCATENATE("GBL",B432," - ",Mantenedor!E436))</f>
        <v/>
      </c>
      <c r="P432" s="399" t="str">
        <f t="shared" si="24"/>
        <v/>
      </c>
      <c r="Q432" s="405" t="str" cm="1">
        <f t="array" ref="Q432">+_xlfn.IFS(O432="Nacional","CLP",O432="Extranjero","USD",O432="","")</f>
        <v/>
      </c>
      <c r="R432" s="406" t="str">
        <f>IFERROR(IF(O432="Nacional",VLOOKUP(P432,PRICING!$D$4:$E$59,2,FALSE),VLOOKUP(P432,PRICING!$J$4:$K$59,2,FALSE)),"")</f>
        <v/>
      </c>
      <c r="S432"/>
      <c r="U432" s="406" t="str">
        <f t="shared" si="25"/>
        <v/>
      </c>
      <c r="W432" s="408" t="str">
        <f t="shared" si="26"/>
        <v/>
      </c>
      <c r="X432" s="409" t="str">
        <f t="shared" si="27"/>
        <v/>
      </c>
    </row>
    <row r="433" spans="1:24" ht="16" x14ac:dyDescent="0.25">
      <c r="A433" s="399" t="str">
        <f>IF(B433="","",CONCATENATE("GBL",B433," - ",Mantenedor!E437))</f>
        <v/>
      </c>
      <c r="P433" s="399" t="str">
        <f t="shared" si="24"/>
        <v/>
      </c>
      <c r="Q433" s="405" t="str" cm="1">
        <f t="array" ref="Q433">+_xlfn.IFS(O433="Nacional","CLP",O433="Extranjero","USD",O433="","")</f>
        <v/>
      </c>
      <c r="R433" s="406" t="str">
        <f>IFERROR(IF(O433="Nacional",VLOOKUP(P433,PRICING!$D$4:$E$59,2,FALSE),VLOOKUP(P433,PRICING!$J$4:$K$59,2,FALSE)),"")</f>
        <v/>
      </c>
      <c r="S433"/>
      <c r="U433" s="406" t="str">
        <f t="shared" si="25"/>
        <v/>
      </c>
      <c r="W433" s="408" t="str">
        <f t="shared" si="26"/>
        <v/>
      </c>
      <c r="X433" s="409" t="str">
        <f t="shared" si="27"/>
        <v/>
      </c>
    </row>
    <row r="434" spans="1:24" ht="16" x14ac:dyDescent="0.25">
      <c r="A434" s="399" t="str">
        <f>IF(B434="","",CONCATENATE("GBL",B434," - ",Mantenedor!E438))</f>
        <v/>
      </c>
      <c r="P434" s="399" t="str">
        <f t="shared" si="24"/>
        <v/>
      </c>
      <c r="Q434" s="405" t="str" cm="1">
        <f t="array" ref="Q434">+_xlfn.IFS(O434="Nacional","CLP",O434="Extranjero","USD",O434="","")</f>
        <v/>
      </c>
      <c r="R434" s="406" t="str">
        <f>IFERROR(IF(O434="Nacional",VLOOKUP(P434,PRICING!$D$4:$E$59,2,FALSE),VLOOKUP(P434,PRICING!$J$4:$K$59,2,FALSE)),"")</f>
        <v/>
      </c>
      <c r="S434"/>
      <c r="U434" s="406" t="str">
        <f t="shared" si="25"/>
        <v/>
      </c>
      <c r="W434" s="408" t="str">
        <f t="shared" si="26"/>
        <v/>
      </c>
      <c r="X434" s="409" t="str">
        <f t="shared" si="27"/>
        <v/>
      </c>
    </row>
    <row r="435" spans="1:24" ht="16" x14ac:dyDescent="0.25">
      <c r="A435" s="399" t="str">
        <f>IF(B435="","",CONCATENATE("GBL",B435," - ",Mantenedor!E439))</f>
        <v/>
      </c>
      <c r="P435" s="399" t="str">
        <f t="shared" si="24"/>
        <v/>
      </c>
      <c r="Q435" s="405" t="str" cm="1">
        <f t="array" ref="Q435">+_xlfn.IFS(O435="Nacional","CLP",O435="Extranjero","USD",O435="","")</f>
        <v/>
      </c>
      <c r="R435" s="406" t="str">
        <f>IFERROR(IF(O435="Nacional",VLOOKUP(P435,PRICING!$D$4:$E$59,2,FALSE),VLOOKUP(P435,PRICING!$J$4:$K$59,2,FALSE)),"")</f>
        <v/>
      </c>
      <c r="S435"/>
      <c r="U435" s="406" t="str">
        <f t="shared" si="25"/>
        <v/>
      </c>
      <c r="W435" s="408" t="str">
        <f t="shared" si="26"/>
        <v/>
      </c>
      <c r="X435" s="409" t="str">
        <f t="shared" si="27"/>
        <v/>
      </c>
    </row>
    <row r="436" spans="1:24" ht="16" x14ac:dyDescent="0.25">
      <c r="A436" s="399" t="str">
        <f>IF(B436="","",CONCATENATE("GBL",B436," - ",Mantenedor!E440))</f>
        <v/>
      </c>
      <c r="P436" s="399" t="str">
        <f t="shared" si="24"/>
        <v/>
      </c>
      <c r="Q436" s="405" t="str" cm="1">
        <f t="array" ref="Q436">+_xlfn.IFS(O436="Nacional","CLP",O436="Extranjero","USD",O436="","")</f>
        <v/>
      </c>
      <c r="R436" s="406" t="str">
        <f>IFERROR(IF(O436="Nacional",VLOOKUP(P436,PRICING!$D$4:$E$59,2,FALSE),VLOOKUP(P436,PRICING!$J$4:$K$59,2,FALSE)),"")</f>
        <v/>
      </c>
      <c r="S436"/>
      <c r="U436" s="406" t="str">
        <f t="shared" si="25"/>
        <v/>
      </c>
      <c r="W436" s="408" t="str">
        <f t="shared" si="26"/>
        <v/>
      </c>
      <c r="X436" s="409" t="str">
        <f t="shared" si="27"/>
        <v/>
      </c>
    </row>
    <row r="437" spans="1:24" ht="16" x14ac:dyDescent="0.25">
      <c r="A437" s="399" t="str">
        <f>IF(B437="","",CONCATENATE("GBL",B437," - ",Mantenedor!E441))</f>
        <v/>
      </c>
      <c r="P437" s="399" t="str">
        <f t="shared" si="24"/>
        <v/>
      </c>
      <c r="Q437" s="405" t="str" cm="1">
        <f t="array" ref="Q437">+_xlfn.IFS(O437="Nacional","CLP",O437="Extranjero","USD",O437="","")</f>
        <v/>
      </c>
      <c r="R437" s="406" t="str">
        <f>IFERROR(IF(O437="Nacional",VLOOKUP(P437,PRICING!$D$4:$E$59,2,FALSE),VLOOKUP(P437,PRICING!$J$4:$K$59,2,FALSE)),"")</f>
        <v/>
      </c>
      <c r="S437"/>
      <c r="U437" s="406" t="str">
        <f t="shared" si="25"/>
        <v/>
      </c>
      <c r="W437" s="408" t="str">
        <f t="shared" si="26"/>
        <v/>
      </c>
      <c r="X437" s="409" t="str">
        <f t="shared" si="27"/>
        <v/>
      </c>
    </row>
    <row r="438" spans="1:24" ht="16" x14ac:dyDescent="0.25">
      <c r="A438" s="399" t="str">
        <f>IF(B438="","",CONCATENATE("GBL",B438," - ",Mantenedor!E442))</f>
        <v/>
      </c>
      <c r="P438" s="399" t="str">
        <f t="shared" si="24"/>
        <v/>
      </c>
      <c r="Q438" s="405" t="str" cm="1">
        <f t="array" ref="Q438">+_xlfn.IFS(O438="Nacional","CLP",O438="Extranjero","USD",O438="","")</f>
        <v/>
      </c>
      <c r="R438" s="406" t="str">
        <f>IFERROR(IF(O438="Nacional",VLOOKUP(P438,PRICING!$D$4:$E$59,2,FALSE),VLOOKUP(P438,PRICING!$J$4:$K$59,2,FALSE)),"")</f>
        <v/>
      </c>
      <c r="S438"/>
      <c r="U438" s="406" t="str">
        <f t="shared" si="25"/>
        <v/>
      </c>
      <c r="W438" s="408" t="str">
        <f t="shared" si="26"/>
        <v/>
      </c>
      <c r="X438" s="409" t="str">
        <f t="shared" si="27"/>
        <v/>
      </c>
    </row>
    <row r="439" spans="1:24" ht="16" x14ac:dyDescent="0.25">
      <c r="A439" s="399" t="str">
        <f>IF(B439="","",CONCATENATE("GBL",B439," - ",Mantenedor!E443))</f>
        <v/>
      </c>
      <c r="P439" s="399" t="str">
        <f t="shared" si="24"/>
        <v/>
      </c>
      <c r="Q439" s="405" t="str" cm="1">
        <f t="array" ref="Q439">+_xlfn.IFS(O439="Nacional","CLP",O439="Extranjero","USD",O439="","")</f>
        <v/>
      </c>
      <c r="R439" s="406" t="str">
        <f>IFERROR(IF(O439="Nacional",VLOOKUP(P439,PRICING!$D$4:$E$59,2,FALSE),VLOOKUP(P439,PRICING!$J$4:$K$59,2,FALSE)),"")</f>
        <v/>
      </c>
      <c r="S439"/>
      <c r="U439" s="406" t="str">
        <f t="shared" si="25"/>
        <v/>
      </c>
      <c r="W439" s="408" t="str">
        <f t="shared" si="26"/>
        <v/>
      </c>
      <c r="X439" s="409" t="str">
        <f t="shared" si="27"/>
        <v/>
      </c>
    </row>
    <row r="440" spans="1:24" ht="16" x14ac:dyDescent="0.25">
      <c r="A440" s="399" t="str">
        <f>IF(B440="","",CONCATENATE("GBL",B440," - ",Mantenedor!E444))</f>
        <v/>
      </c>
      <c r="P440" s="399" t="str">
        <f t="shared" si="24"/>
        <v/>
      </c>
      <c r="Q440" s="405" t="str" cm="1">
        <f t="array" ref="Q440">+_xlfn.IFS(O440="Nacional","CLP",O440="Extranjero","USD",O440="","")</f>
        <v/>
      </c>
      <c r="R440" s="406" t="str">
        <f>IFERROR(IF(O440="Nacional",VLOOKUP(P440,PRICING!$D$4:$E$59,2,FALSE),VLOOKUP(P440,PRICING!$J$4:$K$59,2,FALSE)),"")</f>
        <v/>
      </c>
      <c r="S440"/>
      <c r="U440" s="406" t="str">
        <f t="shared" si="25"/>
        <v/>
      </c>
      <c r="W440" s="408" t="str">
        <f t="shared" si="26"/>
        <v/>
      </c>
      <c r="X440" s="409" t="str">
        <f t="shared" si="27"/>
        <v/>
      </c>
    </row>
    <row r="441" spans="1:24" ht="16" x14ac:dyDescent="0.25">
      <c r="A441" s="399" t="str">
        <f>IF(B441="","",CONCATENATE("GBL",B441," - ",Mantenedor!E445))</f>
        <v/>
      </c>
      <c r="P441" s="399" t="str">
        <f t="shared" si="24"/>
        <v/>
      </c>
      <c r="Q441" s="405" t="str" cm="1">
        <f t="array" ref="Q441">+_xlfn.IFS(O441="Nacional","CLP",O441="Extranjero","USD",O441="","")</f>
        <v/>
      </c>
      <c r="R441" s="406" t="str">
        <f>IFERROR(IF(O441="Nacional",VLOOKUP(P441,PRICING!$D$4:$E$59,2,FALSE),VLOOKUP(P441,PRICING!$J$4:$K$59,2,FALSE)),"")</f>
        <v/>
      </c>
      <c r="S441"/>
      <c r="U441" s="406" t="str">
        <f t="shared" si="25"/>
        <v/>
      </c>
      <c r="W441" s="408" t="str">
        <f t="shared" si="26"/>
        <v/>
      </c>
      <c r="X441" s="409" t="str">
        <f t="shared" si="27"/>
        <v/>
      </c>
    </row>
    <row r="442" spans="1:24" ht="16" x14ac:dyDescent="0.25">
      <c r="A442" s="399" t="str">
        <f>IF(B442="","",CONCATENATE("GBL",B442," - ",Mantenedor!E446))</f>
        <v/>
      </c>
      <c r="P442" s="399" t="str">
        <f t="shared" si="24"/>
        <v/>
      </c>
      <c r="Q442" s="405" t="str" cm="1">
        <f t="array" ref="Q442">+_xlfn.IFS(O442="Nacional","CLP",O442="Extranjero","USD",O442="","")</f>
        <v/>
      </c>
      <c r="R442" s="406" t="str">
        <f>IFERROR(IF(O442="Nacional",VLOOKUP(P442,PRICING!$D$4:$E$59,2,FALSE),VLOOKUP(P442,PRICING!$J$4:$K$59,2,FALSE)),"")</f>
        <v/>
      </c>
      <c r="S442"/>
      <c r="U442" s="406" t="str">
        <f t="shared" si="25"/>
        <v/>
      </c>
      <c r="W442" s="408" t="str">
        <f t="shared" si="26"/>
        <v/>
      </c>
      <c r="X442" s="409" t="str">
        <f t="shared" si="27"/>
        <v/>
      </c>
    </row>
    <row r="443" spans="1:24" ht="16" x14ac:dyDescent="0.25">
      <c r="A443" s="399" t="str">
        <f>IF(B443="","",CONCATENATE("GBL",B443," - ",Mantenedor!E447))</f>
        <v/>
      </c>
      <c r="P443" s="399" t="str">
        <f t="shared" si="24"/>
        <v/>
      </c>
      <c r="Q443" s="405" t="str" cm="1">
        <f t="array" ref="Q443">+_xlfn.IFS(O443="Nacional","CLP",O443="Extranjero","USD",O443="","")</f>
        <v/>
      </c>
      <c r="R443" s="406" t="str">
        <f>IFERROR(IF(O443="Nacional",VLOOKUP(P443,PRICING!$D$4:$E$59,2,FALSE),VLOOKUP(P443,PRICING!$J$4:$K$59,2,FALSE)),"")</f>
        <v/>
      </c>
      <c r="S443"/>
      <c r="U443" s="406" t="str">
        <f t="shared" si="25"/>
        <v/>
      </c>
      <c r="W443" s="408" t="str">
        <f t="shared" si="26"/>
        <v/>
      </c>
      <c r="X443" s="409" t="str">
        <f t="shared" si="27"/>
        <v/>
      </c>
    </row>
    <row r="444" spans="1:24" ht="16" x14ac:dyDescent="0.25">
      <c r="A444" s="399" t="str">
        <f>IF(B444="","",CONCATENATE("GBL",B444," - ",Mantenedor!E448))</f>
        <v/>
      </c>
      <c r="P444" s="399" t="str">
        <f t="shared" si="24"/>
        <v/>
      </c>
      <c r="Q444" s="405" t="str" cm="1">
        <f t="array" ref="Q444">+_xlfn.IFS(O444="Nacional","CLP",O444="Extranjero","USD",O444="","")</f>
        <v/>
      </c>
      <c r="R444" s="406" t="str">
        <f>IFERROR(IF(O444="Nacional",VLOOKUP(P444,PRICING!$D$4:$E$59,2,FALSE),VLOOKUP(P444,PRICING!$J$4:$K$59,2,FALSE)),"")</f>
        <v/>
      </c>
      <c r="S444"/>
      <c r="U444" s="406" t="str">
        <f t="shared" si="25"/>
        <v/>
      </c>
      <c r="W444" s="408" t="str">
        <f t="shared" si="26"/>
        <v/>
      </c>
      <c r="X444" s="409" t="str">
        <f t="shared" si="27"/>
        <v/>
      </c>
    </row>
    <row r="445" spans="1:24" ht="16" x14ac:dyDescent="0.25">
      <c r="A445" s="399" t="str">
        <f>IF(B445="","",CONCATENATE("GBL",B445," - ",Mantenedor!E449))</f>
        <v/>
      </c>
      <c r="P445" s="399" t="str">
        <f t="shared" si="24"/>
        <v/>
      </c>
      <c r="Q445" s="405" t="str" cm="1">
        <f t="array" ref="Q445">+_xlfn.IFS(O445="Nacional","CLP",O445="Extranjero","USD",O445="","")</f>
        <v/>
      </c>
      <c r="R445" s="406" t="str">
        <f>IFERROR(IF(O445="Nacional",VLOOKUP(P445,PRICING!$D$4:$E$59,2,FALSE),VLOOKUP(P445,PRICING!$J$4:$K$59,2,FALSE)),"")</f>
        <v/>
      </c>
      <c r="S445"/>
      <c r="U445" s="406" t="str">
        <f t="shared" si="25"/>
        <v/>
      </c>
      <c r="W445" s="408" t="str">
        <f t="shared" si="26"/>
        <v/>
      </c>
      <c r="X445" s="409" t="str">
        <f t="shared" si="27"/>
        <v/>
      </c>
    </row>
    <row r="446" spans="1:24" ht="16" x14ac:dyDescent="0.25">
      <c r="A446" s="399" t="str">
        <f>IF(B446="","",CONCATENATE("GBL",B446," - ",Mantenedor!E450))</f>
        <v/>
      </c>
      <c r="P446" s="399" t="str">
        <f t="shared" si="24"/>
        <v/>
      </c>
      <c r="Q446" s="405" t="str" cm="1">
        <f t="array" ref="Q446">+_xlfn.IFS(O446="Nacional","CLP",O446="Extranjero","USD",O446="","")</f>
        <v/>
      </c>
      <c r="R446" s="406" t="str">
        <f>IFERROR(IF(O446="Nacional",VLOOKUP(P446,PRICING!$D$4:$E$59,2,FALSE),VLOOKUP(P446,PRICING!$J$4:$K$59,2,FALSE)),"")</f>
        <v/>
      </c>
      <c r="S446"/>
      <c r="U446" s="406" t="str">
        <f t="shared" si="25"/>
        <v/>
      </c>
      <c r="W446" s="408" t="str">
        <f t="shared" si="26"/>
        <v/>
      </c>
      <c r="X446" s="409" t="str">
        <f t="shared" si="27"/>
        <v/>
      </c>
    </row>
    <row r="447" spans="1:24" ht="16" x14ac:dyDescent="0.25">
      <c r="A447" s="399" t="str">
        <f>IF(B447="","",CONCATENATE("GBL",B447," - ",Mantenedor!E451))</f>
        <v/>
      </c>
      <c r="P447" s="399" t="str">
        <f t="shared" ref="P447:P510" si="28">IF(N447="","",(IF(L447=1,(CONCATENATE("Base ",N447," ",L447," noche")),(CONCATENATE("Base ",N447," ",L447," noches")))))</f>
        <v/>
      </c>
      <c r="Q447" s="405" t="str" cm="1">
        <f t="array" ref="Q447">+_xlfn.IFS(O447="Nacional","CLP",O447="Extranjero","USD",O447="","")</f>
        <v/>
      </c>
      <c r="R447" s="406" t="str">
        <f>IFERROR(IF(O447="Nacional",VLOOKUP(P447,PRICING!$D$4:$E$59,2,FALSE),VLOOKUP(P447,PRICING!$J$4:$K$59,2,FALSE)),"")</f>
        <v/>
      </c>
      <c r="S447"/>
      <c r="U447" s="406" t="str">
        <f t="shared" ref="U447:U510" si="29">IFERROR(+R447*(1-S447),"")</f>
        <v/>
      </c>
      <c r="W447" s="408" t="str">
        <f t="shared" ref="W447:W510" si="30">+IF(U447="","","50"%)</f>
        <v/>
      </c>
      <c r="X447" s="409" t="str">
        <f t="shared" si="27"/>
        <v/>
      </c>
    </row>
    <row r="448" spans="1:24" ht="16" x14ac:dyDescent="0.25">
      <c r="A448" s="399" t="str">
        <f>IF(B448="","",CONCATENATE("GBL",B448," - ",Mantenedor!E452))</f>
        <v/>
      </c>
      <c r="P448" s="399" t="str">
        <f t="shared" si="28"/>
        <v/>
      </c>
      <c r="Q448" s="405" t="str" cm="1">
        <f t="array" ref="Q448">+_xlfn.IFS(O448="Nacional","CLP",O448="Extranjero","USD",O448="","")</f>
        <v/>
      </c>
      <c r="R448" s="406" t="str">
        <f>IFERROR(IF(O448="Nacional",VLOOKUP(P448,PRICING!$D$4:$E$59,2,FALSE),VLOOKUP(P448,PRICING!$J$4:$K$59,2,FALSE)),"")</f>
        <v/>
      </c>
      <c r="S448"/>
      <c r="U448" s="406" t="str">
        <f t="shared" si="29"/>
        <v/>
      </c>
      <c r="W448" s="408" t="str">
        <f t="shared" si="30"/>
        <v/>
      </c>
      <c r="X448" s="409" t="str">
        <f t="shared" ref="X448:X511" si="31">+IF(W448="","",(1-W448))</f>
        <v/>
      </c>
    </row>
    <row r="449" spans="1:24" ht="16" x14ac:dyDescent="0.25">
      <c r="A449" s="399" t="str">
        <f>IF(B449="","",CONCATENATE("GBL",B449," - ",Mantenedor!E453))</f>
        <v/>
      </c>
      <c r="P449" s="399" t="str">
        <f t="shared" si="28"/>
        <v/>
      </c>
      <c r="Q449" s="405" t="str" cm="1">
        <f t="array" ref="Q449">+_xlfn.IFS(O449="Nacional","CLP",O449="Extranjero","USD",O449="","")</f>
        <v/>
      </c>
      <c r="R449" s="406" t="str">
        <f>IFERROR(IF(O449="Nacional",VLOOKUP(P449,PRICING!$D$4:$E$59,2,FALSE),VLOOKUP(P449,PRICING!$J$4:$K$59,2,FALSE)),"")</f>
        <v/>
      </c>
      <c r="S449"/>
      <c r="U449" s="406" t="str">
        <f t="shared" si="29"/>
        <v/>
      </c>
      <c r="W449" s="408" t="str">
        <f t="shared" si="30"/>
        <v/>
      </c>
      <c r="X449" s="409" t="str">
        <f t="shared" si="31"/>
        <v/>
      </c>
    </row>
    <row r="450" spans="1:24" ht="16" x14ac:dyDescent="0.25">
      <c r="A450" s="399" t="str">
        <f>IF(B450="","",CONCATENATE("GBL",B450," - ",Mantenedor!E454))</f>
        <v/>
      </c>
      <c r="P450" s="399" t="str">
        <f t="shared" si="28"/>
        <v/>
      </c>
      <c r="Q450" s="405" t="str" cm="1">
        <f t="array" ref="Q450">+_xlfn.IFS(O450="Nacional","CLP",O450="Extranjero","USD",O450="","")</f>
        <v/>
      </c>
      <c r="R450" s="406" t="str">
        <f>IFERROR(IF(O450="Nacional",VLOOKUP(P450,PRICING!$D$4:$E$59,2,FALSE),VLOOKUP(P450,PRICING!$J$4:$K$59,2,FALSE)),"")</f>
        <v/>
      </c>
      <c r="S450"/>
      <c r="U450" s="406" t="str">
        <f t="shared" si="29"/>
        <v/>
      </c>
      <c r="W450" s="408" t="str">
        <f t="shared" si="30"/>
        <v/>
      </c>
      <c r="X450" s="409" t="str">
        <f t="shared" si="31"/>
        <v/>
      </c>
    </row>
    <row r="451" spans="1:24" ht="16" x14ac:dyDescent="0.25">
      <c r="A451" s="399" t="str">
        <f>IF(B451="","",CONCATENATE("GBL",B451," - ",Mantenedor!E455))</f>
        <v/>
      </c>
      <c r="P451" s="399" t="str">
        <f t="shared" si="28"/>
        <v/>
      </c>
      <c r="Q451" s="405" t="str" cm="1">
        <f t="array" ref="Q451">+_xlfn.IFS(O451="Nacional","CLP",O451="Extranjero","USD",O451="","")</f>
        <v/>
      </c>
      <c r="R451" s="406" t="str">
        <f>IFERROR(IF(O451="Nacional",VLOOKUP(P451,PRICING!$D$4:$E$59,2,FALSE),VLOOKUP(P451,PRICING!$J$4:$K$59,2,FALSE)),"")</f>
        <v/>
      </c>
      <c r="S451"/>
      <c r="U451" s="406" t="str">
        <f t="shared" si="29"/>
        <v/>
      </c>
      <c r="W451" s="408" t="str">
        <f t="shared" si="30"/>
        <v/>
      </c>
      <c r="X451" s="409" t="str">
        <f t="shared" si="31"/>
        <v/>
      </c>
    </row>
    <row r="452" spans="1:24" ht="16" x14ac:dyDescent="0.25">
      <c r="A452" s="399" t="str">
        <f>IF(B452="","",CONCATENATE("GBL",B452," - ",Mantenedor!E456))</f>
        <v/>
      </c>
      <c r="P452" s="399" t="str">
        <f t="shared" si="28"/>
        <v/>
      </c>
      <c r="Q452" s="405" t="str" cm="1">
        <f t="array" ref="Q452">+_xlfn.IFS(O452="Nacional","CLP",O452="Extranjero","USD",O452="","")</f>
        <v/>
      </c>
      <c r="R452" s="406" t="str">
        <f>IFERROR(IF(O452="Nacional",VLOOKUP(P452,PRICING!$D$4:$E$59,2,FALSE),VLOOKUP(P452,PRICING!$J$4:$K$59,2,FALSE)),"")</f>
        <v/>
      </c>
      <c r="S452"/>
      <c r="U452" s="406" t="str">
        <f t="shared" si="29"/>
        <v/>
      </c>
      <c r="W452" s="408" t="str">
        <f t="shared" si="30"/>
        <v/>
      </c>
      <c r="X452" s="409" t="str">
        <f t="shared" si="31"/>
        <v/>
      </c>
    </row>
    <row r="453" spans="1:24" ht="16" x14ac:dyDescent="0.25">
      <c r="A453" s="399" t="str">
        <f>IF(B453="","",CONCATENATE("GBL",B453," - ",Mantenedor!E457))</f>
        <v/>
      </c>
      <c r="P453" s="399" t="str">
        <f t="shared" si="28"/>
        <v/>
      </c>
      <c r="Q453" s="405" t="str" cm="1">
        <f t="array" ref="Q453">+_xlfn.IFS(O453="Nacional","CLP",O453="Extranjero","USD",O453="","")</f>
        <v/>
      </c>
      <c r="R453" s="406" t="str">
        <f>IFERROR(IF(O453="Nacional",VLOOKUP(P453,PRICING!$D$4:$E$59,2,FALSE),VLOOKUP(P453,PRICING!$J$4:$K$59,2,FALSE)),"")</f>
        <v/>
      </c>
      <c r="S453"/>
      <c r="U453" s="406" t="str">
        <f t="shared" si="29"/>
        <v/>
      </c>
      <c r="W453" s="408" t="str">
        <f t="shared" si="30"/>
        <v/>
      </c>
      <c r="X453" s="409" t="str">
        <f t="shared" si="31"/>
        <v/>
      </c>
    </row>
    <row r="454" spans="1:24" ht="16" x14ac:dyDescent="0.25">
      <c r="A454" s="399" t="str">
        <f>IF(B454="","",CONCATENATE("GBL",B454," - ",Mantenedor!E458))</f>
        <v/>
      </c>
      <c r="P454" s="399" t="str">
        <f t="shared" si="28"/>
        <v/>
      </c>
      <c r="Q454" s="405" t="str" cm="1">
        <f t="array" ref="Q454">+_xlfn.IFS(O454="Nacional","CLP",O454="Extranjero","USD",O454="","")</f>
        <v/>
      </c>
      <c r="R454" s="406" t="str">
        <f>IFERROR(IF(O454="Nacional",VLOOKUP(P454,PRICING!$D$4:$E$59,2,FALSE),VLOOKUP(P454,PRICING!$J$4:$K$59,2,FALSE)),"")</f>
        <v/>
      </c>
      <c r="S454"/>
      <c r="U454" s="406" t="str">
        <f t="shared" si="29"/>
        <v/>
      </c>
      <c r="W454" s="408" t="str">
        <f t="shared" si="30"/>
        <v/>
      </c>
      <c r="X454" s="409" t="str">
        <f t="shared" si="31"/>
        <v/>
      </c>
    </row>
    <row r="455" spans="1:24" ht="16" x14ac:dyDescent="0.25">
      <c r="A455" s="399" t="str">
        <f>IF(B455="","",CONCATENATE("GBL",B455," - ",Mantenedor!E459))</f>
        <v/>
      </c>
      <c r="P455" s="399" t="str">
        <f t="shared" si="28"/>
        <v/>
      </c>
      <c r="Q455" s="405" t="str" cm="1">
        <f t="array" ref="Q455">+_xlfn.IFS(O455="Nacional","CLP",O455="Extranjero","USD",O455="","")</f>
        <v/>
      </c>
      <c r="R455" s="406" t="str">
        <f>IFERROR(IF(O455="Nacional",VLOOKUP(P455,PRICING!$D$4:$E$59,2,FALSE),VLOOKUP(P455,PRICING!$J$4:$K$59,2,FALSE)),"")</f>
        <v/>
      </c>
      <c r="S455"/>
      <c r="U455" s="406" t="str">
        <f t="shared" si="29"/>
        <v/>
      </c>
      <c r="W455" s="408" t="str">
        <f t="shared" si="30"/>
        <v/>
      </c>
      <c r="X455" s="409" t="str">
        <f t="shared" si="31"/>
        <v/>
      </c>
    </row>
    <row r="456" spans="1:24" ht="16" x14ac:dyDescent="0.25">
      <c r="A456" s="399" t="str">
        <f>IF(B456="","",CONCATENATE("GBL",B456," - ",Mantenedor!E460))</f>
        <v/>
      </c>
      <c r="P456" s="399" t="str">
        <f t="shared" si="28"/>
        <v/>
      </c>
      <c r="Q456" s="405" t="str" cm="1">
        <f t="array" ref="Q456">+_xlfn.IFS(O456="Nacional","CLP",O456="Extranjero","USD",O456="","")</f>
        <v/>
      </c>
      <c r="R456" s="406" t="str">
        <f>IFERROR(IF(O456="Nacional",VLOOKUP(P456,PRICING!$D$4:$E$59,2,FALSE),VLOOKUP(P456,PRICING!$J$4:$K$59,2,FALSE)),"")</f>
        <v/>
      </c>
      <c r="S456"/>
      <c r="U456" s="406" t="str">
        <f t="shared" si="29"/>
        <v/>
      </c>
      <c r="W456" s="408" t="str">
        <f t="shared" si="30"/>
        <v/>
      </c>
      <c r="X456" s="409" t="str">
        <f t="shared" si="31"/>
        <v/>
      </c>
    </row>
    <row r="457" spans="1:24" ht="16" x14ac:dyDescent="0.25">
      <c r="A457" s="399" t="str">
        <f>IF(B457="","",CONCATENATE("GBL",B457," - ",Mantenedor!E461))</f>
        <v/>
      </c>
      <c r="P457" s="399" t="str">
        <f t="shared" si="28"/>
        <v/>
      </c>
      <c r="Q457" s="405" t="str" cm="1">
        <f t="array" ref="Q457">+_xlfn.IFS(O457="Nacional","CLP",O457="Extranjero","USD",O457="","")</f>
        <v/>
      </c>
      <c r="R457" s="406" t="str">
        <f>IFERROR(IF(O457="Nacional",VLOOKUP(P457,PRICING!$D$4:$E$59,2,FALSE),VLOOKUP(P457,PRICING!$J$4:$K$59,2,FALSE)),"")</f>
        <v/>
      </c>
      <c r="S457"/>
      <c r="U457" s="406" t="str">
        <f t="shared" si="29"/>
        <v/>
      </c>
      <c r="W457" s="408" t="str">
        <f t="shared" si="30"/>
        <v/>
      </c>
      <c r="X457" s="409" t="str">
        <f t="shared" si="31"/>
        <v/>
      </c>
    </row>
    <row r="458" spans="1:24" ht="16" x14ac:dyDescent="0.25">
      <c r="A458" s="399" t="str">
        <f>IF(B458="","",CONCATENATE("GBL",B458," - ",Mantenedor!E462))</f>
        <v/>
      </c>
      <c r="P458" s="399" t="str">
        <f t="shared" si="28"/>
        <v/>
      </c>
      <c r="Q458" s="405" t="str" cm="1">
        <f t="array" ref="Q458">+_xlfn.IFS(O458="Nacional","CLP",O458="Extranjero","USD",O458="","")</f>
        <v/>
      </c>
      <c r="R458" s="406" t="str">
        <f>IFERROR(IF(O458="Nacional",VLOOKUP(P458,PRICING!$D$4:$E$59,2,FALSE),VLOOKUP(P458,PRICING!$J$4:$K$59,2,FALSE)),"")</f>
        <v/>
      </c>
      <c r="S458"/>
      <c r="U458" s="406" t="str">
        <f t="shared" si="29"/>
        <v/>
      </c>
      <c r="W458" s="408" t="str">
        <f t="shared" si="30"/>
        <v/>
      </c>
      <c r="X458" s="409" t="str">
        <f t="shared" si="31"/>
        <v/>
      </c>
    </row>
    <row r="459" spans="1:24" ht="16" x14ac:dyDescent="0.25">
      <c r="A459" s="399" t="str">
        <f>IF(B459="","",CONCATENATE("GBL",B459," - ",Mantenedor!E463))</f>
        <v/>
      </c>
      <c r="P459" s="399" t="str">
        <f t="shared" si="28"/>
        <v/>
      </c>
      <c r="Q459" s="405" t="str" cm="1">
        <f t="array" ref="Q459">+_xlfn.IFS(O459="Nacional","CLP",O459="Extranjero","USD",O459="","")</f>
        <v/>
      </c>
      <c r="R459" s="406" t="str">
        <f>IFERROR(IF(O459="Nacional",VLOOKUP(P459,PRICING!$D$4:$E$59,2,FALSE),VLOOKUP(P459,PRICING!$J$4:$K$59,2,FALSE)),"")</f>
        <v/>
      </c>
      <c r="S459"/>
      <c r="U459" s="406" t="str">
        <f t="shared" si="29"/>
        <v/>
      </c>
      <c r="W459" s="408" t="str">
        <f t="shared" si="30"/>
        <v/>
      </c>
      <c r="X459" s="409" t="str">
        <f t="shared" si="31"/>
        <v/>
      </c>
    </row>
    <row r="460" spans="1:24" ht="16" x14ac:dyDescent="0.25">
      <c r="A460" s="399" t="str">
        <f>IF(B460="","",CONCATENATE("GBL",B460," - ",Mantenedor!E464))</f>
        <v/>
      </c>
      <c r="P460" s="399" t="str">
        <f t="shared" si="28"/>
        <v/>
      </c>
      <c r="Q460" s="405" t="str" cm="1">
        <f t="array" ref="Q460">+_xlfn.IFS(O460="Nacional","CLP",O460="Extranjero","USD",O460="","")</f>
        <v/>
      </c>
      <c r="R460" s="406" t="str">
        <f>IFERROR(IF(O460="Nacional",VLOOKUP(P460,PRICING!$D$4:$E$59,2,FALSE),VLOOKUP(P460,PRICING!$J$4:$K$59,2,FALSE)),"")</f>
        <v/>
      </c>
      <c r="S460"/>
      <c r="U460" s="406" t="str">
        <f t="shared" si="29"/>
        <v/>
      </c>
      <c r="W460" s="408" t="str">
        <f t="shared" si="30"/>
        <v/>
      </c>
      <c r="X460" s="409" t="str">
        <f t="shared" si="31"/>
        <v/>
      </c>
    </row>
    <row r="461" spans="1:24" ht="16" x14ac:dyDescent="0.25">
      <c r="A461" s="399" t="str">
        <f>IF(B461="","",CONCATENATE("GBL",B461," - ",Mantenedor!E465))</f>
        <v/>
      </c>
      <c r="P461" s="399" t="str">
        <f t="shared" si="28"/>
        <v/>
      </c>
      <c r="Q461" s="405" t="str" cm="1">
        <f t="array" ref="Q461">+_xlfn.IFS(O461="Nacional","CLP",O461="Extranjero","USD",O461="","")</f>
        <v/>
      </c>
      <c r="R461" s="406" t="str">
        <f>IFERROR(IF(O461="Nacional",VLOOKUP(P461,PRICING!$D$4:$E$59,2,FALSE),VLOOKUP(P461,PRICING!$J$4:$K$59,2,FALSE)),"")</f>
        <v/>
      </c>
      <c r="S461"/>
      <c r="U461" s="406" t="str">
        <f t="shared" si="29"/>
        <v/>
      </c>
      <c r="W461" s="408" t="str">
        <f t="shared" si="30"/>
        <v/>
      </c>
      <c r="X461" s="409" t="str">
        <f t="shared" si="31"/>
        <v/>
      </c>
    </row>
    <row r="462" spans="1:24" ht="16" x14ac:dyDescent="0.25">
      <c r="A462" s="399" t="str">
        <f>IF(B462="","",CONCATENATE("GBL",B462," - ",Mantenedor!E466))</f>
        <v/>
      </c>
      <c r="P462" s="399" t="str">
        <f t="shared" si="28"/>
        <v/>
      </c>
      <c r="Q462" s="405" t="str" cm="1">
        <f t="array" ref="Q462">+_xlfn.IFS(O462="Nacional","CLP",O462="Extranjero","USD",O462="","")</f>
        <v/>
      </c>
      <c r="R462" s="406" t="str">
        <f>IFERROR(IF(O462="Nacional",VLOOKUP(P462,PRICING!$D$4:$E$59,2,FALSE),VLOOKUP(P462,PRICING!$J$4:$K$59,2,FALSE)),"")</f>
        <v/>
      </c>
      <c r="S462"/>
      <c r="U462" s="406" t="str">
        <f t="shared" si="29"/>
        <v/>
      </c>
      <c r="W462" s="408" t="str">
        <f t="shared" si="30"/>
        <v/>
      </c>
      <c r="X462" s="409" t="str">
        <f t="shared" si="31"/>
        <v/>
      </c>
    </row>
    <row r="463" spans="1:24" ht="16" x14ac:dyDescent="0.25">
      <c r="A463" s="399" t="str">
        <f>IF(B463="","",CONCATENATE("GBL",B463," - ",Mantenedor!E467))</f>
        <v/>
      </c>
      <c r="P463" s="399" t="str">
        <f t="shared" si="28"/>
        <v/>
      </c>
      <c r="Q463" s="405" t="str" cm="1">
        <f t="array" ref="Q463">+_xlfn.IFS(O463="Nacional","CLP",O463="Extranjero","USD",O463="","")</f>
        <v/>
      </c>
      <c r="R463" s="406" t="str">
        <f>IFERROR(IF(O463="Nacional",VLOOKUP(P463,PRICING!$D$4:$E$59,2,FALSE),VLOOKUP(P463,PRICING!$J$4:$K$59,2,FALSE)),"")</f>
        <v/>
      </c>
      <c r="S463"/>
      <c r="U463" s="406" t="str">
        <f t="shared" si="29"/>
        <v/>
      </c>
      <c r="W463" s="408" t="str">
        <f t="shared" si="30"/>
        <v/>
      </c>
      <c r="X463" s="409" t="str">
        <f t="shared" si="31"/>
        <v/>
      </c>
    </row>
    <row r="464" spans="1:24" ht="16" x14ac:dyDescent="0.25">
      <c r="A464" s="399" t="str">
        <f>IF(B464="","",CONCATENATE("GBL",B464," - ",Mantenedor!E468))</f>
        <v/>
      </c>
      <c r="P464" s="399" t="str">
        <f t="shared" si="28"/>
        <v/>
      </c>
      <c r="Q464" s="405" t="str" cm="1">
        <f t="array" ref="Q464">+_xlfn.IFS(O464="Nacional","CLP",O464="Extranjero","USD",O464="","")</f>
        <v/>
      </c>
      <c r="R464" s="406" t="str">
        <f>IFERROR(IF(O464="Nacional",VLOOKUP(P464,PRICING!$D$4:$E$59,2,FALSE),VLOOKUP(P464,PRICING!$J$4:$K$59,2,FALSE)),"")</f>
        <v/>
      </c>
      <c r="S464"/>
      <c r="U464" s="406" t="str">
        <f t="shared" si="29"/>
        <v/>
      </c>
      <c r="W464" s="408" t="str">
        <f t="shared" si="30"/>
        <v/>
      </c>
      <c r="X464" s="409" t="str">
        <f t="shared" si="31"/>
        <v/>
      </c>
    </row>
    <row r="465" spans="1:24" ht="16" x14ac:dyDescent="0.25">
      <c r="A465" s="399" t="str">
        <f>IF(B465="","",CONCATENATE("GBL",B465," - ",Mantenedor!E469))</f>
        <v/>
      </c>
      <c r="P465" s="399" t="str">
        <f t="shared" si="28"/>
        <v/>
      </c>
      <c r="Q465" s="405" t="str" cm="1">
        <f t="array" ref="Q465">+_xlfn.IFS(O465="Nacional","CLP",O465="Extranjero","USD",O465="","")</f>
        <v/>
      </c>
      <c r="R465" s="406" t="str">
        <f>IFERROR(IF(O465="Nacional",VLOOKUP(P465,PRICING!$D$4:$E$59,2,FALSE),VLOOKUP(P465,PRICING!$J$4:$K$59,2,FALSE)),"")</f>
        <v/>
      </c>
      <c r="S465"/>
      <c r="U465" s="406" t="str">
        <f t="shared" si="29"/>
        <v/>
      </c>
      <c r="W465" s="408" t="str">
        <f t="shared" si="30"/>
        <v/>
      </c>
      <c r="X465" s="409" t="str">
        <f t="shared" si="31"/>
        <v/>
      </c>
    </row>
    <row r="466" spans="1:24" ht="16" x14ac:dyDescent="0.25">
      <c r="A466" s="399" t="str">
        <f>IF(B466="","",CONCATENATE("GBL",B466," - ",Mantenedor!E470))</f>
        <v/>
      </c>
      <c r="P466" s="399" t="str">
        <f t="shared" si="28"/>
        <v/>
      </c>
      <c r="Q466" s="405" t="str" cm="1">
        <f t="array" ref="Q466">+_xlfn.IFS(O466="Nacional","CLP",O466="Extranjero","USD",O466="","")</f>
        <v/>
      </c>
      <c r="R466" s="406" t="str">
        <f>IFERROR(IF(O466="Nacional",VLOOKUP(P466,PRICING!$D$4:$E$59,2,FALSE),VLOOKUP(P466,PRICING!$J$4:$K$59,2,FALSE)),"")</f>
        <v/>
      </c>
      <c r="S466"/>
      <c r="U466" s="406" t="str">
        <f t="shared" si="29"/>
        <v/>
      </c>
      <c r="W466" s="408" t="str">
        <f t="shared" si="30"/>
        <v/>
      </c>
      <c r="X466" s="409" t="str">
        <f t="shared" si="31"/>
        <v/>
      </c>
    </row>
    <row r="467" spans="1:24" ht="16" x14ac:dyDescent="0.25">
      <c r="A467" s="399" t="str">
        <f>IF(B467="","",CONCATENATE("GBL",B467," - ",Mantenedor!E471))</f>
        <v/>
      </c>
      <c r="P467" s="399" t="str">
        <f t="shared" si="28"/>
        <v/>
      </c>
      <c r="Q467" s="405" t="str" cm="1">
        <f t="array" ref="Q467">+_xlfn.IFS(O467="Nacional","CLP",O467="Extranjero","USD",O467="","")</f>
        <v/>
      </c>
      <c r="R467" s="406" t="str">
        <f>IFERROR(IF(O467="Nacional",VLOOKUP(P467,PRICING!$D$4:$E$59,2,FALSE),VLOOKUP(P467,PRICING!$J$4:$K$59,2,FALSE)),"")</f>
        <v/>
      </c>
      <c r="S467"/>
      <c r="U467" s="406" t="str">
        <f t="shared" si="29"/>
        <v/>
      </c>
      <c r="W467" s="408" t="str">
        <f t="shared" si="30"/>
        <v/>
      </c>
      <c r="X467" s="409" t="str">
        <f t="shared" si="31"/>
        <v/>
      </c>
    </row>
    <row r="468" spans="1:24" ht="16" x14ac:dyDescent="0.25">
      <c r="A468" s="399" t="str">
        <f>IF(B468="","",CONCATENATE("GBL",B468," - ",Mantenedor!E472))</f>
        <v/>
      </c>
      <c r="P468" s="399" t="str">
        <f t="shared" si="28"/>
        <v/>
      </c>
      <c r="Q468" s="405" t="str" cm="1">
        <f t="array" ref="Q468">+_xlfn.IFS(O468="Nacional","CLP",O468="Extranjero","USD",O468="","")</f>
        <v/>
      </c>
      <c r="R468" s="406" t="str">
        <f>IFERROR(IF(O468="Nacional",VLOOKUP(P468,PRICING!$D$4:$E$59,2,FALSE),VLOOKUP(P468,PRICING!$J$4:$K$59,2,FALSE)),"")</f>
        <v/>
      </c>
      <c r="S468"/>
      <c r="U468" s="406" t="str">
        <f t="shared" si="29"/>
        <v/>
      </c>
      <c r="W468" s="408" t="str">
        <f t="shared" si="30"/>
        <v/>
      </c>
      <c r="X468" s="409" t="str">
        <f t="shared" si="31"/>
        <v/>
      </c>
    </row>
    <row r="469" spans="1:24" ht="16" x14ac:dyDescent="0.25">
      <c r="A469" s="399" t="str">
        <f>IF(B469="","",CONCATENATE("GBL",B469," - ",Mantenedor!E473))</f>
        <v/>
      </c>
      <c r="P469" s="399" t="str">
        <f t="shared" si="28"/>
        <v/>
      </c>
      <c r="Q469" s="405" t="str" cm="1">
        <f t="array" ref="Q469">+_xlfn.IFS(O469="Nacional","CLP",O469="Extranjero","USD",O469="","")</f>
        <v/>
      </c>
      <c r="R469" s="406" t="str">
        <f>IFERROR(IF(O469="Nacional",VLOOKUP(P469,PRICING!$D$4:$E$59,2,FALSE),VLOOKUP(P469,PRICING!$J$4:$K$59,2,FALSE)),"")</f>
        <v/>
      </c>
      <c r="S469"/>
      <c r="U469" s="406" t="str">
        <f t="shared" si="29"/>
        <v/>
      </c>
      <c r="W469" s="408" t="str">
        <f t="shared" si="30"/>
        <v/>
      </c>
      <c r="X469" s="409" t="str">
        <f t="shared" si="31"/>
        <v/>
      </c>
    </row>
    <row r="470" spans="1:24" ht="16" x14ac:dyDescent="0.25">
      <c r="A470" s="399" t="str">
        <f>IF(B470="","",CONCATENATE("GBL",B470," - ",Mantenedor!E474))</f>
        <v/>
      </c>
      <c r="P470" s="399" t="str">
        <f t="shared" si="28"/>
        <v/>
      </c>
      <c r="Q470" s="405" t="str" cm="1">
        <f t="array" ref="Q470">+_xlfn.IFS(O470="Nacional","CLP",O470="Extranjero","USD",O470="","")</f>
        <v/>
      </c>
      <c r="R470" s="406" t="str">
        <f>IFERROR(IF(O470="Nacional",VLOOKUP(P470,PRICING!$D$4:$E$59,2,FALSE),VLOOKUP(P470,PRICING!$J$4:$K$59,2,FALSE)),"")</f>
        <v/>
      </c>
      <c r="S470"/>
      <c r="U470" s="406" t="str">
        <f t="shared" si="29"/>
        <v/>
      </c>
      <c r="W470" s="408" t="str">
        <f t="shared" si="30"/>
        <v/>
      </c>
      <c r="X470" s="409" t="str">
        <f t="shared" si="31"/>
        <v/>
      </c>
    </row>
    <row r="471" spans="1:24" ht="16" x14ac:dyDescent="0.25">
      <c r="A471" s="399" t="str">
        <f>IF(B471="","",CONCATENATE("GBL",B471," - ",Mantenedor!E475))</f>
        <v/>
      </c>
      <c r="P471" s="399" t="str">
        <f t="shared" si="28"/>
        <v/>
      </c>
      <c r="Q471" s="405" t="str" cm="1">
        <f t="array" ref="Q471">+_xlfn.IFS(O471="Nacional","CLP",O471="Extranjero","USD",O471="","")</f>
        <v/>
      </c>
      <c r="R471" s="406" t="str">
        <f>IFERROR(IF(O471="Nacional",VLOOKUP(P471,PRICING!$D$4:$E$59,2,FALSE),VLOOKUP(P471,PRICING!$J$4:$K$59,2,FALSE)),"")</f>
        <v/>
      </c>
      <c r="S471"/>
      <c r="U471" s="406" t="str">
        <f t="shared" si="29"/>
        <v/>
      </c>
      <c r="W471" s="408" t="str">
        <f t="shared" si="30"/>
        <v/>
      </c>
      <c r="X471" s="409" t="str">
        <f t="shared" si="31"/>
        <v/>
      </c>
    </row>
    <row r="472" spans="1:24" ht="16" x14ac:dyDescent="0.25">
      <c r="A472" s="399" t="str">
        <f>IF(B472="","",CONCATENATE("GBL",B472," - ",Mantenedor!E476))</f>
        <v/>
      </c>
      <c r="P472" s="399" t="str">
        <f t="shared" si="28"/>
        <v/>
      </c>
      <c r="Q472" s="405" t="str" cm="1">
        <f t="array" ref="Q472">+_xlfn.IFS(O472="Nacional","CLP",O472="Extranjero","USD",O472="","")</f>
        <v/>
      </c>
      <c r="R472" s="406" t="str">
        <f>IFERROR(IF(O472="Nacional",VLOOKUP(P472,PRICING!$D$4:$E$59,2,FALSE),VLOOKUP(P472,PRICING!$J$4:$K$59,2,FALSE)),"")</f>
        <v/>
      </c>
      <c r="S472"/>
      <c r="U472" s="406" t="str">
        <f t="shared" si="29"/>
        <v/>
      </c>
      <c r="W472" s="408" t="str">
        <f t="shared" si="30"/>
        <v/>
      </c>
      <c r="X472" s="409" t="str">
        <f t="shared" si="31"/>
        <v/>
      </c>
    </row>
    <row r="473" spans="1:24" ht="16" x14ac:dyDescent="0.25">
      <c r="A473" s="399" t="str">
        <f>IF(B473="","",CONCATENATE("GBL",B473," - ",Mantenedor!E477))</f>
        <v/>
      </c>
      <c r="P473" s="399" t="str">
        <f t="shared" si="28"/>
        <v/>
      </c>
      <c r="Q473" s="405" t="str" cm="1">
        <f t="array" ref="Q473">+_xlfn.IFS(O473="Nacional","CLP",O473="Extranjero","USD",O473="","")</f>
        <v/>
      </c>
      <c r="R473" s="406" t="str">
        <f>IFERROR(IF(O473="Nacional",VLOOKUP(P473,PRICING!$D$4:$E$59,2,FALSE),VLOOKUP(P473,PRICING!$J$4:$K$59,2,FALSE)),"")</f>
        <v/>
      </c>
      <c r="S473"/>
      <c r="U473" s="406" t="str">
        <f t="shared" si="29"/>
        <v/>
      </c>
      <c r="W473" s="408" t="str">
        <f t="shared" si="30"/>
        <v/>
      </c>
      <c r="X473" s="409" t="str">
        <f t="shared" si="31"/>
        <v/>
      </c>
    </row>
    <row r="474" spans="1:24" ht="16" x14ac:dyDescent="0.25">
      <c r="A474" s="399" t="str">
        <f>IF(B474="","",CONCATENATE("GBL",B474," - ",Mantenedor!E478))</f>
        <v/>
      </c>
      <c r="P474" s="399" t="str">
        <f t="shared" si="28"/>
        <v/>
      </c>
      <c r="Q474" s="405" t="str" cm="1">
        <f t="array" ref="Q474">+_xlfn.IFS(O474="Nacional","CLP",O474="Extranjero","USD",O474="","")</f>
        <v/>
      </c>
      <c r="R474" s="406" t="str">
        <f>IFERROR(IF(O474="Nacional",VLOOKUP(P474,PRICING!$D$4:$E$59,2,FALSE),VLOOKUP(P474,PRICING!$J$4:$K$59,2,FALSE)),"")</f>
        <v/>
      </c>
      <c r="S474"/>
      <c r="U474" s="406" t="str">
        <f t="shared" si="29"/>
        <v/>
      </c>
      <c r="W474" s="408" t="str">
        <f t="shared" si="30"/>
        <v/>
      </c>
      <c r="X474" s="409" t="str">
        <f t="shared" si="31"/>
        <v/>
      </c>
    </row>
    <row r="475" spans="1:24" ht="16" x14ac:dyDescent="0.25">
      <c r="A475" s="399" t="str">
        <f>IF(B475="","",CONCATENATE("GBL",B475," - ",Mantenedor!E479))</f>
        <v/>
      </c>
      <c r="P475" s="399" t="str">
        <f t="shared" si="28"/>
        <v/>
      </c>
      <c r="Q475" s="405" t="str" cm="1">
        <f t="array" ref="Q475">+_xlfn.IFS(O475="Nacional","CLP",O475="Extranjero","USD",O475="","")</f>
        <v/>
      </c>
      <c r="R475" s="406" t="str">
        <f>IFERROR(IF(O475="Nacional",VLOOKUP(P475,PRICING!$D$4:$E$59,2,FALSE),VLOOKUP(P475,PRICING!$J$4:$K$59,2,FALSE)),"")</f>
        <v/>
      </c>
      <c r="S475"/>
      <c r="U475" s="406" t="str">
        <f t="shared" si="29"/>
        <v/>
      </c>
      <c r="W475" s="408" t="str">
        <f t="shared" si="30"/>
        <v/>
      </c>
      <c r="X475" s="409" t="str">
        <f t="shared" si="31"/>
        <v/>
      </c>
    </row>
    <row r="476" spans="1:24" ht="16" x14ac:dyDescent="0.25">
      <c r="A476" s="399" t="str">
        <f>IF(B476="","",CONCATENATE("GBL",B476," - ",Mantenedor!E480))</f>
        <v/>
      </c>
      <c r="P476" s="399" t="str">
        <f t="shared" si="28"/>
        <v/>
      </c>
      <c r="Q476" s="405" t="str" cm="1">
        <f t="array" ref="Q476">+_xlfn.IFS(O476="Nacional","CLP",O476="Extranjero","USD",O476="","")</f>
        <v/>
      </c>
      <c r="R476" s="406" t="str">
        <f>IFERROR(IF(O476="Nacional",VLOOKUP(P476,PRICING!$D$4:$E$59,2,FALSE),VLOOKUP(P476,PRICING!$J$4:$K$59,2,FALSE)),"")</f>
        <v/>
      </c>
      <c r="S476"/>
      <c r="U476" s="406" t="str">
        <f t="shared" si="29"/>
        <v/>
      </c>
      <c r="W476" s="408" t="str">
        <f t="shared" si="30"/>
        <v/>
      </c>
      <c r="X476" s="409" t="str">
        <f t="shared" si="31"/>
        <v/>
      </c>
    </row>
    <row r="477" spans="1:24" ht="16" x14ac:dyDescent="0.25">
      <c r="A477" s="399" t="str">
        <f>IF(B477="","",CONCATENATE("GBL",B477," - ",Mantenedor!E481))</f>
        <v/>
      </c>
      <c r="P477" s="399" t="str">
        <f t="shared" si="28"/>
        <v/>
      </c>
      <c r="Q477" s="405" t="str" cm="1">
        <f t="array" ref="Q477">+_xlfn.IFS(O477="Nacional","CLP",O477="Extranjero","USD",O477="","")</f>
        <v/>
      </c>
      <c r="R477" s="406" t="str">
        <f>IFERROR(IF(O477="Nacional",VLOOKUP(P477,PRICING!$D$4:$E$59,2,FALSE),VLOOKUP(P477,PRICING!$J$4:$K$59,2,FALSE)),"")</f>
        <v/>
      </c>
      <c r="S477"/>
      <c r="U477" s="406" t="str">
        <f t="shared" si="29"/>
        <v/>
      </c>
      <c r="W477" s="408" t="str">
        <f t="shared" si="30"/>
        <v/>
      </c>
      <c r="X477" s="409" t="str">
        <f t="shared" si="31"/>
        <v/>
      </c>
    </row>
    <row r="478" spans="1:24" ht="16" x14ac:dyDescent="0.25">
      <c r="A478" s="399" t="str">
        <f>IF(B478="","",CONCATENATE("GBL",B478," - ",Mantenedor!E482))</f>
        <v/>
      </c>
      <c r="P478" s="399" t="str">
        <f t="shared" si="28"/>
        <v/>
      </c>
      <c r="Q478" s="405" t="str" cm="1">
        <f t="array" ref="Q478">+_xlfn.IFS(O478="Nacional","CLP",O478="Extranjero","USD",O478="","")</f>
        <v/>
      </c>
      <c r="R478" s="406" t="str">
        <f>IFERROR(IF(O478="Nacional",VLOOKUP(P478,PRICING!$D$4:$E$59,2,FALSE),VLOOKUP(P478,PRICING!$J$4:$K$59,2,FALSE)),"")</f>
        <v/>
      </c>
      <c r="S478"/>
      <c r="U478" s="406" t="str">
        <f t="shared" si="29"/>
        <v/>
      </c>
      <c r="W478" s="408" t="str">
        <f t="shared" si="30"/>
        <v/>
      </c>
      <c r="X478" s="409" t="str">
        <f t="shared" si="31"/>
        <v/>
      </c>
    </row>
    <row r="479" spans="1:24" ht="16" x14ac:dyDescent="0.25">
      <c r="A479" s="399" t="str">
        <f>IF(B479="","",CONCATENATE("GBL",B479," - ",Mantenedor!E483))</f>
        <v/>
      </c>
      <c r="P479" s="399" t="str">
        <f t="shared" si="28"/>
        <v/>
      </c>
      <c r="Q479" s="405" t="str" cm="1">
        <f t="array" ref="Q479">+_xlfn.IFS(O479="Nacional","CLP",O479="Extranjero","USD",O479="","")</f>
        <v/>
      </c>
      <c r="R479" s="406" t="str">
        <f>IFERROR(IF(O479="Nacional",VLOOKUP(P479,PRICING!$D$4:$E$59,2,FALSE),VLOOKUP(P479,PRICING!$J$4:$K$59,2,FALSE)),"")</f>
        <v/>
      </c>
      <c r="S479"/>
      <c r="U479" s="406" t="str">
        <f t="shared" si="29"/>
        <v/>
      </c>
      <c r="W479" s="408" t="str">
        <f t="shared" si="30"/>
        <v/>
      </c>
      <c r="X479" s="409" t="str">
        <f t="shared" si="31"/>
        <v/>
      </c>
    </row>
    <row r="480" spans="1:24" ht="16" x14ac:dyDescent="0.25">
      <c r="A480" s="399" t="str">
        <f>IF(B480="","",CONCATENATE("GBL",B480," - ",Mantenedor!E484))</f>
        <v/>
      </c>
      <c r="P480" s="399" t="str">
        <f t="shared" si="28"/>
        <v/>
      </c>
      <c r="Q480" s="405" t="str" cm="1">
        <f t="array" ref="Q480">+_xlfn.IFS(O480="Nacional","CLP",O480="Extranjero","USD",O480="","")</f>
        <v/>
      </c>
      <c r="R480" s="406" t="str">
        <f>IFERROR(IF(O480="Nacional",VLOOKUP(P480,PRICING!$D$4:$E$59,2,FALSE),VLOOKUP(P480,PRICING!$J$4:$K$59,2,FALSE)),"")</f>
        <v/>
      </c>
      <c r="S480"/>
      <c r="U480" s="406" t="str">
        <f t="shared" si="29"/>
        <v/>
      </c>
      <c r="W480" s="408" t="str">
        <f t="shared" si="30"/>
        <v/>
      </c>
      <c r="X480" s="409" t="str">
        <f t="shared" si="31"/>
        <v/>
      </c>
    </row>
    <row r="481" spans="1:24" ht="16" x14ac:dyDescent="0.25">
      <c r="A481" s="399" t="str">
        <f>IF(B481="","",CONCATENATE("GBL",B481," - ",Mantenedor!E485))</f>
        <v/>
      </c>
      <c r="P481" s="399" t="str">
        <f t="shared" si="28"/>
        <v/>
      </c>
      <c r="Q481" s="405" t="str" cm="1">
        <f t="array" ref="Q481">+_xlfn.IFS(O481="Nacional","CLP",O481="Extranjero","USD",O481="","")</f>
        <v/>
      </c>
      <c r="R481" s="406" t="str">
        <f>IFERROR(IF(O481="Nacional",VLOOKUP(P481,PRICING!$D$4:$E$59,2,FALSE),VLOOKUP(P481,PRICING!$J$4:$K$59,2,FALSE)),"")</f>
        <v/>
      </c>
      <c r="S481"/>
      <c r="U481" s="406" t="str">
        <f t="shared" si="29"/>
        <v/>
      </c>
      <c r="W481" s="408" t="str">
        <f t="shared" si="30"/>
        <v/>
      </c>
      <c r="X481" s="409" t="str">
        <f t="shared" si="31"/>
        <v/>
      </c>
    </row>
    <row r="482" spans="1:24" ht="16" x14ac:dyDescent="0.25">
      <c r="A482" s="399" t="str">
        <f>IF(B482="","",CONCATENATE("GBL",B482," - ",Mantenedor!E486))</f>
        <v/>
      </c>
      <c r="P482" s="399" t="str">
        <f t="shared" si="28"/>
        <v/>
      </c>
      <c r="Q482" s="405" t="str" cm="1">
        <f t="array" ref="Q482">+_xlfn.IFS(O482="Nacional","CLP",O482="Extranjero","USD",O482="","")</f>
        <v/>
      </c>
      <c r="R482" s="406" t="str">
        <f>IFERROR(IF(O482="Nacional",VLOOKUP(P482,PRICING!$D$4:$E$59,2,FALSE),VLOOKUP(P482,PRICING!$J$4:$K$59,2,FALSE)),"")</f>
        <v/>
      </c>
      <c r="S482"/>
      <c r="U482" s="406" t="str">
        <f t="shared" si="29"/>
        <v/>
      </c>
      <c r="W482" s="408" t="str">
        <f t="shared" si="30"/>
        <v/>
      </c>
      <c r="X482" s="409" t="str">
        <f t="shared" si="31"/>
        <v/>
      </c>
    </row>
    <row r="483" spans="1:24" ht="16" x14ac:dyDescent="0.25">
      <c r="A483" s="399" t="str">
        <f>IF(B483="","",CONCATENATE("GBL",B483," - ",Mantenedor!E487))</f>
        <v/>
      </c>
      <c r="P483" s="399" t="str">
        <f t="shared" si="28"/>
        <v/>
      </c>
      <c r="Q483" s="405" t="str" cm="1">
        <f t="array" ref="Q483">+_xlfn.IFS(O483="Nacional","CLP",O483="Extranjero","USD",O483="","")</f>
        <v/>
      </c>
      <c r="R483" s="406" t="str">
        <f>IFERROR(IF(O483="Nacional",VLOOKUP(P483,PRICING!$D$4:$E$59,2,FALSE),VLOOKUP(P483,PRICING!$J$4:$K$59,2,FALSE)),"")</f>
        <v/>
      </c>
      <c r="S483"/>
      <c r="U483" s="406" t="str">
        <f t="shared" si="29"/>
        <v/>
      </c>
      <c r="W483" s="408" t="str">
        <f t="shared" si="30"/>
        <v/>
      </c>
      <c r="X483" s="409" t="str">
        <f t="shared" si="31"/>
        <v/>
      </c>
    </row>
    <row r="484" spans="1:24" ht="16" x14ac:dyDescent="0.25">
      <c r="A484" s="399" t="str">
        <f>IF(B484="","",CONCATENATE("GBL",B484," - ",Mantenedor!E488))</f>
        <v/>
      </c>
      <c r="P484" s="399" t="str">
        <f t="shared" si="28"/>
        <v/>
      </c>
      <c r="Q484" s="405" t="str" cm="1">
        <f t="array" ref="Q484">+_xlfn.IFS(O484="Nacional","CLP",O484="Extranjero","USD",O484="","")</f>
        <v/>
      </c>
      <c r="R484" s="406" t="str">
        <f>IFERROR(IF(O484="Nacional",VLOOKUP(P484,PRICING!$D$4:$E$59,2,FALSE),VLOOKUP(P484,PRICING!$J$4:$K$59,2,FALSE)),"")</f>
        <v/>
      </c>
      <c r="S484"/>
      <c r="U484" s="406" t="str">
        <f t="shared" si="29"/>
        <v/>
      </c>
      <c r="W484" s="408" t="str">
        <f t="shared" si="30"/>
        <v/>
      </c>
      <c r="X484" s="409" t="str">
        <f t="shared" si="31"/>
        <v/>
      </c>
    </row>
    <row r="485" spans="1:24" ht="16" x14ac:dyDescent="0.25">
      <c r="A485" s="399" t="str">
        <f>IF(B485="","",CONCATENATE("GBL",B485," - ",Mantenedor!E489))</f>
        <v/>
      </c>
      <c r="P485" s="399" t="str">
        <f t="shared" si="28"/>
        <v/>
      </c>
      <c r="Q485" s="405" t="str" cm="1">
        <f t="array" ref="Q485">+_xlfn.IFS(O485="Nacional","CLP",O485="Extranjero","USD",O485="","")</f>
        <v/>
      </c>
      <c r="R485" s="406" t="str">
        <f>IFERROR(IF(O485="Nacional",VLOOKUP(P485,PRICING!$D$4:$E$59,2,FALSE),VLOOKUP(P485,PRICING!$J$4:$K$59,2,FALSE)),"")</f>
        <v/>
      </c>
      <c r="S485"/>
      <c r="U485" s="406" t="str">
        <f t="shared" si="29"/>
        <v/>
      </c>
      <c r="W485" s="408" t="str">
        <f t="shared" si="30"/>
        <v/>
      </c>
      <c r="X485" s="409" t="str">
        <f t="shared" si="31"/>
        <v/>
      </c>
    </row>
    <row r="486" spans="1:24" ht="16" x14ac:dyDescent="0.25">
      <c r="A486" s="399" t="str">
        <f>IF(B486="","",CONCATENATE("GBL",B486," - ",Mantenedor!E490))</f>
        <v/>
      </c>
      <c r="P486" s="399" t="str">
        <f t="shared" si="28"/>
        <v/>
      </c>
      <c r="Q486" s="405" t="str" cm="1">
        <f t="array" ref="Q486">+_xlfn.IFS(O486="Nacional","CLP",O486="Extranjero","USD",O486="","")</f>
        <v/>
      </c>
      <c r="R486" s="406" t="str">
        <f>IFERROR(IF(O486="Nacional",VLOOKUP(P486,PRICING!$D$4:$E$59,2,FALSE),VLOOKUP(P486,PRICING!$J$4:$K$59,2,FALSE)),"")</f>
        <v/>
      </c>
      <c r="S486"/>
      <c r="U486" s="406" t="str">
        <f t="shared" si="29"/>
        <v/>
      </c>
      <c r="W486" s="408" t="str">
        <f t="shared" si="30"/>
        <v/>
      </c>
      <c r="X486" s="409" t="str">
        <f t="shared" si="31"/>
        <v/>
      </c>
    </row>
    <row r="487" spans="1:24" ht="16" x14ac:dyDescent="0.25">
      <c r="A487" s="399" t="str">
        <f>IF(B487="","",CONCATENATE("GBL",B487," - ",Mantenedor!E491))</f>
        <v/>
      </c>
      <c r="P487" s="399" t="str">
        <f t="shared" si="28"/>
        <v/>
      </c>
      <c r="Q487" s="405" t="str" cm="1">
        <f t="array" ref="Q487">+_xlfn.IFS(O487="Nacional","CLP",O487="Extranjero","USD",O487="","")</f>
        <v/>
      </c>
      <c r="R487" s="406" t="str">
        <f>IFERROR(IF(O487="Nacional",VLOOKUP(P487,PRICING!$D$4:$E$59,2,FALSE),VLOOKUP(P487,PRICING!$J$4:$K$59,2,FALSE)),"")</f>
        <v/>
      </c>
      <c r="S487"/>
      <c r="U487" s="406" t="str">
        <f t="shared" si="29"/>
        <v/>
      </c>
      <c r="W487" s="408" t="str">
        <f t="shared" si="30"/>
        <v/>
      </c>
      <c r="X487" s="409" t="str">
        <f t="shared" si="31"/>
        <v/>
      </c>
    </row>
    <row r="488" spans="1:24" ht="16" x14ac:dyDescent="0.25">
      <c r="A488" s="399" t="str">
        <f>IF(B488="","",CONCATENATE("GBL",B488," - ",Mantenedor!E492))</f>
        <v/>
      </c>
      <c r="P488" s="399" t="str">
        <f t="shared" si="28"/>
        <v/>
      </c>
      <c r="Q488" s="405" t="str" cm="1">
        <f t="array" ref="Q488">+_xlfn.IFS(O488="Nacional","CLP",O488="Extranjero","USD",O488="","")</f>
        <v/>
      </c>
      <c r="R488" s="406" t="str">
        <f>IFERROR(IF(O488="Nacional",VLOOKUP(P488,PRICING!$D$4:$E$59,2,FALSE),VLOOKUP(P488,PRICING!$J$4:$K$59,2,FALSE)),"")</f>
        <v/>
      </c>
      <c r="S488"/>
      <c r="U488" s="406" t="str">
        <f t="shared" si="29"/>
        <v/>
      </c>
      <c r="W488" s="408" t="str">
        <f t="shared" si="30"/>
        <v/>
      </c>
      <c r="X488" s="409" t="str">
        <f t="shared" si="31"/>
        <v/>
      </c>
    </row>
    <row r="489" spans="1:24" ht="16" x14ac:dyDescent="0.25">
      <c r="A489" s="399" t="str">
        <f>IF(B489="","",CONCATENATE("GBL",B489," - ",Mantenedor!E493))</f>
        <v/>
      </c>
      <c r="P489" s="399" t="str">
        <f t="shared" si="28"/>
        <v/>
      </c>
      <c r="Q489" s="405" t="str" cm="1">
        <f t="array" ref="Q489">+_xlfn.IFS(O489="Nacional","CLP",O489="Extranjero","USD",O489="","")</f>
        <v/>
      </c>
      <c r="R489" s="406" t="str">
        <f>IFERROR(IF(O489="Nacional",VLOOKUP(P489,PRICING!$D$4:$E$59,2,FALSE),VLOOKUP(P489,PRICING!$J$4:$K$59,2,FALSE)),"")</f>
        <v/>
      </c>
      <c r="S489"/>
      <c r="U489" s="406" t="str">
        <f t="shared" si="29"/>
        <v/>
      </c>
      <c r="W489" s="408" t="str">
        <f t="shared" si="30"/>
        <v/>
      </c>
      <c r="X489" s="409" t="str">
        <f t="shared" si="31"/>
        <v/>
      </c>
    </row>
    <row r="490" spans="1:24" ht="16" x14ac:dyDescent="0.25">
      <c r="A490" s="399" t="str">
        <f>IF(B490="","",CONCATENATE("GBL",B490," - ",Mantenedor!E494))</f>
        <v/>
      </c>
      <c r="P490" s="399" t="str">
        <f t="shared" si="28"/>
        <v/>
      </c>
      <c r="Q490" s="405" t="str" cm="1">
        <f t="array" ref="Q490">+_xlfn.IFS(O490="Nacional","CLP",O490="Extranjero","USD",O490="","")</f>
        <v/>
      </c>
      <c r="R490" s="406" t="str">
        <f>IFERROR(IF(O490="Nacional",VLOOKUP(P490,PRICING!$D$4:$E$59,2,FALSE),VLOOKUP(P490,PRICING!$J$4:$K$59,2,FALSE)),"")</f>
        <v/>
      </c>
      <c r="S490"/>
      <c r="U490" s="406" t="str">
        <f t="shared" si="29"/>
        <v/>
      </c>
      <c r="W490" s="408" t="str">
        <f t="shared" si="30"/>
        <v/>
      </c>
      <c r="X490" s="409" t="str">
        <f t="shared" si="31"/>
        <v/>
      </c>
    </row>
    <row r="491" spans="1:24" ht="16" x14ac:dyDescent="0.25">
      <c r="A491" s="399" t="str">
        <f>IF(B491="","",CONCATENATE("GBL",B491," - ",Mantenedor!E495))</f>
        <v/>
      </c>
      <c r="P491" s="399" t="str">
        <f t="shared" si="28"/>
        <v/>
      </c>
      <c r="Q491" s="405" t="str" cm="1">
        <f t="array" ref="Q491">+_xlfn.IFS(O491="Nacional","CLP",O491="Extranjero","USD",O491="","")</f>
        <v/>
      </c>
      <c r="R491" s="406" t="str">
        <f>IFERROR(IF(O491="Nacional",VLOOKUP(P491,PRICING!$D$4:$E$59,2,FALSE),VLOOKUP(P491,PRICING!$J$4:$K$59,2,FALSE)),"")</f>
        <v/>
      </c>
      <c r="S491"/>
      <c r="U491" s="406" t="str">
        <f t="shared" si="29"/>
        <v/>
      </c>
      <c r="W491" s="408" t="str">
        <f t="shared" si="30"/>
        <v/>
      </c>
      <c r="X491" s="409" t="str">
        <f t="shared" si="31"/>
        <v/>
      </c>
    </row>
    <row r="492" spans="1:24" ht="16" x14ac:dyDescent="0.25">
      <c r="A492" s="399" t="str">
        <f>IF(B492="","",CONCATENATE("GBL",B492," - ",Mantenedor!E496))</f>
        <v/>
      </c>
      <c r="P492" s="399" t="str">
        <f t="shared" si="28"/>
        <v/>
      </c>
      <c r="Q492" s="405" t="str" cm="1">
        <f t="array" ref="Q492">+_xlfn.IFS(O492="Nacional","CLP",O492="Extranjero","USD",O492="","")</f>
        <v/>
      </c>
      <c r="R492" s="406" t="str">
        <f>IFERROR(IF(O492="Nacional",VLOOKUP(P492,PRICING!$D$4:$E$59,2,FALSE),VLOOKUP(P492,PRICING!$J$4:$K$59,2,FALSE)),"")</f>
        <v/>
      </c>
      <c r="S492"/>
      <c r="U492" s="406" t="str">
        <f t="shared" si="29"/>
        <v/>
      </c>
      <c r="W492" s="408" t="str">
        <f t="shared" si="30"/>
        <v/>
      </c>
      <c r="X492" s="409" t="str">
        <f t="shared" si="31"/>
        <v/>
      </c>
    </row>
    <row r="493" spans="1:24" ht="16" x14ac:dyDescent="0.25">
      <c r="A493" s="399" t="str">
        <f>IF(B493="","",CONCATENATE("GBL",B493," - ",Mantenedor!E497))</f>
        <v/>
      </c>
      <c r="P493" s="399" t="str">
        <f t="shared" si="28"/>
        <v/>
      </c>
      <c r="Q493" s="405" t="str" cm="1">
        <f t="array" ref="Q493">+_xlfn.IFS(O493="Nacional","CLP",O493="Extranjero","USD",O493="","")</f>
        <v/>
      </c>
      <c r="R493" s="406" t="str">
        <f>IFERROR(IF(O493="Nacional",VLOOKUP(P493,PRICING!$D$4:$E$59,2,FALSE),VLOOKUP(P493,PRICING!$J$4:$K$59,2,FALSE)),"")</f>
        <v/>
      </c>
      <c r="S493"/>
      <c r="U493" s="406" t="str">
        <f t="shared" si="29"/>
        <v/>
      </c>
      <c r="W493" s="408" t="str">
        <f t="shared" si="30"/>
        <v/>
      </c>
      <c r="X493" s="409" t="str">
        <f t="shared" si="31"/>
        <v/>
      </c>
    </row>
    <row r="494" spans="1:24" ht="16" x14ac:dyDescent="0.25">
      <c r="A494" s="399" t="str">
        <f>IF(B494="","",CONCATENATE("GBL",B494," - ",Mantenedor!E498))</f>
        <v/>
      </c>
      <c r="P494" s="399" t="str">
        <f t="shared" si="28"/>
        <v/>
      </c>
      <c r="Q494" s="405" t="str" cm="1">
        <f t="array" ref="Q494">+_xlfn.IFS(O494="Nacional","CLP",O494="Extranjero","USD",O494="","")</f>
        <v/>
      </c>
      <c r="R494" s="406" t="str">
        <f>IFERROR(IF(O494="Nacional",VLOOKUP(P494,PRICING!$D$4:$E$59,2,FALSE),VLOOKUP(P494,PRICING!$J$4:$K$59,2,FALSE)),"")</f>
        <v/>
      </c>
      <c r="S494"/>
      <c r="U494" s="406" t="str">
        <f t="shared" si="29"/>
        <v/>
      </c>
      <c r="W494" s="408" t="str">
        <f t="shared" si="30"/>
        <v/>
      </c>
      <c r="X494" s="409" t="str">
        <f t="shared" si="31"/>
        <v/>
      </c>
    </row>
    <row r="495" spans="1:24" ht="16" x14ac:dyDescent="0.25">
      <c r="A495" s="399" t="str">
        <f>IF(B495="","",CONCATENATE("GBL",B495," - ",Mantenedor!E499))</f>
        <v/>
      </c>
      <c r="P495" s="399" t="str">
        <f t="shared" si="28"/>
        <v/>
      </c>
      <c r="Q495" s="405" t="str" cm="1">
        <f t="array" ref="Q495">+_xlfn.IFS(O495="Nacional","CLP",O495="Extranjero","USD",O495="","")</f>
        <v/>
      </c>
      <c r="R495" s="406" t="str">
        <f>IFERROR(IF(O495="Nacional",VLOOKUP(P495,PRICING!$D$4:$E$59,2,FALSE),VLOOKUP(P495,PRICING!$J$4:$K$59,2,FALSE)),"")</f>
        <v/>
      </c>
      <c r="S495"/>
      <c r="U495" s="406" t="str">
        <f t="shared" si="29"/>
        <v/>
      </c>
      <c r="W495" s="408" t="str">
        <f t="shared" si="30"/>
        <v/>
      </c>
      <c r="X495" s="409" t="str">
        <f t="shared" si="31"/>
        <v/>
      </c>
    </row>
    <row r="496" spans="1:24" ht="16" x14ac:dyDescent="0.25">
      <c r="A496" s="399" t="str">
        <f>IF(B496="","",CONCATENATE("GBL",B496," - ",Mantenedor!E500))</f>
        <v/>
      </c>
      <c r="P496" s="399" t="str">
        <f t="shared" si="28"/>
        <v/>
      </c>
      <c r="Q496" s="405" t="str" cm="1">
        <f t="array" ref="Q496">+_xlfn.IFS(O496="Nacional","CLP",O496="Extranjero","USD",O496="","")</f>
        <v/>
      </c>
      <c r="R496" s="406" t="str">
        <f>IFERROR(IF(O496="Nacional",VLOOKUP(P496,PRICING!$D$4:$E$59,2,FALSE),VLOOKUP(P496,PRICING!$J$4:$K$59,2,FALSE)),"")</f>
        <v/>
      </c>
      <c r="S496"/>
      <c r="U496" s="406" t="str">
        <f t="shared" si="29"/>
        <v/>
      </c>
      <c r="W496" s="408" t="str">
        <f t="shared" si="30"/>
        <v/>
      </c>
      <c r="X496" s="409" t="str">
        <f t="shared" si="31"/>
        <v/>
      </c>
    </row>
    <row r="497" spans="1:24" ht="16" x14ac:dyDescent="0.25">
      <c r="A497" s="399" t="str">
        <f>IF(B497="","",CONCATENATE("GBL",B497," - ",Mantenedor!E501))</f>
        <v/>
      </c>
      <c r="P497" s="399" t="str">
        <f t="shared" si="28"/>
        <v/>
      </c>
      <c r="Q497" s="405" t="str" cm="1">
        <f t="array" ref="Q497">+_xlfn.IFS(O497="Nacional","CLP",O497="Extranjero","USD",O497="","")</f>
        <v/>
      </c>
      <c r="R497" s="406" t="str">
        <f>IFERROR(IF(O497="Nacional",VLOOKUP(P497,PRICING!$D$4:$E$59,2,FALSE),VLOOKUP(P497,PRICING!$J$4:$K$59,2,FALSE)),"")</f>
        <v/>
      </c>
      <c r="S497"/>
      <c r="U497" s="406" t="str">
        <f t="shared" si="29"/>
        <v/>
      </c>
      <c r="W497" s="408" t="str">
        <f t="shared" si="30"/>
        <v/>
      </c>
      <c r="X497" s="409" t="str">
        <f t="shared" si="31"/>
        <v/>
      </c>
    </row>
    <row r="498" spans="1:24" ht="16" x14ac:dyDescent="0.25">
      <c r="A498" s="399" t="str">
        <f>IF(B498="","",CONCATENATE("GBL",B498," - ",Mantenedor!E502))</f>
        <v/>
      </c>
      <c r="P498" s="399" t="str">
        <f t="shared" si="28"/>
        <v/>
      </c>
      <c r="Q498" s="405" t="str" cm="1">
        <f t="array" ref="Q498">+_xlfn.IFS(O498="Nacional","CLP",O498="Extranjero","USD",O498="","")</f>
        <v/>
      </c>
      <c r="R498" s="406" t="str">
        <f>IFERROR(IF(O498="Nacional",VLOOKUP(P498,PRICING!$D$4:$E$59,2,FALSE),VLOOKUP(P498,PRICING!$J$4:$K$59,2,FALSE)),"")</f>
        <v/>
      </c>
      <c r="S498"/>
      <c r="U498" s="406" t="str">
        <f t="shared" si="29"/>
        <v/>
      </c>
      <c r="W498" s="408" t="str">
        <f t="shared" si="30"/>
        <v/>
      </c>
      <c r="X498" s="409" t="str">
        <f t="shared" si="31"/>
        <v/>
      </c>
    </row>
    <row r="499" spans="1:24" ht="16" x14ac:dyDescent="0.25">
      <c r="A499" s="399" t="str">
        <f>IF(B499="","",CONCATENATE("GBL",B499," - ",Mantenedor!E503))</f>
        <v/>
      </c>
      <c r="P499" s="399" t="str">
        <f t="shared" si="28"/>
        <v/>
      </c>
      <c r="Q499" s="405" t="str" cm="1">
        <f t="array" ref="Q499">+_xlfn.IFS(O499="Nacional","CLP",O499="Extranjero","USD",O499="","")</f>
        <v/>
      </c>
      <c r="R499" s="406" t="str">
        <f>IFERROR(IF(O499="Nacional",VLOOKUP(P499,PRICING!$D$4:$E$59,2,FALSE),VLOOKUP(P499,PRICING!$J$4:$K$59,2,FALSE)),"")</f>
        <v/>
      </c>
      <c r="S499"/>
      <c r="U499" s="406" t="str">
        <f t="shared" si="29"/>
        <v/>
      </c>
      <c r="W499" s="408" t="str">
        <f t="shared" si="30"/>
        <v/>
      </c>
      <c r="X499" s="409" t="str">
        <f t="shared" si="31"/>
        <v/>
      </c>
    </row>
    <row r="500" spans="1:24" ht="16" x14ac:dyDescent="0.25">
      <c r="A500" s="399" t="str">
        <f>IF(B500="","",CONCATENATE("GBL",B500," - ",Mantenedor!E504))</f>
        <v/>
      </c>
      <c r="P500" s="399" t="str">
        <f t="shared" si="28"/>
        <v/>
      </c>
      <c r="Q500" s="405" t="str" cm="1">
        <f t="array" ref="Q500">+_xlfn.IFS(O500="Nacional","CLP",O500="Extranjero","USD",O500="","")</f>
        <v/>
      </c>
      <c r="R500" s="406" t="str">
        <f>IFERROR(IF(O500="Nacional",VLOOKUP(P500,PRICING!$D$4:$E$59,2,FALSE),VLOOKUP(P500,PRICING!$J$4:$K$59,2,FALSE)),"")</f>
        <v/>
      </c>
      <c r="S500"/>
      <c r="U500" s="406" t="str">
        <f t="shared" si="29"/>
        <v/>
      </c>
      <c r="W500" s="408" t="str">
        <f t="shared" si="30"/>
        <v/>
      </c>
      <c r="X500" s="409" t="str">
        <f t="shared" si="31"/>
        <v/>
      </c>
    </row>
    <row r="501" spans="1:24" ht="16" x14ac:dyDescent="0.25">
      <c r="A501" s="399" t="str">
        <f>IF(B501="","",CONCATENATE("GBL",B501," - ",Mantenedor!E505))</f>
        <v/>
      </c>
      <c r="P501" s="399" t="str">
        <f t="shared" si="28"/>
        <v/>
      </c>
      <c r="Q501" s="405" t="str" cm="1">
        <f t="array" ref="Q501">+_xlfn.IFS(O501="Nacional","CLP",O501="Extranjero","USD",O501="","")</f>
        <v/>
      </c>
      <c r="R501" s="406" t="str">
        <f>IFERROR(IF(O501="Nacional",VLOOKUP(P501,PRICING!$D$4:$E$59,2,FALSE),VLOOKUP(P501,PRICING!$J$4:$K$59,2,FALSE)),"")</f>
        <v/>
      </c>
      <c r="S501"/>
      <c r="U501" s="406" t="str">
        <f t="shared" si="29"/>
        <v/>
      </c>
      <c r="W501" s="408" t="str">
        <f t="shared" si="30"/>
        <v/>
      </c>
      <c r="X501" s="409" t="str">
        <f t="shared" si="31"/>
        <v/>
      </c>
    </row>
    <row r="502" spans="1:24" ht="16" x14ac:dyDescent="0.25">
      <c r="A502" s="399" t="str">
        <f>IF(B502="","",CONCATENATE("GBL",B502," - ",Mantenedor!E506))</f>
        <v/>
      </c>
      <c r="P502" s="399" t="str">
        <f t="shared" si="28"/>
        <v/>
      </c>
      <c r="Q502" s="405" t="str" cm="1">
        <f t="array" ref="Q502">+_xlfn.IFS(O502="Nacional","CLP",O502="Extranjero","USD",O502="","")</f>
        <v/>
      </c>
      <c r="R502" s="406" t="str">
        <f>IFERROR(IF(O502="Nacional",VLOOKUP(P502,PRICING!$D$4:$E$59,2,FALSE),VLOOKUP(P502,PRICING!$J$4:$K$59,2,FALSE)),"")</f>
        <v/>
      </c>
      <c r="S502"/>
      <c r="U502" s="406" t="str">
        <f t="shared" si="29"/>
        <v/>
      </c>
      <c r="W502" s="408" t="str">
        <f t="shared" si="30"/>
        <v/>
      </c>
      <c r="X502" s="409" t="str">
        <f t="shared" si="31"/>
        <v/>
      </c>
    </row>
    <row r="503" spans="1:24" ht="16" x14ac:dyDescent="0.25">
      <c r="A503" s="399" t="str">
        <f>IF(B503="","",CONCATENATE("GBL",B503," - ",Mantenedor!E507))</f>
        <v/>
      </c>
      <c r="P503" s="399" t="str">
        <f t="shared" si="28"/>
        <v/>
      </c>
      <c r="Q503" s="405" t="str" cm="1">
        <f t="array" ref="Q503">+_xlfn.IFS(O503="Nacional","CLP",O503="Extranjero","USD",O503="","")</f>
        <v/>
      </c>
      <c r="R503" s="406" t="str">
        <f>IFERROR(IF(O503="Nacional",VLOOKUP(P503,PRICING!$D$4:$E$59,2,FALSE),VLOOKUP(P503,PRICING!$J$4:$K$59,2,FALSE)),"")</f>
        <v/>
      </c>
      <c r="S503"/>
      <c r="U503" s="406" t="str">
        <f t="shared" si="29"/>
        <v/>
      </c>
      <c r="W503" s="408" t="str">
        <f t="shared" si="30"/>
        <v/>
      </c>
      <c r="X503" s="409" t="str">
        <f t="shared" si="31"/>
        <v/>
      </c>
    </row>
    <row r="504" spans="1:24" ht="16" x14ac:dyDescent="0.25">
      <c r="A504" s="399" t="str">
        <f>IF(B504="","",CONCATENATE("GBL",B504," - ",Mantenedor!E508))</f>
        <v/>
      </c>
      <c r="P504" s="399" t="str">
        <f t="shared" si="28"/>
        <v/>
      </c>
      <c r="Q504" s="405" t="str" cm="1">
        <f t="array" ref="Q504">+_xlfn.IFS(O504="Nacional","CLP",O504="Extranjero","USD",O504="","")</f>
        <v/>
      </c>
      <c r="R504" s="406" t="str">
        <f>IFERROR(IF(O504="Nacional",VLOOKUP(P504,PRICING!$D$4:$E$59,2,FALSE),VLOOKUP(P504,PRICING!$J$4:$K$59,2,FALSE)),"")</f>
        <v/>
      </c>
      <c r="S504"/>
      <c r="U504" s="406" t="str">
        <f t="shared" si="29"/>
        <v/>
      </c>
      <c r="W504" s="408" t="str">
        <f t="shared" si="30"/>
        <v/>
      </c>
      <c r="X504" s="409" t="str">
        <f t="shared" si="31"/>
        <v/>
      </c>
    </row>
    <row r="505" spans="1:24" ht="16" x14ac:dyDescent="0.25">
      <c r="A505" s="399" t="str">
        <f>IF(B505="","",CONCATENATE("GBL",B505," - ",Mantenedor!E509))</f>
        <v/>
      </c>
      <c r="P505" s="399" t="str">
        <f t="shared" si="28"/>
        <v/>
      </c>
      <c r="Q505" s="405" t="str" cm="1">
        <f t="array" ref="Q505">+_xlfn.IFS(O505="Nacional","CLP",O505="Extranjero","USD",O505="","")</f>
        <v/>
      </c>
      <c r="R505" s="406" t="str">
        <f>IFERROR(IF(O505="Nacional",VLOOKUP(P505,PRICING!$D$4:$E$59,2,FALSE),VLOOKUP(P505,PRICING!$J$4:$K$59,2,FALSE)),"")</f>
        <v/>
      </c>
      <c r="S505"/>
      <c r="U505" s="406" t="str">
        <f t="shared" si="29"/>
        <v/>
      </c>
      <c r="W505" s="408" t="str">
        <f t="shared" si="30"/>
        <v/>
      </c>
      <c r="X505" s="409" t="str">
        <f t="shared" si="31"/>
        <v/>
      </c>
    </row>
    <row r="506" spans="1:24" ht="16" x14ac:dyDescent="0.25">
      <c r="A506" s="399" t="str">
        <f>IF(B506="","",CONCATENATE("GBL",B506," - ",Mantenedor!E510))</f>
        <v/>
      </c>
      <c r="P506" s="399" t="str">
        <f t="shared" si="28"/>
        <v/>
      </c>
      <c r="Q506" s="405" t="str" cm="1">
        <f t="array" ref="Q506">+_xlfn.IFS(O506="Nacional","CLP",O506="Extranjero","USD",O506="","")</f>
        <v/>
      </c>
      <c r="R506" s="406" t="str">
        <f>IFERROR(IF(O506="Nacional",VLOOKUP(P506,PRICING!$D$4:$E$59,2,FALSE),VLOOKUP(P506,PRICING!$J$4:$K$59,2,FALSE)),"")</f>
        <v/>
      </c>
      <c r="S506"/>
      <c r="U506" s="406" t="str">
        <f t="shared" si="29"/>
        <v/>
      </c>
      <c r="W506" s="408" t="str">
        <f t="shared" si="30"/>
        <v/>
      </c>
      <c r="X506" s="409" t="str">
        <f t="shared" si="31"/>
        <v/>
      </c>
    </row>
    <row r="507" spans="1:24" ht="16" x14ac:dyDescent="0.25">
      <c r="A507" s="399" t="str">
        <f>IF(B507="","",CONCATENATE("GBL",B507," - ",Mantenedor!E511))</f>
        <v/>
      </c>
      <c r="P507" s="399" t="str">
        <f t="shared" si="28"/>
        <v/>
      </c>
      <c r="Q507" s="405" t="str" cm="1">
        <f t="array" ref="Q507">+_xlfn.IFS(O507="Nacional","CLP",O507="Extranjero","USD",O507="","")</f>
        <v/>
      </c>
      <c r="R507" s="406" t="str">
        <f>IFERROR(IF(O507="Nacional",VLOOKUP(P507,PRICING!$D$4:$E$59,2,FALSE),VLOOKUP(P507,PRICING!$J$4:$K$59,2,FALSE)),"")</f>
        <v/>
      </c>
      <c r="S507"/>
      <c r="U507" s="406" t="str">
        <f t="shared" si="29"/>
        <v/>
      </c>
      <c r="W507" s="408" t="str">
        <f t="shared" si="30"/>
        <v/>
      </c>
      <c r="X507" s="409" t="str">
        <f t="shared" si="31"/>
        <v/>
      </c>
    </row>
    <row r="508" spans="1:24" ht="16" x14ac:dyDescent="0.25">
      <c r="A508" s="399" t="str">
        <f>IF(B508="","",CONCATENATE("GBL",B508," - ",Mantenedor!E512))</f>
        <v/>
      </c>
      <c r="P508" s="399" t="str">
        <f t="shared" si="28"/>
        <v/>
      </c>
      <c r="Q508" s="405" t="str" cm="1">
        <f t="array" ref="Q508">+_xlfn.IFS(O508="Nacional","CLP",O508="Extranjero","USD",O508="","")</f>
        <v/>
      </c>
      <c r="R508" s="406" t="str">
        <f>IFERROR(IF(O508="Nacional",VLOOKUP(P508,PRICING!$D$4:$E$59,2,FALSE),VLOOKUP(P508,PRICING!$J$4:$K$59,2,FALSE)),"")</f>
        <v/>
      </c>
      <c r="S508"/>
      <c r="U508" s="406" t="str">
        <f t="shared" si="29"/>
        <v/>
      </c>
      <c r="W508" s="408" t="str">
        <f t="shared" si="30"/>
        <v/>
      </c>
      <c r="X508" s="409" t="str">
        <f t="shared" si="31"/>
        <v/>
      </c>
    </row>
    <row r="509" spans="1:24" ht="16" x14ac:dyDescent="0.25">
      <c r="A509" s="399" t="str">
        <f>IF(B509="","",CONCATENATE("GBL",B509," - ",Mantenedor!E513))</f>
        <v/>
      </c>
      <c r="P509" s="399" t="str">
        <f t="shared" si="28"/>
        <v/>
      </c>
      <c r="Q509" s="405" t="str" cm="1">
        <f t="array" ref="Q509">+_xlfn.IFS(O509="Nacional","CLP",O509="Extranjero","USD",O509="","")</f>
        <v/>
      </c>
      <c r="R509" s="406" t="str">
        <f>IFERROR(IF(O509="Nacional",VLOOKUP(P509,PRICING!$D$4:$E$59,2,FALSE),VLOOKUP(P509,PRICING!$J$4:$K$59,2,FALSE)),"")</f>
        <v/>
      </c>
      <c r="S509"/>
      <c r="U509" s="406" t="str">
        <f t="shared" si="29"/>
        <v/>
      </c>
      <c r="W509" s="408" t="str">
        <f t="shared" si="30"/>
        <v/>
      </c>
      <c r="X509" s="409" t="str">
        <f t="shared" si="31"/>
        <v/>
      </c>
    </row>
    <row r="510" spans="1:24" ht="16" x14ac:dyDescent="0.25">
      <c r="A510" s="399" t="str">
        <f>IF(B510="","",CONCATENATE("GBL",B510," - ",Mantenedor!E514))</f>
        <v/>
      </c>
      <c r="P510" s="399" t="str">
        <f t="shared" si="28"/>
        <v/>
      </c>
      <c r="Q510" s="405" t="str" cm="1">
        <f t="array" ref="Q510">+_xlfn.IFS(O510="Nacional","CLP",O510="Extranjero","USD",O510="","")</f>
        <v/>
      </c>
      <c r="R510" s="406" t="str">
        <f>IFERROR(IF(O510="Nacional",VLOOKUP(P510,PRICING!$D$4:$E$59,2,FALSE),VLOOKUP(P510,PRICING!$J$4:$K$59,2,FALSE)),"")</f>
        <v/>
      </c>
      <c r="S510"/>
      <c r="U510" s="406" t="str">
        <f t="shared" si="29"/>
        <v/>
      </c>
      <c r="W510" s="408" t="str">
        <f t="shared" si="30"/>
        <v/>
      </c>
      <c r="X510" s="409" t="str">
        <f t="shared" si="31"/>
        <v/>
      </c>
    </row>
    <row r="511" spans="1:24" ht="16" x14ac:dyDescent="0.25">
      <c r="A511" s="399" t="str">
        <f>IF(B511="","",CONCATENATE("GBL",B511," - ",Mantenedor!E515))</f>
        <v/>
      </c>
      <c r="P511" s="399" t="str">
        <f t="shared" ref="P511:P574" si="32">IF(N511="","",(IF(L511=1,(CONCATENATE("Base ",N511," ",L511," noche")),(CONCATENATE("Base ",N511," ",L511," noches")))))</f>
        <v/>
      </c>
      <c r="Q511" s="405" t="str" cm="1">
        <f t="array" ref="Q511">+_xlfn.IFS(O511="Nacional","CLP",O511="Extranjero","USD",O511="","")</f>
        <v/>
      </c>
      <c r="R511" s="406" t="str">
        <f>IFERROR(IF(O511="Nacional",VLOOKUP(P511,PRICING!$D$4:$E$59,2,FALSE),VLOOKUP(P511,PRICING!$J$4:$K$59,2,FALSE)),"")</f>
        <v/>
      </c>
      <c r="S511"/>
      <c r="U511" s="406" t="str">
        <f t="shared" ref="U511:U574" si="33">IFERROR(+R511*(1-S511),"")</f>
        <v/>
      </c>
      <c r="W511" s="408" t="str">
        <f t="shared" ref="W511:W574" si="34">+IF(U511="","","50"%)</f>
        <v/>
      </c>
      <c r="X511" s="409" t="str">
        <f t="shared" si="31"/>
        <v/>
      </c>
    </row>
    <row r="512" spans="1:24" ht="16" x14ac:dyDescent="0.25">
      <c r="A512" s="399" t="str">
        <f>IF(B512="","",CONCATENATE("GBL",B512," - ",Mantenedor!E516))</f>
        <v/>
      </c>
      <c r="P512" s="399" t="str">
        <f t="shared" si="32"/>
        <v/>
      </c>
      <c r="Q512" s="405" t="str" cm="1">
        <f t="array" ref="Q512">+_xlfn.IFS(O512="Nacional","CLP",O512="Extranjero","USD",O512="","")</f>
        <v/>
      </c>
      <c r="R512" s="406" t="str">
        <f>IFERROR(IF(O512="Nacional",VLOOKUP(P512,PRICING!$D$4:$E$59,2,FALSE),VLOOKUP(P512,PRICING!$J$4:$K$59,2,FALSE)),"")</f>
        <v/>
      </c>
      <c r="S512"/>
      <c r="U512" s="406" t="str">
        <f t="shared" si="33"/>
        <v/>
      </c>
      <c r="W512" s="408" t="str">
        <f t="shared" si="34"/>
        <v/>
      </c>
      <c r="X512" s="409" t="str">
        <f t="shared" ref="X512:X575" si="35">+IF(W512="","",(1-W512))</f>
        <v/>
      </c>
    </row>
    <row r="513" spans="1:24" ht="16" x14ac:dyDescent="0.25">
      <c r="A513" s="399" t="str">
        <f>IF(B513="","",CONCATENATE("GBL",B513," - ",Mantenedor!E517))</f>
        <v/>
      </c>
      <c r="P513" s="399" t="str">
        <f t="shared" si="32"/>
        <v/>
      </c>
      <c r="Q513" s="405" t="str" cm="1">
        <f t="array" ref="Q513">+_xlfn.IFS(O513="Nacional","CLP",O513="Extranjero","USD",O513="","")</f>
        <v/>
      </c>
      <c r="R513" s="406" t="str">
        <f>IFERROR(IF(O513="Nacional",VLOOKUP(P513,PRICING!$D$4:$E$59,2,FALSE),VLOOKUP(P513,PRICING!$J$4:$K$59,2,FALSE)),"")</f>
        <v/>
      </c>
      <c r="S513"/>
      <c r="U513" s="406" t="str">
        <f t="shared" si="33"/>
        <v/>
      </c>
      <c r="W513" s="408" t="str">
        <f t="shared" si="34"/>
        <v/>
      </c>
      <c r="X513" s="409" t="str">
        <f t="shared" si="35"/>
        <v/>
      </c>
    </row>
    <row r="514" spans="1:24" ht="16" x14ac:dyDescent="0.25">
      <c r="A514" s="399" t="str">
        <f>IF(B514="","",CONCATENATE("GBL",B514," - ",Mantenedor!E518))</f>
        <v/>
      </c>
      <c r="P514" s="399" t="str">
        <f t="shared" si="32"/>
        <v/>
      </c>
      <c r="Q514" s="405" t="str" cm="1">
        <f t="array" ref="Q514">+_xlfn.IFS(O514="Nacional","CLP",O514="Extranjero","USD",O514="","")</f>
        <v/>
      </c>
      <c r="R514" s="406" t="str">
        <f>IFERROR(IF(O514="Nacional",VLOOKUP(P514,PRICING!$D$4:$E$59,2,FALSE),VLOOKUP(P514,PRICING!$J$4:$K$59,2,FALSE)),"")</f>
        <v/>
      </c>
      <c r="S514"/>
      <c r="U514" s="406" t="str">
        <f t="shared" si="33"/>
        <v/>
      </c>
      <c r="W514" s="408" t="str">
        <f t="shared" si="34"/>
        <v/>
      </c>
      <c r="X514" s="409" t="str">
        <f t="shared" si="35"/>
        <v/>
      </c>
    </row>
    <row r="515" spans="1:24" ht="16" x14ac:dyDescent="0.25">
      <c r="A515" s="399" t="str">
        <f>IF(B515="","",CONCATENATE("GBL",B515," - ",Mantenedor!E519))</f>
        <v/>
      </c>
      <c r="P515" s="399" t="str">
        <f t="shared" si="32"/>
        <v/>
      </c>
      <c r="Q515" s="405" t="str" cm="1">
        <f t="array" ref="Q515">+_xlfn.IFS(O515="Nacional","CLP",O515="Extranjero","USD",O515="","")</f>
        <v/>
      </c>
      <c r="R515" s="406" t="str">
        <f>IFERROR(IF(O515="Nacional",VLOOKUP(P515,PRICING!$D$4:$E$59,2,FALSE),VLOOKUP(P515,PRICING!$J$4:$K$59,2,FALSE)),"")</f>
        <v/>
      </c>
      <c r="S515"/>
      <c r="U515" s="406" t="str">
        <f t="shared" si="33"/>
        <v/>
      </c>
      <c r="W515" s="408" t="str">
        <f t="shared" si="34"/>
        <v/>
      </c>
      <c r="X515" s="409" t="str">
        <f t="shared" si="35"/>
        <v/>
      </c>
    </row>
    <row r="516" spans="1:24" ht="16" x14ac:dyDescent="0.25">
      <c r="A516" s="399" t="str">
        <f>IF(B516="","",CONCATENATE("GBL",B516," - ",Mantenedor!E520))</f>
        <v/>
      </c>
      <c r="P516" s="399" t="str">
        <f t="shared" si="32"/>
        <v/>
      </c>
      <c r="Q516" s="405" t="str" cm="1">
        <f t="array" ref="Q516">+_xlfn.IFS(O516="Nacional","CLP",O516="Extranjero","USD",O516="","")</f>
        <v/>
      </c>
      <c r="R516" s="406" t="str">
        <f>IFERROR(IF(O516="Nacional",VLOOKUP(P516,PRICING!$D$4:$E$59,2,FALSE),VLOOKUP(P516,PRICING!$J$4:$K$59,2,FALSE)),"")</f>
        <v/>
      </c>
      <c r="S516"/>
      <c r="U516" s="406" t="str">
        <f t="shared" si="33"/>
        <v/>
      </c>
      <c r="W516" s="408" t="str">
        <f t="shared" si="34"/>
        <v/>
      </c>
      <c r="X516" s="409" t="str">
        <f t="shared" si="35"/>
        <v/>
      </c>
    </row>
    <row r="517" spans="1:24" ht="16" x14ac:dyDescent="0.25">
      <c r="A517" s="399" t="str">
        <f>IF(B517="","",CONCATENATE("GBL",B517," - ",Mantenedor!E521))</f>
        <v/>
      </c>
      <c r="P517" s="399" t="str">
        <f t="shared" si="32"/>
        <v/>
      </c>
      <c r="Q517" s="405" t="str" cm="1">
        <f t="array" ref="Q517">+_xlfn.IFS(O517="Nacional","CLP",O517="Extranjero","USD",O517="","")</f>
        <v/>
      </c>
      <c r="R517" s="406" t="str">
        <f>IFERROR(IF(O517="Nacional",VLOOKUP(P517,PRICING!$D$4:$E$59,2,FALSE),VLOOKUP(P517,PRICING!$J$4:$K$59,2,FALSE)),"")</f>
        <v/>
      </c>
      <c r="S517"/>
      <c r="U517" s="406" t="str">
        <f t="shared" si="33"/>
        <v/>
      </c>
      <c r="W517" s="408" t="str">
        <f t="shared" si="34"/>
        <v/>
      </c>
      <c r="X517" s="409" t="str">
        <f t="shared" si="35"/>
        <v/>
      </c>
    </row>
    <row r="518" spans="1:24" ht="16" x14ac:dyDescent="0.25">
      <c r="A518" s="399" t="str">
        <f>IF(B518="","",CONCATENATE("GBL",B518," - ",Mantenedor!E522))</f>
        <v/>
      </c>
      <c r="P518" s="399" t="str">
        <f t="shared" si="32"/>
        <v/>
      </c>
      <c r="Q518" s="405" t="str" cm="1">
        <f t="array" ref="Q518">+_xlfn.IFS(O518="Nacional","CLP",O518="Extranjero","USD",O518="","")</f>
        <v/>
      </c>
      <c r="R518" s="406" t="str">
        <f>IFERROR(IF(O518="Nacional",VLOOKUP(P518,PRICING!$D$4:$E$59,2,FALSE),VLOOKUP(P518,PRICING!$J$4:$K$59,2,FALSE)),"")</f>
        <v/>
      </c>
      <c r="S518"/>
      <c r="U518" s="406" t="str">
        <f t="shared" si="33"/>
        <v/>
      </c>
      <c r="W518" s="408" t="str">
        <f t="shared" si="34"/>
        <v/>
      </c>
      <c r="X518" s="409" t="str">
        <f t="shared" si="35"/>
        <v/>
      </c>
    </row>
    <row r="519" spans="1:24" ht="16" x14ac:dyDescent="0.25">
      <c r="A519" s="399" t="str">
        <f>IF(B519="","",CONCATENATE("GBL",B519," - ",Mantenedor!E523))</f>
        <v/>
      </c>
      <c r="P519" s="399" t="str">
        <f t="shared" si="32"/>
        <v/>
      </c>
      <c r="Q519" s="405" t="str" cm="1">
        <f t="array" ref="Q519">+_xlfn.IFS(O519="Nacional","CLP",O519="Extranjero","USD",O519="","")</f>
        <v/>
      </c>
      <c r="R519" s="406" t="str">
        <f>IFERROR(IF(O519="Nacional",VLOOKUP(P519,PRICING!$D$4:$E$59,2,FALSE),VLOOKUP(P519,PRICING!$J$4:$K$59,2,FALSE)),"")</f>
        <v/>
      </c>
      <c r="S519"/>
      <c r="U519" s="406" t="str">
        <f t="shared" si="33"/>
        <v/>
      </c>
      <c r="W519" s="408" t="str">
        <f t="shared" si="34"/>
        <v/>
      </c>
      <c r="X519" s="409" t="str">
        <f t="shared" si="35"/>
        <v/>
      </c>
    </row>
    <row r="520" spans="1:24" ht="16" x14ac:dyDescent="0.25">
      <c r="A520" s="399" t="str">
        <f>IF(B520="","",CONCATENATE("GBL",B520," - ",Mantenedor!E524))</f>
        <v/>
      </c>
      <c r="P520" s="399" t="str">
        <f t="shared" si="32"/>
        <v/>
      </c>
      <c r="Q520" s="405" t="str" cm="1">
        <f t="array" ref="Q520">+_xlfn.IFS(O520="Nacional","CLP",O520="Extranjero","USD",O520="","")</f>
        <v/>
      </c>
      <c r="R520" s="406" t="str">
        <f>IFERROR(IF(O520="Nacional",VLOOKUP(P520,PRICING!$D$4:$E$59,2,FALSE),VLOOKUP(P520,PRICING!$J$4:$K$59,2,FALSE)),"")</f>
        <v/>
      </c>
      <c r="S520"/>
      <c r="U520" s="406" t="str">
        <f t="shared" si="33"/>
        <v/>
      </c>
      <c r="W520" s="408" t="str">
        <f t="shared" si="34"/>
        <v/>
      </c>
      <c r="X520" s="409" t="str">
        <f t="shared" si="35"/>
        <v/>
      </c>
    </row>
    <row r="521" spans="1:24" ht="16" x14ac:dyDescent="0.25">
      <c r="A521" s="399" t="str">
        <f>IF(B521="","",CONCATENATE("GBL",B521," - ",Mantenedor!E525))</f>
        <v/>
      </c>
      <c r="P521" s="399" t="str">
        <f t="shared" si="32"/>
        <v/>
      </c>
      <c r="Q521" s="405" t="str" cm="1">
        <f t="array" ref="Q521">+_xlfn.IFS(O521="Nacional","CLP",O521="Extranjero","USD",O521="","")</f>
        <v/>
      </c>
      <c r="R521" s="406" t="str">
        <f>IFERROR(IF(O521="Nacional",VLOOKUP(P521,PRICING!$D$4:$E$59,2,FALSE),VLOOKUP(P521,PRICING!$J$4:$K$59,2,FALSE)),"")</f>
        <v/>
      </c>
      <c r="S521"/>
      <c r="U521" s="406" t="str">
        <f t="shared" si="33"/>
        <v/>
      </c>
      <c r="W521" s="408" t="str">
        <f t="shared" si="34"/>
        <v/>
      </c>
      <c r="X521" s="409" t="str">
        <f t="shared" si="35"/>
        <v/>
      </c>
    </row>
    <row r="522" spans="1:24" ht="16" x14ac:dyDescent="0.25">
      <c r="A522" s="399" t="str">
        <f>IF(B522="","",CONCATENATE("GBL",B522," - ",Mantenedor!E526))</f>
        <v/>
      </c>
      <c r="P522" s="399" t="str">
        <f t="shared" si="32"/>
        <v/>
      </c>
      <c r="Q522" s="405" t="str" cm="1">
        <f t="array" ref="Q522">+_xlfn.IFS(O522="Nacional","CLP",O522="Extranjero","USD",O522="","")</f>
        <v/>
      </c>
      <c r="R522" s="406" t="str">
        <f>IFERROR(IF(O522="Nacional",VLOOKUP(P522,PRICING!$D$4:$E$59,2,FALSE),VLOOKUP(P522,PRICING!$J$4:$K$59,2,FALSE)),"")</f>
        <v/>
      </c>
      <c r="S522"/>
      <c r="U522" s="406" t="str">
        <f t="shared" si="33"/>
        <v/>
      </c>
      <c r="W522" s="408" t="str">
        <f t="shared" si="34"/>
        <v/>
      </c>
      <c r="X522" s="409" t="str">
        <f t="shared" si="35"/>
        <v/>
      </c>
    </row>
    <row r="523" spans="1:24" ht="16" x14ac:dyDescent="0.25">
      <c r="A523" s="399" t="str">
        <f>IF(B523="","",CONCATENATE("GBL",B523," - ",Mantenedor!E527))</f>
        <v/>
      </c>
      <c r="P523" s="399" t="str">
        <f t="shared" si="32"/>
        <v/>
      </c>
      <c r="Q523" s="405" t="str" cm="1">
        <f t="array" ref="Q523">+_xlfn.IFS(O523="Nacional","CLP",O523="Extranjero","USD",O523="","")</f>
        <v/>
      </c>
      <c r="R523" s="406" t="str">
        <f>IFERROR(IF(O523="Nacional",VLOOKUP(P523,PRICING!$D$4:$E$59,2,FALSE),VLOOKUP(P523,PRICING!$J$4:$K$59,2,FALSE)),"")</f>
        <v/>
      </c>
      <c r="S523"/>
      <c r="U523" s="406" t="str">
        <f t="shared" si="33"/>
        <v/>
      </c>
      <c r="W523" s="408" t="str">
        <f t="shared" si="34"/>
        <v/>
      </c>
      <c r="X523" s="409" t="str">
        <f t="shared" si="35"/>
        <v/>
      </c>
    </row>
    <row r="524" spans="1:24" ht="16" x14ac:dyDescent="0.25">
      <c r="A524" s="399" t="str">
        <f>IF(B524="","",CONCATENATE("GBL",B524," - ",Mantenedor!E528))</f>
        <v/>
      </c>
      <c r="P524" s="399" t="str">
        <f t="shared" si="32"/>
        <v/>
      </c>
      <c r="Q524" s="405" t="str" cm="1">
        <f t="array" ref="Q524">+_xlfn.IFS(O524="Nacional","CLP",O524="Extranjero","USD",O524="","")</f>
        <v/>
      </c>
      <c r="R524" s="406" t="str">
        <f>IFERROR(IF(O524="Nacional",VLOOKUP(P524,PRICING!$D$4:$E$59,2,FALSE),VLOOKUP(P524,PRICING!$J$4:$K$59,2,FALSE)),"")</f>
        <v/>
      </c>
      <c r="S524"/>
      <c r="U524" s="406" t="str">
        <f t="shared" si="33"/>
        <v/>
      </c>
      <c r="W524" s="408" t="str">
        <f t="shared" si="34"/>
        <v/>
      </c>
      <c r="X524" s="409" t="str">
        <f t="shared" si="35"/>
        <v/>
      </c>
    </row>
    <row r="525" spans="1:24" ht="16" x14ac:dyDescent="0.25">
      <c r="A525" s="399" t="str">
        <f>IF(B525="","",CONCATENATE("GBL",B525," - ",Mantenedor!E529))</f>
        <v/>
      </c>
      <c r="P525" s="399" t="str">
        <f t="shared" si="32"/>
        <v/>
      </c>
      <c r="Q525" s="405" t="str" cm="1">
        <f t="array" ref="Q525">+_xlfn.IFS(O525="Nacional","CLP",O525="Extranjero","USD",O525="","")</f>
        <v/>
      </c>
      <c r="R525" s="406" t="str">
        <f>IFERROR(IF(O525="Nacional",VLOOKUP(P525,PRICING!$D$4:$E$59,2,FALSE),VLOOKUP(P525,PRICING!$J$4:$K$59,2,FALSE)),"")</f>
        <v/>
      </c>
      <c r="S525"/>
      <c r="U525" s="406" t="str">
        <f t="shared" si="33"/>
        <v/>
      </c>
      <c r="W525" s="408" t="str">
        <f t="shared" si="34"/>
        <v/>
      </c>
      <c r="X525" s="409" t="str">
        <f t="shared" si="35"/>
        <v/>
      </c>
    </row>
    <row r="526" spans="1:24" ht="16" x14ac:dyDescent="0.25">
      <c r="A526" s="399" t="str">
        <f>IF(B526="","",CONCATENATE("GBL",B526," - ",Mantenedor!E530))</f>
        <v/>
      </c>
      <c r="P526" s="399" t="str">
        <f t="shared" si="32"/>
        <v/>
      </c>
      <c r="Q526" s="405" t="str" cm="1">
        <f t="array" ref="Q526">+_xlfn.IFS(O526="Nacional","CLP",O526="Extranjero","USD",O526="","")</f>
        <v/>
      </c>
      <c r="R526" s="406" t="str">
        <f>IFERROR(IF(O526="Nacional",VLOOKUP(P526,PRICING!$D$4:$E$59,2,FALSE),VLOOKUP(P526,PRICING!$J$4:$K$59,2,FALSE)),"")</f>
        <v/>
      </c>
      <c r="S526"/>
      <c r="U526" s="406" t="str">
        <f t="shared" si="33"/>
        <v/>
      </c>
      <c r="W526" s="408" t="str">
        <f t="shared" si="34"/>
        <v/>
      </c>
      <c r="X526" s="409" t="str">
        <f t="shared" si="35"/>
        <v/>
      </c>
    </row>
    <row r="527" spans="1:24" ht="16" x14ac:dyDescent="0.25">
      <c r="A527" s="399" t="str">
        <f>IF(B527="","",CONCATENATE("GBL",B527," - ",Mantenedor!E531))</f>
        <v/>
      </c>
      <c r="P527" s="399" t="str">
        <f t="shared" si="32"/>
        <v/>
      </c>
      <c r="Q527" s="405" t="str" cm="1">
        <f t="array" ref="Q527">+_xlfn.IFS(O527="Nacional","CLP",O527="Extranjero","USD",O527="","")</f>
        <v/>
      </c>
      <c r="R527" s="406" t="str">
        <f>IFERROR(IF(O527="Nacional",VLOOKUP(P527,PRICING!$D$4:$E$59,2,FALSE),VLOOKUP(P527,PRICING!$J$4:$K$59,2,FALSE)),"")</f>
        <v/>
      </c>
      <c r="S527"/>
      <c r="U527" s="406" t="str">
        <f t="shared" si="33"/>
        <v/>
      </c>
      <c r="W527" s="408" t="str">
        <f t="shared" si="34"/>
        <v/>
      </c>
      <c r="X527" s="409" t="str">
        <f t="shared" si="35"/>
        <v/>
      </c>
    </row>
    <row r="528" spans="1:24" ht="16" x14ac:dyDescent="0.25">
      <c r="A528" s="399" t="str">
        <f>IF(B528="","",CONCATENATE("GBL",B528," - ",Mantenedor!E532))</f>
        <v/>
      </c>
      <c r="P528" s="399" t="str">
        <f t="shared" si="32"/>
        <v/>
      </c>
      <c r="Q528" s="405" t="str" cm="1">
        <f t="array" ref="Q528">+_xlfn.IFS(O528="Nacional","CLP",O528="Extranjero","USD",O528="","")</f>
        <v/>
      </c>
      <c r="R528" s="406" t="str">
        <f>IFERROR(IF(O528="Nacional",VLOOKUP(P528,PRICING!$D$4:$E$59,2,FALSE),VLOOKUP(P528,PRICING!$J$4:$K$59,2,FALSE)),"")</f>
        <v/>
      </c>
      <c r="S528"/>
      <c r="U528" s="406" t="str">
        <f t="shared" si="33"/>
        <v/>
      </c>
      <c r="W528" s="408" t="str">
        <f t="shared" si="34"/>
        <v/>
      </c>
      <c r="X528" s="409" t="str">
        <f t="shared" si="35"/>
        <v/>
      </c>
    </row>
    <row r="529" spans="1:24" ht="16" x14ac:dyDescent="0.25">
      <c r="A529" s="399" t="str">
        <f>IF(B529="","",CONCATENATE("GBL",B529," - ",Mantenedor!E533))</f>
        <v/>
      </c>
      <c r="P529" s="399" t="str">
        <f t="shared" si="32"/>
        <v/>
      </c>
      <c r="Q529" s="405" t="str" cm="1">
        <f t="array" ref="Q529">+_xlfn.IFS(O529="Nacional","CLP",O529="Extranjero","USD",O529="","")</f>
        <v/>
      </c>
      <c r="R529" s="406" t="str">
        <f>IFERROR(IF(O529="Nacional",VLOOKUP(P529,PRICING!$D$4:$E$59,2,FALSE),VLOOKUP(P529,PRICING!$J$4:$K$59,2,FALSE)),"")</f>
        <v/>
      </c>
      <c r="S529"/>
      <c r="U529" s="406" t="str">
        <f t="shared" si="33"/>
        <v/>
      </c>
      <c r="W529" s="408" t="str">
        <f t="shared" si="34"/>
        <v/>
      </c>
      <c r="X529" s="409" t="str">
        <f t="shared" si="35"/>
        <v/>
      </c>
    </row>
    <row r="530" spans="1:24" ht="16" x14ac:dyDescent="0.25">
      <c r="A530" s="399" t="str">
        <f>IF(B530="","",CONCATENATE("GBL",B530," - ",Mantenedor!E534))</f>
        <v/>
      </c>
      <c r="P530" s="399" t="str">
        <f t="shared" si="32"/>
        <v/>
      </c>
      <c r="Q530" s="405" t="str" cm="1">
        <f t="array" ref="Q530">+_xlfn.IFS(O530="Nacional","CLP",O530="Extranjero","USD",O530="","")</f>
        <v/>
      </c>
      <c r="R530" s="406" t="str">
        <f>IFERROR(IF(O530="Nacional",VLOOKUP(P530,PRICING!$D$4:$E$59,2,FALSE),VLOOKUP(P530,PRICING!$J$4:$K$59,2,FALSE)),"")</f>
        <v/>
      </c>
      <c r="S530"/>
      <c r="U530" s="406" t="str">
        <f t="shared" si="33"/>
        <v/>
      </c>
      <c r="W530" s="408" t="str">
        <f t="shared" si="34"/>
        <v/>
      </c>
      <c r="X530" s="409" t="str">
        <f t="shared" si="35"/>
        <v/>
      </c>
    </row>
    <row r="531" spans="1:24" ht="16" x14ac:dyDescent="0.25">
      <c r="A531" s="399" t="str">
        <f>IF(B531="","",CONCATENATE("GBL",B531," - ",Mantenedor!E535))</f>
        <v/>
      </c>
      <c r="P531" s="399" t="str">
        <f t="shared" si="32"/>
        <v/>
      </c>
      <c r="Q531" s="405" t="str" cm="1">
        <f t="array" ref="Q531">+_xlfn.IFS(O531="Nacional","CLP",O531="Extranjero","USD",O531="","")</f>
        <v/>
      </c>
      <c r="R531" s="406" t="str">
        <f>IFERROR(IF(O531="Nacional",VLOOKUP(P531,PRICING!$D$4:$E$59,2,FALSE),VLOOKUP(P531,PRICING!$J$4:$K$59,2,FALSE)),"")</f>
        <v/>
      </c>
      <c r="S531"/>
      <c r="U531" s="406" t="str">
        <f t="shared" si="33"/>
        <v/>
      </c>
      <c r="W531" s="408" t="str">
        <f t="shared" si="34"/>
        <v/>
      </c>
      <c r="X531" s="409" t="str">
        <f t="shared" si="35"/>
        <v/>
      </c>
    </row>
    <row r="532" spans="1:24" ht="16" x14ac:dyDescent="0.25">
      <c r="A532" s="399" t="str">
        <f>IF(B532="","",CONCATENATE("GBL",B532," - ",Mantenedor!E536))</f>
        <v/>
      </c>
      <c r="P532" s="399" t="str">
        <f t="shared" si="32"/>
        <v/>
      </c>
      <c r="Q532" s="405" t="str" cm="1">
        <f t="array" ref="Q532">+_xlfn.IFS(O532="Nacional","CLP",O532="Extranjero","USD",O532="","")</f>
        <v/>
      </c>
      <c r="R532" s="406" t="str">
        <f>IFERROR(IF(O532="Nacional",VLOOKUP(P532,PRICING!$D$4:$E$59,2,FALSE),VLOOKUP(P532,PRICING!$J$4:$K$59,2,FALSE)),"")</f>
        <v/>
      </c>
      <c r="S532"/>
      <c r="U532" s="406" t="str">
        <f t="shared" si="33"/>
        <v/>
      </c>
      <c r="W532" s="408" t="str">
        <f t="shared" si="34"/>
        <v/>
      </c>
      <c r="X532" s="409" t="str">
        <f t="shared" si="35"/>
        <v/>
      </c>
    </row>
    <row r="533" spans="1:24" ht="16" x14ac:dyDescent="0.25">
      <c r="A533" s="399" t="str">
        <f>IF(B533="","",CONCATENATE("GBL",B533," - ",Mantenedor!E537))</f>
        <v/>
      </c>
      <c r="P533" s="399" t="str">
        <f t="shared" si="32"/>
        <v/>
      </c>
      <c r="Q533" s="405" t="str" cm="1">
        <f t="array" ref="Q533">+_xlfn.IFS(O533="Nacional","CLP",O533="Extranjero","USD",O533="","")</f>
        <v/>
      </c>
      <c r="R533" s="406" t="str">
        <f>IFERROR(IF(O533="Nacional",VLOOKUP(P533,PRICING!$D$4:$E$59,2,FALSE),VLOOKUP(P533,PRICING!$J$4:$K$59,2,FALSE)),"")</f>
        <v/>
      </c>
      <c r="S533"/>
      <c r="U533" s="406" t="str">
        <f t="shared" si="33"/>
        <v/>
      </c>
      <c r="W533" s="408" t="str">
        <f t="shared" si="34"/>
        <v/>
      </c>
      <c r="X533" s="409" t="str">
        <f t="shared" si="35"/>
        <v/>
      </c>
    </row>
    <row r="534" spans="1:24" ht="16" x14ac:dyDescent="0.25">
      <c r="A534" s="399" t="str">
        <f>IF(B534="","",CONCATENATE("GBL",B534," - ",Mantenedor!E538))</f>
        <v/>
      </c>
      <c r="P534" s="399" t="str">
        <f t="shared" si="32"/>
        <v/>
      </c>
      <c r="Q534" s="405" t="str" cm="1">
        <f t="array" ref="Q534">+_xlfn.IFS(O534="Nacional","CLP",O534="Extranjero","USD",O534="","")</f>
        <v/>
      </c>
      <c r="R534" s="406" t="str">
        <f>IFERROR(IF(O534="Nacional",VLOOKUP(P534,PRICING!$D$4:$E$59,2,FALSE),VLOOKUP(P534,PRICING!$J$4:$K$59,2,FALSE)),"")</f>
        <v/>
      </c>
      <c r="S534"/>
      <c r="U534" s="406" t="str">
        <f t="shared" si="33"/>
        <v/>
      </c>
      <c r="W534" s="408" t="str">
        <f t="shared" si="34"/>
        <v/>
      </c>
      <c r="X534" s="409" t="str">
        <f t="shared" si="35"/>
        <v/>
      </c>
    </row>
    <row r="535" spans="1:24" ht="16" x14ac:dyDescent="0.25">
      <c r="A535" s="399" t="str">
        <f>IF(B535="","",CONCATENATE("GBL",B535," - ",Mantenedor!E539))</f>
        <v/>
      </c>
      <c r="P535" s="399" t="str">
        <f t="shared" si="32"/>
        <v/>
      </c>
      <c r="Q535" s="405" t="str" cm="1">
        <f t="array" ref="Q535">+_xlfn.IFS(O535="Nacional","CLP",O535="Extranjero","USD",O535="","")</f>
        <v/>
      </c>
      <c r="R535" s="406" t="str">
        <f>IFERROR(IF(O535="Nacional",VLOOKUP(P535,PRICING!$D$4:$E$59,2,FALSE),VLOOKUP(P535,PRICING!$J$4:$K$59,2,FALSE)),"")</f>
        <v/>
      </c>
      <c r="S535"/>
      <c r="U535" s="406" t="str">
        <f t="shared" si="33"/>
        <v/>
      </c>
      <c r="W535" s="408" t="str">
        <f t="shared" si="34"/>
        <v/>
      </c>
      <c r="X535" s="409" t="str">
        <f t="shared" si="35"/>
        <v/>
      </c>
    </row>
    <row r="536" spans="1:24" ht="16" x14ac:dyDescent="0.25">
      <c r="A536" s="399" t="str">
        <f>IF(B536="","",CONCATENATE("GBL",B536," - ",Mantenedor!E540))</f>
        <v/>
      </c>
      <c r="P536" s="399" t="str">
        <f t="shared" si="32"/>
        <v/>
      </c>
      <c r="Q536" s="405" t="str" cm="1">
        <f t="array" ref="Q536">+_xlfn.IFS(O536="Nacional","CLP",O536="Extranjero","USD",O536="","")</f>
        <v/>
      </c>
      <c r="R536" s="406" t="str">
        <f>IFERROR(IF(O536="Nacional",VLOOKUP(P536,PRICING!$D$4:$E$59,2,FALSE),VLOOKUP(P536,PRICING!$J$4:$K$59,2,FALSE)),"")</f>
        <v/>
      </c>
      <c r="S536"/>
      <c r="U536" s="406" t="str">
        <f t="shared" si="33"/>
        <v/>
      </c>
      <c r="W536" s="408" t="str">
        <f t="shared" si="34"/>
        <v/>
      </c>
      <c r="X536" s="409" t="str">
        <f t="shared" si="35"/>
        <v/>
      </c>
    </row>
    <row r="537" spans="1:24" ht="16" x14ac:dyDescent="0.25">
      <c r="A537" s="399" t="str">
        <f>IF(B537="","",CONCATENATE("GBL",B537," - ",Mantenedor!E541))</f>
        <v/>
      </c>
      <c r="P537" s="399" t="str">
        <f t="shared" si="32"/>
        <v/>
      </c>
      <c r="Q537" s="405" t="str" cm="1">
        <f t="array" ref="Q537">+_xlfn.IFS(O537="Nacional","CLP",O537="Extranjero","USD",O537="","")</f>
        <v/>
      </c>
      <c r="R537" s="406" t="str">
        <f>IFERROR(IF(O537="Nacional",VLOOKUP(P537,PRICING!$D$4:$E$59,2,FALSE),VLOOKUP(P537,PRICING!$J$4:$K$59,2,FALSE)),"")</f>
        <v/>
      </c>
      <c r="S537"/>
      <c r="U537" s="406" t="str">
        <f t="shared" si="33"/>
        <v/>
      </c>
      <c r="W537" s="408" t="str">
        <f t="shared" si="34"/>
        <v/>
      </c>
      <c r="X537" s="409" t="str">
        <f t="shared" si="35"/>
        <v/>
      </c>
    </row>
    <row r="538" spans="1:24" ht="16" x14ac:dyDescent="0.25">
      <c r="A538" s="399" t="str">
        <f>IF(B538="","",CONCATENATE("GBL",B538," - ",Mantenedor!E542))</f>
        <v/>
      </c>
      <c r="P538" s="399" t="str">
        <f t="shared" si="32"/>
        <v/>
      </c>
      <c r="Q538" s="405" t="str" cm="1">
        <f t="array" ref="Q538">+_xlfn.IFS(O538="Nacional","CLP",O538="Extranjero","USD",O538="","")</f>
        <v/>
      </c>
      <c r="R538" s="406" t="str">
        <f>IFERROR(IF(O538="Nacional",VLOOKUP(P538,PRICING!$D$4:$E$59,2,FALSE),VLOOKUP(P538,PRICING!$J$4:$K$59,2,FALSE)),"")</f>
        <v/>
      </c>
      <c r="S538"/>
      <c r="U538" s="406" t="str">
        <f t="shared" si="33"/>
        <v/>
      </c>
      <c r="W538" s="408" t="str">
        <f t="shared" si="34"/>
        <v/>
      </c>
      <c r="X538" s="409" t="str">
        <f t="shared" si="35"/>
        <v/>
      </c>
    </row>
    <row r="539" spans="1:24" ht="16" x14ac:dyDescent="0.25">
      <c r="A539" s="399" t="str">
        <f>IF(B539="","",CONCATENATE("GBL",B539," - ",Mantenedor!E543))</f>
        <v/>
      </c>
      <c r="P539" s="399" t="str">
        <f t="shared" si="32"/>
        <v/>
      </c>
      <c r="Q539" s="405" t="str" cm="1">
        <f t="array" ref="Q539">+_xlfn.IFS(O539="Nacional","CLP",O539="Extranjero","USD",O539="","")</f>
        <v/>
      </c>
      <c r="R539" s="406" t="str">
        <f>IFERROR(IF(O539="Nacional",VLOOKUP(P539,PRICING!$D$4:$E$59,2,FALSE),VLOOKUP(P539,PRICING!$J$4:$K$59,2,FALSE)),"")</f>
        <v/>
      </c>
      <c r="S539"/>
      <c r="U539" s="406" t="str">
        <f t="shared" si="33"/>
        <v/>
      </c>
      <c r="W539" s="408" t="str">
        <f t="shared" si="34"/>
        <v/>
      </c>
      <c r="X539" s="409" t="str">
        <f t="shared" si="35"/>
        <v/>
      </c>
    </row>
    <row r="540" spans="1:24" ht="16" x14ac:dyDescent="0.25">
      <c r="A540" s="399" t="str">
        <f>IF(B540="","",CONCATENATE("GBL",B540," - ",Mantenedor!E544))</f>
        <v/>
      </c>
      <c r="P540" s="399" t="str">
        <f t="shared" si="32"/>
        <v/>
      </c>
      <c r="Q540" s="405" t="str" cm="1">
        <f t="array" ref="Q540">+_xlfn.IFS(O540="Nacional","CLP",O540="Extranjero","USD",O540="","")</f>
        <v/>
      </c>
      <c r="R540" s="406" t="str">
        <f>IFERROR(IF(O540="Nacional",VLOOKUP(P540,PRICING!$D$4:$E$59,2,FALSE),VLOOKUP(P540,PRICING!$J$4:$K$59,2,FALSE)),"")</f>
        <v/>
      </c>
      <c r="S540"/>
      <c r="U540" s="406" t="str">
        <f t="shared" si="33"/>
        <v/>
      </c>
      <c r="W540" s="408" t="str">
        <f t="shared" si="34"/>
        <v/>
      </c>
      <c r="X540" s="409" t="str">
        <f t="shared" si="35"/>
        <v/>
      </c>
    </row>
    <row r="541" spans="1:24" ht="16" x14ac:dyDescent="0.25">
      <c r="A541" s="399" t="str">
        <f>IF(B541="","",CONCATENATE("GBL",B541," - ",Mantenedor!E545))</f>
        <v/>
      </c>
      <c r="P541" s="399" t="str">
        <f t="shared" si="32"/>
        <v/>
      </c>
      <c r="Q541" s="405" t="str" cm="1">
        <f t="array" ref="Q541">+_xlfn.IFS(O541="Nacional","CLP",O541="Extranjero","USD",O541="","")</f>
        <v/>
      </c>
      <c r="R541" s="406" t="str">
        <f>IFERROR(IF(O541="Nacional",VLOOKUP(P541,PRICING!$D$4:$E$59,2,FALSE),VLOOKUP(P541,PRICING!$J$4:$K$59,2,FALSE)),"")</f>
        <v/>
      </c>
      <c r="S541"/>
      <c r="U541" s="406" t="str">
        <f t="shared" si="33"/>
        <v/>
      </c>
      <c r="W541" s="408" t="str">
        <f t="shared" si="34"/>
        <v/>
      </c>
      <c r="X541" s="409" t="str">
        <f t="shared" si="35"/>
        <v/>
      </c>
    </row>
    <row r="542" spans="1:24" ht="16" x14ac:dyDescent="0.25">
      <c r="A542" s="399" t="str">
        <f>IF(B542="","",CONCATENATE("GBL",B542," - ",Mantenedor!E546))</f>
        <v/>
      </c>
      <c r="P542" s="399" t="str">
        <f t="shared" si="32"/>
        <v/>
      </c>
      <c r="Q542" s="405" t="str" cm="1">
        <f t="array" ref="Q542">+_xlfn.IFS(O542="Nacional","CLP",O542="Extranjero","USD",O542="","")</f>
        <v/>
      </c>
      <c r="R542" s="406" t="str">
        <f>IFERROR(IF(O542="Nacional",VLOOKUP(P542,PRICING!$D$4:$E$59,2,FALSE),VLOOKUP(P542,PRICING!$J$4:$K$59,2,FALSE)),"")</f>
        <v/>
      </c>
      <c r="S542"/>
      <c r="U542" s="406" t="str">
        <f t="shared" si="33"/>
        <v/>
      </c>
      <c r="W542" s="408" t="str">
        <f t="shared" si="34"/>
        <v/>
      </c>
      <c r="X542" s="409" t="str">
        <f t="shared" si="35"/>
        <v/>
      </c>
    </row>
    <row r="543" spans="1:24" ht="16" x14ac:dyDescent="0.25">
      <c r="A543" s="399" t="str">
        <f>IF(B543="","",CONCATENATE("GBL",B543," - ",Mantenedor!E547))</f>
        <v/>
      </c>
      <c r="P543" s="399" t="str">
        <f t="shared" si="32"/>
        <v/>
      </c>
      <c r="Q543" s="405" t="str" cm="1">
        <f t="array" ref="Q543">+_xlfn.IFS(O543="Nacional","CLP",O543="Extranjero","USD",O543="","")</f>
        <v/>
      </c>
      <c r="R543" s="406" t="str">
        <f>IFERROR(IF(O543="Nacional",VLOOKUP(P543,PRICING!$D$4:$E$59,2,FALSE),VLOOKUP(P543,PRICING!$J$4:$K$59,2,FALSE)),"")</f>
        <v/>
      </c>
      <c r="S543"/>
      <c r="U543" s="406" t="str">
        <f t="shared" si="33"/>
        <v/>
      </c>
      <c r="W543" s="408" t="str">
        <f t="shared" si="34"/>
        <v/>
      </c>
      <c r="X543" s="409" t="str">
        <f t="shared" si="35"/>
        <v/>
      </c>
    </row>
    <row r="544" spans="1:24" ht="16" x14ac:dyDescent="0.25">
      <c r="A544" s="399" t="str">
        <f>IF(B544="","",CONCATENATE("GBL",B544," - ",Mantenedor!E548))</f>
        <v/>
      </c>
      <c r="P544" s="399" t="str">
        <f t="shared" si="32"/>
        <v/>
      </c>
      <c r="Q544" s="405" t="str" cm="1">
        <f t="array" ref="Q544">+_xlfn.IFS(O544="Nacional","CLP",O544="Extranjero","USD",O544="","")</f>
        <v/>
      </c>
      <c r="R544" s="406" t="str">
        <f>IFERROR(IF(O544="Nacional",VLOOKUP(P544,PRICING!$D$4:$E$59,2,FALSE),VLOOKUP(P544,PRICING!$J$4:$K$59,2,FALSE)),"")</f>
        <v/>
      </c>
      <c r="S544"/>
      <c r="U544" s="406" t="str">
        <f t="shared" si="33"/>
        <v/>
      </c>
      <c r="W544" s="408" t="str">
        <f t="shared" si="34"/>
        <v/>
      </c>
      <c r="X544" s="409" t="str">
        <f t="shared" si="35"/>
        <v/>
      </c>
    </row>
    <row r="545" spans="1:24" ht="16" x14ac:dyDescent="0.25">
      <c r="A545" s="399" t="str">
        <f>IF(B545="","",CONCATENATE("GBL",B545," - ",Mantenedor!E549))</f>
        <v/>
      </c>
      <c r="P545" s="399" t="str">
        <f t="shared" si="32"/>
        <v/>
      </c>
      <c r="Q545" s="405" t="str" cm="1">
        <f t="array" ref="Q545">+_xlfn.IFS(O545="Nacional","CLP",O545="Extranjero","USD",O545="","")</f>
        <v/>
      </c>
      <c r="R545" s="406" t="str">
        <f>IFERROR(IF(O545="Nacional",VLOOKUP(P545,PRICING!$D$4:$E$59,2,FALSE),VLOOKUP(P545,PRICING!$J$4:$K$59,2,FALSE)),"")</f>
        <v/>
      </c>
      <c r="S545"/>
      <c r="U545" s="406" t="str">
        <f t="shared" si="33"/>
        <v/>
      </c>
      <c r="W545" s="408" t="str">
        <f t="shared" si="34"/>
        <v/>
      </c>
      <c r="X545" s="409" t="str">
        <f t="shared" si="35"/>
        <v/>
      </c>
    </row>
    <row r="546" spans="1:24" ht="16" x14ac:dyDescent="0.25">
      <c r="A546" s="399" t="str">
        <f>IF(B546="","",CONCATENATE("GBL",B546," - ",Mantenedor!E550))</f>
        <v/>
      </c>
      <c r="P546" s="399" t="str">
        <f t="shared" si="32"/>
        <v/>
      </c>
      <c r="Q546" s="405" t="str" cm="1">
        <f t="array" ref="Q546">+_xlfn.IFS(O546="Nacional","CLP",O546="Extranjero","USD",O546="","")</f>
        <v/>
      </c>
      <c r="R546" s="406" t="str">
        <f>IFERROR(IF(O546="Nacional",VLOOKUP(P546,PRICING!$D$4:$E$59,2,FALSE),VLOOKUP(P546,PRICING!$J$4:$K$59,2,FALSE)),"")</f>
        <v/>
      </c>
      <c r="S546"/>
      <c r="U546" s="406" t="str">
        <f t="shared" si="33"/>
        <v/>
      </c>
      <c r="W546" s="408" t="str">
        <f t="shared" si="34"/>
        <v/>
      </c>
      <c r="X546" s="409" t="str">
        <f t="shared" si="35"/>
        <v/>
      </c>
    </row>
    <row r="547" spans="1:24" ht="16" x14ac:dyDescent="0.25">
      <c r="A547" s="399" t="str">
        <f>IF(B547="","",CONCATENATE("GBL",B547," - ",Mantenedor!E551))</f>
        <v/>
      </c>
      <c r="P547" s="399" t="str">
        <f t="shared" si="32"/>
        <v/>
      </c>
      <c r="Q547" s="405" t="str" cm="1">
        <f t="array" ref="Q547">+_xlfn.IFS(O547="Nacional","CLP",O547="Extranjero","USD",O547="","")</f>
        <v/>
      </c>
      <c r="R547" s="406" t="str">
        <f>IFERROR(IF(O547="Nacional",VLOOKUP(P547,PRICING!$D$4:$E$59,2,FALSE),VLOOKUP(P547,PRICING!$J$4:$K$59,2,FALSE)),"")</f>
        <v/>
      </c>
      <c r="S547"/>
      <c r="U547" s="406" t="str">
        <f t="shared" si="33"/>
        <v/>
      </c>
      <c r="W547" s="408" t="str">
        <f t="shared" si="34"/>
        <v/>
      </c>
      <c r="X547" s="409" t="str">
        <f t="shared" si="35"/>
        <v/>
      </c>
    </row>
    <row r="548" spans="1:24" ht="16" x14ac:dyDescent="0.25">
      <c r="A548" s="399" t="str">
        <f>IF(B548="","",CONCATENATE("GBL",B548," - ",Mantenedor!E552))</f>
        <v/>
      </c>
      <c r="P548" s="399" t="str">
        <f t="shared" si="32"/>
        <v/>
      </c>
      <c r="Q548" s="405" t="str" cm="1">
        <f t="array" ref="Q548">+_xlfn.IFS(O548="Nacional","CLP",O548="Extranjero","USD",O548="","")</f>
        <v/>
      </c>
      <c r="R548" s="406" t="str">
        <f>IFERROR(IF(O548="Nacional",VLOOKUP(P548,PRICING!$D$4:$E$59,2,FALSE),VLOOKUP(P548,PRICING!$J$4:$K$59,2,FALSE)),"")</f>
        <v/>
      </c>
      <c r="S548"/>
      <c r="U548" s="406" t="str">
        <f t="shared" si="33"/>
        <v/>
      </c>
      <c r="W548" s="408" t="str">
        <f t="shared" si="34"/>
        <v/>
      </c>
      <c r="X548" s="409" t="str">
        <f t="shared" si="35"/>
        <v/>
      </c>
    </row>
    <row r="549" spans="1:24" ht="16" x14ac:dyDescent="0.25">
      <c r="A549" s="399" t="str">
        <f>IF(B549="","",CONCATENATE("GBL",B549," - ",Mantenedor!E553))</f>
        <v/>
      </c>
      <c r="P549" s="399" t="str">
        <f t="shared" si="32"/>
        <v/>
      </c>
      <c r="Q549" s="405" t="str" cm="1">
        <f t="array" ref="Q549">+_xlfn.IFS(O549="Nacional","CLP",O549="Extranjero","USD",O549="","")</f>
        <v/>
      </c>
      <c r="R549" s="406" t="str">
        <f>IFERROR(IF(O549="Nacional",VLOOKUP(P549,PRICING!$D$4:$E$59,2,FALSE),VLOOKUP(P549,PRICING!$J$4:$K$59,2,FALSE)),"")</f>
        <v/>
      </c>
      <c r="S549"/>
      <c r="U549" s="406" t="str">
        <f t="shared" si="33"/>
        <v/>
      </c>
      <c r="W549" s="408" t="str">
        <f t="shared" si="34"/>
        <v/>
      </c>
      <c r="X549" s="409" t="str">
        <f t="shared" si="35"/>
        <v/>
      </c>
    </row>
    <row r="550" spans="1:24" ht="16" x14ac:dyDescent="0.25">
      <c r="A550" s="399" t="str">
        <f>IF(B550="","",CONCATENATE("GBL",B550," - ",Mantenedor!E554))</f>
        <v/>
      </c>
      <c r="P550" s="399" t="str">
        <f t="shared" si="32"/>
        <v/>
      </c>
      <c r="Q550" s="405" t="str" cm="1">
        <f t="array" ref="Q550">+_xlfn.IFS(O550="Nacional","CLP",O550="Extranjero","USD",O550="","")</f>
        <v/>
      </c>
      <c r="R550" s="406" t="str">
        <f>IFERROR(IF(O550="Nacional",VLOOKUP(P550,PRICING!$D$4:$E$59,2,FALSE),VLOOKUP(P550,PRICING!$J$4:$K$59,2,FALSE)),"")</f>
        <v/>
      </c>
      <c r="S550"/>
      <c r="U550" s="406" t="str">
        <f t="shared" si="33"/>
        <v/>
      </c>
      <c r="W550" s="408" t="str">
        <f t="shared" si="34"/>
        <v/>
      </c>
      <c r="X550" s="409" t="str">
        <f t="shared" si="35"/>
        <v/>
      </c>
    </row>
    <row r="551" spans="1:24" ht="16" x14ac:dyDescent="0.25">
      <c r="A551" s="399" t="str">
        <f>IF(B551="","",CONCATENATE("GBL",B551," - ",Mantenedor!E555))</f>
        <v/>
      </c>
      <c r="P551" s="399" t="str">
        <f t="shared" si="32"/>
        <v/>
      </c>
      <c r="Q551" s="405" t="str" cm="1">
        <f t="array" ref="Q551">+_xlfn.IFS(O551="Nacional","CLP",O551="Extranjero","USD",O551="","")</f>
        <v/>
      </c>
      <c r="R551" s="406" t="str">
        <f>IFERROR(IF(O551="Nacional",VLOOKUP(P551,PRICING!$D$4:$E$59,2,FALSE),VLOOKUP(P551,PRICING!$J$4:$K$59,2,FALSE)),"")</f>
        <v/>
      </c>
      <c r="S551"/>
      <c r="U551" s="406" t="str">
        <f t="shared" si="33"/>
        <v/>
      </c>
      <c r="W551" s="408" t="str">
        <f t="shared" si="34"/>
        <v/>
      </c>
      <c r="X551" s="409" t="str">
        <f t="shared" si="35"/>
        <v/>
      </c>
    </row>
    <row r="552" spans="1:24" ht="16" x14ac:dyDescent="0.25">
      <c r="A552" s="399" t="str">
        <f>IF(B552="","",CONCATENATE("GBL",B552," - ",Mantenedor!E556))</f>
        <v/>
      </c>
      <c r="P552" s="399" t="str">
        <f t="shared" si="32"/>
        <v/>
      </c>
      <c r="Q552" s="405" t="str" cm="1">
        <f t="array" ref="Q552">+_xlfn.IFS(O552="Nacional","CLP",O552="Extranjero","USD",O552="","")</f>
        <v/>
      </c>
      <c r="R552" s="406" t="str">
        <f>IFERROR(IF(O552="Nacional",VLOOKUP(P552,PRICING!$D$4:$E$59,2,FALSE),VLOOKUP(P552,PRICING!$J$4:$K$59,2,FALSE)),"")</f>
        <v/>
      </c>
      <c r="S552"/>
      <c r="U552" s="406" t="str">
        <f t="shared" si="33"/>
        <v/>
      </c>
      <c r="W552" s="408" t="str">
        <f t="shared" si="34"/>
        <v/>
      </c>
      <c r="X552" s="409" t="str">
        <f t="shared" si="35"/>
        <v/>
      </c>
    </row>
    <row r="553" spans="1:24" ht="16" x14ac:dyDescent="0.25">
      <c r="A553" s="399" t="str">
        <f>IF(B553="","",CONCATENATE("GBL",B553," - ",Mantenedor!E557))</f>
        <v/>
      </c>
      <c r="P553" s="399" t="str">
        <f t="shared" si="32"/>
        <v/>
      </c>
      <c r="Q553" s="405" t="str" cm="1">
        <f t="array" ref="Q553">+_xlfn.IFS(O553="Nacional","CLP",O553="Extranjero","USD",O553="","")</f>
        <v/>
      </c>
      <c r="R553" s="406" t="str">
        <f>IFERROR(IF(O553="Nacional",VLOOKUP(P553,PRICING!$D$4:$E$59,2,FALSE),VLOOKUP(P553,PRICING!$J$4:$K$59,2,FALSE)),"")</f>
        <v/>
      </c>
      <c r="S553"/>
      <c r="U553" s="406" t="str">
        <f t="shared" si="33"/>
        <v/>
      </c>
      <c r="W553" s="408" t="str">
        <f t="shared" si="34"/>
        <v/>
      </c>
      <c r="X553" s="409" t="str">
        <f t="shared" si="35"/>
        <v/>
      </c>
    </row>
    <row r="554" spans="1:24" ht="16" x14ac:dyDescent="0.25">
      <c r="A554" s="399" t="str">
        <f>IF(B554="","",CONCATENATE("GBL",B554," - ",Mantenedor!E558))</f>
        <v/>
      </c>
      <c r="P554" s="399" t="str">
        <f t="shared" si="32"/>
        <v/>
      </c>
      <c r="Q554" s="405" t="str" cm="1">
        <f t="array" ref="Q554">+_xlfn.IFS(O554="Nacional","CLP",O554="Extranjero","USD",O554="","")</f>
        <v/>
      </c>
      <c r="R554" s="406" t="str">
        <f>IFERROR(IF(O554="Nacional",VLOOKUP(P554,PRICING!$D$4:$E$59,2,FALSE),VLOOKUP(P554,PRICING!$J$4:$K$59,2,FALSE)),"")</f>
        <v/>
      </c>
      <c r="S554"/>
      <c r="U554" s="406" t="str">
        <f t="shared" si="33"/>
        <v/>
      </c>
      <c r="W554" s="408" t="str">
        <f t="shared" si="34"/>
        <v/>
      </c>
      <c r="X554" s="409" t="str">
        <f t="shared" si="35"/>
        <v/>
      </c>
    </row>
    <row r="555" spans="1:24" ht="16" x14ac:dyDescent="0.25">
      <c r="A555" s="399" t="str">
        <f>IF(B555="","",CONCATENATE("GBL",B555," - ",Mantenedor!E559))</f>
        <v/>
      </c>
      <c r="P555" s="399" t="str">
        <f t="shared" si="32"/>
        <v/>
      </c>
      <c r="Q555" s="405" t="str" cm="1">
        <f t="array" ref="Q555">+_xlfn.IFS(O555="Nacional","CLP",O555="Extranjero","USD",O555="","")</f>
        <v/>
      </c>
      <c r="R555" s="406" t="str">
        <f>IFERROR(IF(O555="Nacional",VLOOKUP(P555,PRICING!$D$4:$E$59,2,FALSE),VLOOKUP(P555,PRICING!$J$4:$K$59,2,FALSE)),"")</f>
        <v/>
      </c>
      <c r="S555"/>
      <c r="U555" s="406" t="str">
        <f t="shared" si="33"/>
        <v/>
      </c>
      <c r="W555" s="408" t="str">
        <f t="shared" si="34"/>
        <v/>
      </c>
      <c r="X555" s="409" t="str">
        <f t="shared" si="35"/>
        <v/>
      </c>
    </row>
    <row r="556" spans="1:24" ht="16" x14ac:dyDescent="0.25">
      <c r="A556" s="399" t="str">
        <f>IF(B556="","",CONCATENATE("GBL",B556," - ",Mantenedor!E560))</f>
        <v/>
      </c>
      <c r="P556" s="399" t="str">
        <f t="shared" si="32"/>
        <v/>
      </c>
      <c r="Q556" s="405" t="str" cm="1">
        <f t="array" ref="Q556">+_xlfn.IFS(O556="Nacional","CLP",O556="Extranjero","USD",O556="","")</f>
        <v/>
      </c>
      <c r="R556" s="406" t="str">
        <f>IFERROR(IF(O556="Nacional",VLOOKUP(P556,PRICING!$D$4:$E$59,2,FALSE),VLOOKUP(P556,PRICING!$J$4:$K$59,2,FALSE)),"")</f>
        <v/>
      </c>
      <c r="S556"/>
      <c r="U556" s="406" t="str">
        <f t="shared" si="33"/>
        <v/>
      </c>
      <c r="W556" s="408" t="str">
        <f t="shared" si="34"/>
        <v/>
      </c>
      <c r="X556" s="409" t="str">
        <f t="shared" si="35"/>
        <v/>
      </c>
    </row>
    <row r="557" spans="1:24" ht="16" x14ac:dyDescent="0.25">
      <c r="A557" s="399" t="str">
        <f>IF(B557="","",CONCATENATE("GBL",B557," - ",Mantenedor!E561))</f>
        <v/>
      </c>
      <c r="P557" s="399" t="str">
        <f t="shared" si="32"/>
        <v/>
      </c>
      <c r="Q557" s="405" t="str" cm="1">
        <f t="array" ref="Q557">+_xlfn.IFS(O557="Nacional","CLP",O557="Extranjero","USD",O557="","")</f>
        <v/>
      </c>
      <c r="R557" s="406" t="str">
        <f>IFERROR(IF(O557="Nacional",VLOOKUP(P557,PRICING!$D$4:$E$59,2,FALSE),VLOOKUP(P557,PRICING!$J$4:$K$59,2,FALSE)),"")</f>
        <v/>
      </c>
      <c r="S557"/>
      <c r="U557" s="406" t="str">
        <f t="shared" si="33"/>
        <v/>
      </c>
      <c r="W557" s="408" t="str">
        <f t="shared" si="34"/>
        <v/>
      </c>
      <c r="X557" s="409" t="str">
        <f t="shared" si="35"/>
        <v/>
      </c>
    </row>
    <row r="558" spans="1:24" ht="16" x14ac:dyDescent="0.25">
      <c r="A558" s="399" t="str">
        <f>IF(B558="","",CONCATENATE("GBL",B558," - ",Mantenedor!E562))</f>
        <v/>
      </c>
      <c r="P558" s="399" t="str">
        <f t="shared" si="32"/>
        <v/>
      </c>
      <c r="Q558" s="405" t="str" cm="1">
        <f t="array" ref="Q558">+_xlfn.IFS(O558="Nacional","CLP",O558="Extranjero","USD",O558="","")</f>
        <v/>
      </c>
      <c r="R558" s="406" t="str">
        <f>IFERROR(IF(O558="Nacional",VLOOKUP(P558,PRICING!$D$4:$E$59,2,FALSE),VLOOKUP(P558,PRICING!$J$4:$K$59,2,FALSE)),"")</f>
        <v/>
      </c>
      <c r="S558"/>
      <c r="U558" s="406" t="str">
        <f t="shared" si="33"/>
        <v/>
      </c>
      <c r="W558" s="408" t="str">
        <f t="shared" si="34"/>
        <v/>
      </c>
      <c r="X558" s="409" t="str">
        <f t="shared" si="35"/>
        <v/>
      </c>
    </row>
    <row r="559" spans="1:24" ht="16" x14ac:dyDescent="0.25">
      <c r="A559" s="399" t="str">
        <f>IF(B559="","",CONCATENATE("GBL",B559," - ",Mantenedor!E563))</f>
        <v/>
      </c>
      <c r="P559" s="399" t="str">
        <f t="shared" si="32"/>
        <v/>
      </c>
      <c r="Q559" s="405" t="str" cm="1">
        <f t="array" ref="Q559">+_xlfn.IFS(O559="Nacional","CLP",O559="Extranjero","USD",O559="","")</f>
        <v/>
      </c>
      <c r="R559" s="406" t="str">
        <f>IFERROR(IF(O559="Nacional",VLOOKUP(P559,PRICING!$D$4:$E$59,2,FALSE),VLOOKUP(P559,PRICING!$J$4:$K$59,2,FALSE)),"")</f>
        <v/>
      </c>
      <c r="S559"/>
      <c r="U559" s="406" t="str">
        <f t="shared" si="33"/>
        <v/>
      </c>
      <c r="W559" s="408" t="str">
        <f t="shared" si="34"/>
        <v/>
      </c>
      <c r="X559" s="409" t="str">
        <f t="shared" si="35"/>
        <v/>
      </c>
    </row>
    <row r="560" spans="1:24" ht="16" x14ac:dyDescent="0.25">
      <c r="A560" s="399" t="str">
        <f>IF(B560="","",CONCATENATE("GBL",B560," - ",Mantenedor!E564))</f>
        <v/>
      </c>
      <c r="P560" s="399" t="str">
        <f t="shared" si="32"/>
        <v/>
      </c>
      <c r="Q560" s="405" t="str" cm="1">
        <f t="array" ref="Q560">+_xlfn.IFS(O560="Nacional","CLP",O560="Extranjero","USD",O560="","")</f>
        <v/>
      </c>
      <c r="R560" s="406" t="str">
        <f>IFERROR(IF(O560="Nacional",VLOOKUP(P560,PRICING!$D$4:$E$59,2,FALSE),VLOOKUP(P560,PRICING!$J$4:$K$59,2,FALSE)),"")</f>
        <v/>
      </c>
      <c r="S560"/>
      <c r="U560" s="406" t="str">
        <f t="shared" si="33"/>
        <v/>
      </c>
      <c r="W560" s="408" t="str">
        <f t="shared" si="34"/>
        <v/>
      </c>
      <c r="X560" s="409" t="str">
        <f t="shared" si="35"/>
        <v/>
      </c>
    </row>
    <row r="561" spans="1:24" ht="16" x14ac:dyDescent="0.25">
      <c r="A561" s="399" t="str">
        <f>IF(B561="","",CONCATENATE("GBL",B561," - ",Mantenedor!E565))</f>
        <v/>
      </c>
      <c r="P561" s="399" t="str">
        <f t="shared" si="32"/>
        <v/>
      </c>
      <c r="Q561" s="405" t="str" cm="1">
        <f t="array" ref="Q561">+_xlfn.IFS(O561="Nacional","CLP",O561="Extranjero","USD",O561="","")</f>
        <v/>
      </c>
      <c r="R561" s="406" t="str">
        <f>IFERROR(IF(O561="Nacional",VLOOKUP(P561,PRICING!$D$4:$E$59,2,FALSE),VLOOKUP(P561,PRICING!$J$4:$K$59,2,FALSE)),"")</f>
        <v/>
      </c>
      <c r="S561"/>
      <c r="U561" s="406" t="str">
        <f t="shared" si="33"/>
        <v/>
      </c>
      <c r="W561" s="408" t="str">
        <f t="shared" si="34"/>
        <v/>
      </c>
      <c r="X561" s="409" t="str">
        <f t="shared" si="35"/>
        <v/>
      </c>
    </row>
    <row r="562" spans="1:24" ht="16" x14ac:dyDescent="0.25">
      <c r="A562" s="399" t="str">
        <f>IF(B562="","",CONCATENATE("GBL",B562," - ",Mantenedor!E566))</f>
        <v/>
      </c>
      <c r="P562" s="399" t="str">
        <f t="shared" si="32"/>
        <v/>
      </c>
      <c r="Q562" s="405" t="str" cm="1">
        <f t="array" ref="Q562">+_xlfn.IFS(O562="Nacional","CLP",O562="Extranjero","USD",O562="","")</f>
        <v/>
      </c>
      <c r="R562" s="406" t="str">
        <f>IFERROR(IF(O562="Nacional",VLOOKUP(P562,PRICING!$D$4:$E$59,2,FALSE),VLOOKUP(P562,PRICING!$J$4:$K$59,2,FALSE)),"")</f>
        <v/>
      </c>
      <c r="S562"/>
      <c r="U562" s="406" t="str">
        <f t="shared" si="33"/>
        <v/>
      </c>
      <c r="W562" s="408" t="str">
        <f t="shared" si="34"/>
        <v/>
      </c>
      <c r="X562" s="409" t="str">
        <f t="shared" si="35"/>
        <v/>
      </c>
    </row>
    <row r="563" spans="1:24" ht="16" x14ac:dyDescent="0.25">
      <c r="A563" s="399" t="str">
        <f>IF(B563="","",CONCATENATE("GBL",B563," - ",Mantenedor!E567))</f>
        <v/>
      </c>
      <c r="P563" s="399" t="str">
        <f t="shared" si="32"/>
        <v/>
      </c>
      <c r="Q563" s="405" t="str" cm="1">
        <f t="array" ref="Q563">+_xlfn.IFS(O563="Nacional","CLP",O563="Extranjero","USD",O563="","")</f>
        <v/>
      </c>
      <c r="R563" s="406" t="str">
        <f>IFERROR(IF(O563="Nacional",VLOOKUP(P563,PRICING!$D$4:$E$59,2,FALSE),VLOOKUP(P563,PRICING!$J$4:$K$59,2,FALSE)),"")</f>
        <v/>
      </c>
      <c r="S563"/>
      <c r="U563" s="406" t="str">
        <f t="shared" si="33"/>
        <v/>
      </c>
      <c r="W563" s="408" t="str">
        <f t="shared" si="34"/>
        <v/>
      </c>
      <c r="X563" s="409" t="str">
        <f t="shared" si="35"/>
        <v/>
      </c>
    </row>
    <row r="564" spans="1:24" ht="16" x14ac:dyDescent="0.25">
      <c r="A564" s="399" t="str">
        <f>IF(B564="","",CONCATENATE("GBL",B564," - ",Mantenedor!E568))</f>
        <v/>
      </c>
      <c r="P564" s="399" t="str">
        <f t="shared" si="32"/>
        <v/>
      </c>
      <c r="Q564" s="405" t="str" cm="1">
        <f t="array" ref="Q564">+_xlfn.IFS(O564="Nacional","CLP",O564="Extranjero","USD",O564="","")</f>
        <v/>
      </c>
      <c r="R564" s="406" t="str">
        <f>IFERROR(IF(O564="Nacional",VLOOKUP(P564,PRICING!$D$4:$E$59,2,FALSE),VLOOKUP(P564,PRICING!$J$4:$K$59,2,FALSE)),"")</f>
        <v/>
      </c>
      <c r="S564"/>
      <c r="U564" s="406" t="str">
        <f t="shared" si="33"/>
        <v/>
      </c>
      <c r="W564" s="408" t="str">
        <f t="shared" si="34"/>
        <v/>
      </c>
      <c r="X564" s="409" t="str">
        <f t="shared" si="35"/>
        <v/>
      </c>
    </row>
    <row r="565" spans="1:24" ht="16" x14ac:dyDescent="0.25">
      <c r="A565" s="399" t="str">
        <f>IF(B565="","",CONCATENATE("GBL",B565," - ",Mantenedor!E569))</f>
        <v/>
      </c>
      <c r="P565" s="399" t="str">
        <f t="shared" si="32"/>
        <v/>
      </c>
      <c r="Q565" s="405" t="str" cm="1">
        <f t="array" ref="Q565">+_xlfn.IFS(O565="Nacional","CLP",O565="Extranjero","USD",O565="","")</f>
        <v/>
      </c>
      <c r="R565" s="406" t="str">
        <f>IFERROR(IF(O565="Nacional",VLOOKUP(P565,PRICING!$D$4:$E$59,2,FALSE),VLOOKUP(P565,PRICING!$J$4:$K$59,2,FALSE)),"")</f>
        <v/>
      </c>
      <c r="S565"/>
      <c r="U565" s="406" t="str">
        <f t="shared" si="33"/>
        <v/>
      </c>
      <c r="W565" s="408" t="str">
        <f t="shared" si="34"/>
        <v/>
      </c>
      <c r="X565" s="409" t="str">
        <f t="shared" si="35"/>
        <v/>
      </c>
    </row>
    <row r="566" spans="1:24" ht="16" x14ac:dyDescent="0.25">
      <c r="A566" s="399" t="str">
        <f>IF(B566="","",CONCATENATE("GBL",B566," - ",Mantenedor!E570))</f>
        <v/>
      </c>
      <c r="P566" s="399" t="str">
        <f t="shared" si="32"/>
        <v/>
      </c>
      <c r="Q566" s="405" t="str" cm="1">
        <f t="array" ref="Q566">+_xlfn.IFS(O566="Nacional","CLP",O566="Extranjero","USD",O566="","")</f>
        <v/>
      </c>
      <c r="R566" s="406" t="str">
        <f>IFERROR(IF(O566="Nacional",VLOOKUP(P566,PRICING!$D$4:$E$59,2,FALSE),VLOOKUP(P566,PRICING!$J$4:$K$59,2,FALSE)),"")</f>
        <v/>
      </c>
      <c r="S566"/>
      <c r="U566" s="406" t="str">
        <f t="shared" si="33"/>
        <v/>
      </c>
      <c r="W566" s="408" t="str">
        <f t="shared" si="34"/>
        <v/>
      </c>
      <c r="X566" s="409" t="str">
        <f t="shared" si="35"/>
        <v/>
      </c>
    </row>
    <row r="567" spans="1:24" ht="16" x14ac:dyDescent="0.25">
      <c r="A567" s="399" t="str">
        <f>IF(B567="","",CONCATENATE("GBL",B567," - ",Mantenedor!E571))</f>
        <v/>
      </c>
      <c r="P567" s="399" t="str">
        <f t="shared" si="32"/>
        <v/>
      </c>
      <c r="Q567" s="405" t="str" cm="1">
        <f t="array" ref="Q567">+_xlfn.IFS(O567="Nacional","CLP",O567="Extranjero","USD",O567="","")</f>
        <v/>
      </c>
      <c r="R567" s="406" t="str">
        <f>IFERROR(IF(O567="Nacional",VLOOKUP(P567,PRICING!$D$4:$E$59,2,FALSE),VLOOKUP(P567,PRICING!$J$4:$K$59,2,FALSE)),"")</f>
        <v/>
      </c>
      <c r="S567"/>
      <c r="U567" s="406" t="str">
        <f t="shared" si="33"/>
        <v/>
      </c>
      <c r="W567" s="408" t="str">
        <f t="shared" si="34"/>
        <v/>
      </c>
      <c r="X567" s="409" t="str">
        <f t="shared" si="35"/>
        <v/>
      </c>
    </row>
    <row r="568" spans="1:24" ht="16" x14ac:dyDescent="0.25">
      <c r="A568" s="399" t="str">
        <f>IF(B568="","",CONCATENATE("GBL",B568," - ",Mantenedor!E572))</f>
        <v/>
      </c>
      <c r="P568" s="399" t="str">
        <f t="shared" si="32"/>
        <v/>
      </c>
      <c r="Q568" s="405" t="str" cm="1">
        <f t="array" ref="Q568">+_xlfn.IFS(O568="Nacional","CLP",O568="Extranjero","USD",O568="","")</f>
        <v/>
      </c>
      <c r="R568" s="406" t="str">
        <f>IFERROR(IF(O568="Nacional",VLOOKUP(P568,PRICING!$D$4:$E$59,2,FALSE),VLOOKUP(P568,PRICING!$J$4:$K$59,2,FALSE)),"")</f>
        <v/>
      </c>
      <c r="S568"/>
      <c r="U568" s="406" t="str">
        <f t="shared" si="33"/>
        <v/>
      </c>
      <c r="W568" s="408" t="str">
        <f t="shared" si="34"/>
        <v/>
      </c>
      <c r="X568" s="409" t="str">
        <f t="shared" si="35"/>
        <v/>
      </c>
    </row>
    <row r="569" spans="1:24" ht="16" x14ac:dyDescent="0.25">
      <c r="A569" s="399" t="str">
        <f>IF(B569="","",CONCATENATE("GBL",B569," - ",Mantenedor!E573))</f>
        <v/>
      </c>
      <c r="P569" s="399" t="str">
        <f t="shared" si="32"/>
        <v/>
      </c>
      <c r="Q569" s="405" t="str" cm="1">
        <f t="array" ref="Q569">+_xlfn.IFS(O569="Nacional","CLP",O569="Extranjero","USD",O569="","")</f>
        <v/>
      </c>
      <c r="R569" s="406" t="str">
        <f>IFERROR(IF(O569="Nacional",VLOOKUP(P569,PRICING!$D$4:$E$59,2,FALSE),VLOOKUP(P569,PRICING!$J$4:$K$59,2,FALSE)),"")</f>
        <v/>
      </c>
      <c r="S569"/>
      <c r="U569" s="406" t="str">
        <f t="shared" si="33"/>
        <v/>
      </c>
      <c r="W569" s="408" t="str">
        <f t="shared" si="34"/>
        <v/>
      </c>
      <c r="X569" s="409" t="str">
        <f t="shared" si="35"/>
        <v/>
      </c>
    </row>
    <row r="570" spans="1:24" ht="16" x14ac:dyDescent="0.25">
      <c r="A570" s="399" t="str">
        <f>IF(B570="","",CONCATENATE("GBL",B570," - ",Mantenedor!E574))</f>
        <v/>
      </c>
      <c r="P570" s="399" t="str">
        <f t="shared" si="32"/>
        <v/>
      </c>
      <c r="Q570" s="405" t="str" cm="1">
        <f t="array" ref="Q570">+_xlfn.IFS(O570="Nacional","CLP",O570="Extranjero","USD",O570="","")</f>
        <v/>
      </c>
      <c r="R570" s="406" t="str">
        <f>IFERROR(IF(O570="Nacional",VLOOKUP(P570,PRICING!$D$4:$E$59,2,FALSE),VLOOKUP(P570,PRICING!$J$4:$K$59,2,FALSE)),"")</f>
        <v/>
      </c>
      <c r="S570"/>
      <c r="U570" s="406" t="str">
        <f t="shared" si="33"/>
        <v/>
      </c>
      <c r="W570" s="408" t="str">
        <f t="shared" si="34"/>
        <v/>
      </c>
      <c r="X570" s="409" t="str">
        <f t="shared" si="35"/>
        <v/>
      </c>
    </row>
    <row r="571" spans="1:24" ht="16" x14ac:dyDescent="0.25">
      <c r="A571" s="399" t="str">
        <f>IF(B571="","",CONCATENATE("GBL",B571," - ",Mantenedor!E575))</f>
        <v/>
      </c>
      <c r="P571" s="399" t="str">
        <f t="shared" si="32"/>
        <v/>
      </c>
      <c r="Q571" s="405" t="str" cm="1">
        <f t="array" ref="Q571">+_xlfn.IFS(O571="Nacional","CLP",O571="Extranjero","USD",O571="","")</f>
        <v/>
      </c>
      <c r="R571" s="406" t="str">
        <f>IFERROR(IF(O571="Nacional",VLOOKUP(P571,PRICING!$D$4:$E$59,2,FALSE),VLOOKUP(P571,PRICING!$J$4:$K$59,2,FALSE)),"")</f>
        <v/>
      </c>
      <c r="S571"/>
      <c r="U571" s="406" t="str">
        <f t="shared" si="33"/>
        <v/>
      </c>
      <c r="W571" s="408" t="str">
        <f t="shared" si="34"/>
        <v/>
      </c>
      <c r="X571" s="409" t="str">
        <f t="shared" si="35"/>
        <v/>
      </c>
    </row>
    <row r="572" spans="1:24" ht="16" x14ac:dyDescent="0.25">
      <c r="A572" s="399" t="str">
        <f>IF(B572="","",CONCATENATE("GBL",B572," - ",Mantenedor!E576))</f>
        <v/>
      </c>
      <c r="P572" s="399" t="str">
        <f t="shared" si="32"/>
        <v/>
      </c>
      <c r="Q572" s="405" t="str" cm="1">
        <f t="array" ref="Q572">+_xlfn.IFS(O572="Nacional","CLP",O572="Extranjero","USD",O572="","")</f>
        <v/>
      </c>
      <c r="R572" s="406" t="str">
        <f>IFERROR(IF(O572="Nacional",VLOOKUP(P572,PRICING!$D$4:$E$59,2,FALSE),VLOOKUP(P572,PRICING!$J$4:$K$59,2,FALSE)),"")</f>
        <v/>
      </c>
      <c r="S572"/>
      <c r="U572" s="406" t="str">
        <f t="shared" si="33"/>
        <v/>
      </c>
      <c r="W572" s="408" t="str">
        <f t="shared" si="34"/>
        <v/>
      </c>
      <c r="X572" s="409" t="str">
        <f t="shared" si="35"/>
        <v/>
      </c>
    </row>
    <row r="573" spans="1:24" ht="16" x14ac:dyDescent="0.25">
      <c r="A573" s="399" t="str">
        <f>IF(B573="","",CONCATENATE("GBL",B573," - ",Mantenedor!E577))</f>
        <v/>
      </c>
      <c r="P573" s="399" t="str">
        <f t="shared" si="32"/>
        <v/>
      </c>
      <c r="Q573" s="405" t="str" cm="1">
        <f t="array" ref="Q573">+_xlfn.IFS(O573="Nacional","CLP",O573="Extranjero","USD",O573="","")</f>
        <v/>
      </c>
      <c r="R573" s="406" t="str">
        <f>IFERROR(IF(O573="Nacional",VLOOKUP(P573,PRICING!$D$4:$E$59,2,FALSE),VLOOKUP(P573,PRICING!$J$4:$K$59,2,FALSE)),"")</f>
        <v/>
      </c>
      <c r="S573"/>
      <c r="U573" s="406" t="str">
        <f t="shared" si="33"/>
        <v/>
      </c>
      <c r="W573" s="408" t="str">
        <f t="shared" si="34"/>
        <v/>
      </c>
      <c r="X573" s="409" t="str">
        <f t="shared" si="35"/>
        <v/>
      </c>
    </row>
    <row r="574" spans="1:24" ht="16" x14ac:dyDescent="0.25">
      <c r="A574" s="399" t="str">
        <f>IF(B574="","",CONCATENATE("GBL",B574," - ",Mantenedor!E578))</f>
        <v/>
      </c>
      <c r="P574" s="399" t="str">
        <f t="shared" si="32"/>
        <v/>
      </c>
      <c r="Q574" s="405" t="str" cm="1">
        <f t="array" ref="Q574">+_xlfn.IFS(O574="Nacional","CLP",O574="Extranjero","USD",O574="","")</f>
        <v/>
      </c>
      <c r="R574" s="406" t="str">
        <f>IFERROR(IF(O574="Nacional",VLOOKUP(P574,PRICING!$D$4:$E$59,2,FALSE),VLOOKUP(P574,PRICING!$J$4:$K$59,2,FALSE)),"")</f>
        <v/>
      </c>
      <c r="S574"/>
      <c r="U574" s="406" t="str">
        <f t="shared" si="33"/>
        <v/>
      </c>
      <c r="W574" s="408" t="str">
        <f t="shared" si="34"/>
        <v/>
      </c>
      <c r="X574" s="409" t="str">
        <f t="shared" si="35"/>
        <v/>
      </c>
    </row>
    <row r="575" spans="1:24" ht="16" x14ac:dyDescent="0.25">
      <c r="A575" s="399" t="str">
        <f>IF(B575="","",CONCATENATE("GBL",B575," - ",Mantenedor!E579))</f>
        <v/>
      </c>
      <c r="P575" s="399" t="str">
        <f t="shared" ref="P575:P638" si="36">IF(N575="","",(IF(L575=1,(CONCATENATE("Base ",N575," ",L575," noche")),(CONCATENATE("Base ",N575," ",L575," noches")))))</f>
        <v/>
      </c>
      <c r="Q575" s="405" t="str" cm="1">
        <f t="array" ref="Q575">+_xlfn.IFS(O575="Nacional","CLP",O575="Extranjero","USD",O575="","")</f>
        <v/>
      </c>
      <c r="R575" s="406" t="str">
        <f>IFERROR(IF(O575="Nacional",VLOOKUP(P575,PRICING!$D$4:$E$59,2,FALSE),VLOOKUP(P575,PRICING!$J$4:$K$59,2,FALSE)),"")</f>
        <v/>
      </c>
      <c r="S575"/>
      <c r="U575" s="406" t="str">
        <f t="shared" ref="U575:U638" si="37">IFERROR(+R575*(1-S575),"")</f>
        <v/>
      </c>
      <c r="W575" s="408" t="str">
        <f t="shared" ref="W575:W638" si="38">+IF(U575="","","50"%)</f>
        <v/>
      </c>
      <c r="X575" s="409" t="str">
        <f t="shared" si="35"/>
        <v/>
      </c>
    </row>
    <row r="576" spans="1:24" ht="16" x14ac:dyDescent="0.25">
      <c r="A576" s="399" t="str">
        <f>IF(B576="","",CONCATENATE("GBL",B576," - ",Mantenedor!E580))</f>
        <v/>
      </c>
      <c r="P576" s="399" t="str">
        <f t="shared" si="36"/>
        <v/>
      </c>
      <c r="Q576" s="405" t="str" cm="1">
        <f t="array" ref="Q576">+_xlfn.IFS(O576="Nacional","CLP",O576="Extranjero","USD",O576="","")</f>
        <v/>
      </c>
      <c r="R576" s="406" t="str">
        <f>IFERROR(IF(O576="Nacional",VLOOKUP(P576,PRICING!$D$4:$E$59,2,FALSE),VLOOKUP(P576,PRICING!$J$4:$K$59,2,FALSE)),"")</f>
        <v/>
      </c>
      <c r="S576"/>
      <c r="U576" s="406" t="str">
        <f t="shared" si="37"/>
        <v/>
      </c>
      <c r="W576" s="408" t="str">
        <f t="shared" si="38"/>
        <v/>
      </c>
      <c r="X576" s="409" t="str">
        <f t="shared" ref="X576:X639" si="39">+IF(W576="","",(1-W576))</f>
        <v/>
      </c>
    </row>
    <row r="577" spans="1:24" ht="16" x14ac:dyDescent="0.25">
      <c r="A577" s="399" t="str">
        <f>IF(B577="","",CONCATENATE("GBL",B577," - ",Mantenedor!E581))</f>
        <v/>
      </c>
      <c r="P577" s="399" t="str">
        <f t="shared" si="36"/>
        <v/>
      </c>
      <c r="Q577" s="405" t="str" cm="1">
        <f t="array" ref="Q577">+_xlfn.IFS(O577="Nacional","CLP",O577="Extranjero","USD",O577="","")</f>
        <v/>
      </c>
      <c r="R577" s="406" t="str">
        <f>IFERROR(IF(O577="Nacional",VLOOKUP(P577,PRICING!$D$4:$E$59,2,FALSE),VLOOKUP(P577,PRICING!$J$4:$K$59,2,FALSE)),"")</f>
        <v/>
      </c>
      <c r="S577"/>
      <c r="U577" s="406" t="str">
        <f t="shared" si="37"/>
        <v/>
      </c>
      <c r="W577" s="408" t="str">
        <f t="shared" si="38"/>
        <v/>
      </c>
      <c r="X577" s="409" t="str">
        <f t="shared" si="39"/>
        <v/>
      </c>
    </row>
    <row r="578" spans="1:24" ht="16" x14ac:dyDescent="0.25">
      <c r="A578" s="399" t="str">
        <f>IF(B578="","",CONCATENATE("GBL",B578," - ",Mantenedor!E582))</f>
        <v/>
      </c>
      <c r="P578" s="399" t="str">
        <f t="shared" si="36"/>
        <v/>
      </c>
      <c r="Q578" s="405" t="str" cm="1">
        <f t="array" ref="Q578">+_xlfn.IFS(O578="Nacional","CLP",O578="Extranjero","USD",O578="","")</f>
        <v/>
      </c>
      <c r="R578" s="406" t="str">
        <f>IFERROR(IF(O578="Nacional",VLOOKUP(P578,PRICING!$D$4:$E$59,2,FALSE),VLOOKUP(P578,PRICING!$J$4:$K$59,2,FALSE)),"")</f>
        <v/>
      </c>
      <c r="S578"/>
      <c r="U578" s="406" t="str">
        <f t="shared" si="37"/>
        <v/>
      </c>
      <c r="W578" s="408" t="str">
        <f t="shared" si="38"/>
        <v/>
      </c>
      <c r="X578" s="409" t="str">
        <f t="shared" si="39"/>
        <v/>
      </c>
    </row>
    <row r="579" spans="1:24" ht="16" x14ac:dyDescent="0.25">
      <c r="A579" s="399" t="str">
        <f>IF(B579="","",CONCATENATE("GBL",B579," - ",Mantenedor!E583))</f>
        <v/>
      </c>
      <c r="P579" s="399" t="str">
        <f t="shared" si="36"/>
        <v/>
      </c>
      <c r="Q579" s="405" t="str" cm="1">
        <f t="array" ref="Q579">+_xlfn.IFS(O579="Nacional","CLP",O579="Extranjero","USD",O579="","")</f>
        <v/>
      </c>
      <c r="R579" s="406" t="str">
        <f>IFERROR(IF(O579="Nacional",VLOOKUP(P579,PRICING!$D$4:$E$59,2,FALSE),VLOOKUP(P579,PRICING!$J$4:$K$59,2,FALSE)),"")</f>
        <v/>
      </c>
      <c r="S579"/>
      <c r="U579" s="406" t="str">
        <f t="shared" si="37"/>
        <v/>
      </c>
      <c r="W579" s="408" t="str">
        <f t="shared" si="38"/>
        <v/>
      </c>
      <c r="X579" s="409" t="str">
        <f t="shared" si="39"/>
        <v/>
      </c>
    </row>
    <row r="580" spans="1:24" ht="16" x14ac:dyDescent="0.25">
      <c r="A580" s="399" t="str">
        <f>IF(B580="","",CONCATENATE("GBL",B580," - ",Mantenedor!E584))</f>
        <v/>
      </c>
      <c r="P580" s="399" t="str">
        <f t="shared" si="36"/>
        <v/>
      </c>
      <c r="Q580" s="405" t="str" cm="1">
        <f t="array" ref="Q580">+_xlfn.IFS(O580="Nacional","CLP",O580="Extranjero","USD",O580="","")</f>
        <v/>
      </c>
      <c r="R580" s="406" t="str">
        <f>IFERROR(IF(O580="Nacional",VLOOKUP(P580,PRICING!$D$4:$E$59,2,FALSE),VLOOKUP(P580,PRICING!$J$4:$K$59,2,FALSE)),"")</f>
        <v/>
      </c>
      <c r="S580"/>
      <c r="U580" s="406" t="str">
        <f t="shared" si="37"/>
        <v/>
      </c>
      <c r="W580" s="408" t="str">
        <f t="shared" si="38"/>
        <v/>
      </c>
      <c r="X580" s="409" t="str">
        <f t="shared" si="39"/>
        <v/>
      </c>
    </row>
    <row r="581" spans="1:24" ht="16" x14ac:dyDescent="0.25">
      <c r="A581" s="399" t="str">
        <f>IF(B581="","",CONCATENATE("GBL",B581," - ",Mantenedor!E585))</f>
        <v/>
      </c>
      <c r="P581" s="399" t="str">
        <f t="shared" si="36"/>
        <v/>
      </c>
      <c r="Q581" s="405" t="str" cm="1">
        <f t="array" ref="Q581">+_xlfn.IFS(O581="Nacional","CLP",O581="Extranjero","USD",O581="","")</f>
        <v/>
      </c>
      <c r="R581" s="406" t="str">
        <f>IFERROR(IF(O581="Nacional",VLOOKUP(P581,PRICING!$D$4:$E$59,2,FALSE),VLOOKUP(P581,PRICING!$J$4:$K$59,2,FALSE)),"")</f>
        <v/>
      </c>
      <c r="S581"/>
      <c r="U581" s="406" t="str">
        <f t="shared" si="37"/>
        <v/>
      </c>
      <c r="W581" s="408" t="str">
        <f t="shared" si="38"/>
        <v/>
      </c>
      <c r="X581" s="409" t="str">
        <f t="shared" si="39"/>
        <v/>
      </c>
    </row>
    <row r="582" spans="1:24" ht="16" x14ac:dyDescent="0.25">
      <c r="A582" s="399" t="str">
        <f>IF(B582="","",CONCATENATE("GBL",B582," - ",Mantenedor!E586))</f>
        <v/>
      </c>
      <c r="P582" s="399" t="str">
        <f t="shared" si="36"/>
        <v/>
      </c>
      <c r="Q582" s="405" t="str" cm="1">
        <f t="array" ref="Q582">+_xlfn.IFS(O582="Nacional","CLP",O582="Extranjero","USD",O582="","")</f>
        <v/>
      </c>
      <c r="R582" s="406" t="str">
        <f>IFERROR(IF(O582="Nacional",VLOOKUP(P582,PRICING!$D$4:$E$59,2,FALSE),VLOOKUP(P582,PRICING!$J$4:$K$59,2,FALSE)),"")</f>
        <v/>
      </c>
      <c r="S582"/>
      <c r="U582" s="406" t="str">
        <f t="shared" si="37"/>
        <v/>
      </c>
      <c r="W582" s="408" t="str">
        <f t="shared" si="38"/>
        <v/>
      </c>
      <c r="X582" s="409" t="str">
        <f t="shared" si="39"/>
        <v/>
      </c>
    </row>
    <row r="583" spans="1:24" ht="16" x14ac:dyDescent="0.25">
      <c r="A583" s="399" t="str">
        <f>IF(B583="","",CONCATENATE("GBL",B583," - ",Mantenedor!E587))</f>
        <v/>
      </c>
      <c r="P583" s="399" t="str">
        <f t="shared" si="36"/>
        <v/>
      </c>
      <c r="Q583" s="405" t="str" cm="1">
        <f t="array" ref="Q583">+_xlfn.IFS(O583="Nacional","CLP",O583="Extranjero","USD",O583="","")</f>
        <v/>
      </c>
      <c r="R583" s="406" t="str">
        <f>IFERROR(IF(O583="Nacional",VLOOKUP(P583,PRICING!$D$4:$E$59,2,FALSE),VLOOKUP(P583,PRICING!$J$4:$K$59,2,FALSE)),"")</f>
        <v/>
      </c>
      <c r="S583"/>
      <c r="U583" s="406" t="str">
        <f t="shared" si="37"/>
        <v/>
      </c>
      <c r="W583" s="408" t="str">
        <f t="shared" si="38"/>
        <v/>
      </c>
      <c r="X583" s="409" t="str">
        <f t="shared" si="39"/>
        <v/>
      </c>
    </row>
    <row r="584" spans="1:24" ht="16" x14ac:dyDescent="0.25">
      <c r="A584" s="399" t="str">
        <f>IF(B584="","",CONCATENATE("GBL",B584," - ",Mantenedor!E588))</f>
        <v/>
      </c>
      <c r="P584" s="399" t="str">
        <f t="shared" si="36"/>
        <v/>
      </c>
      <c r="Q584" s="405" t="str" cm="1">
        <f t="array" ref="Q584">+_xlfn.IFS(O584="Nacional","CLP",O584="Extranjero","USD",O584="","")</f>
        <v/>
      </c>
      <c r="R584" s="406" t="str">
        <f>IFERROR(IF(O584="Nacional",VLOOKUP(P584,PRICING!$D$4:$E$59,2,FALSE),VLOOKUP(P584,PRICING!$J$4:$K$59,2,FALSE)),"")</f>
        <v/>
      </c>
      <c r="S584"/>
      <c r="U584" s="406" t="str">
        <f t="shared" si="37"/>
        <v/>
      </c>
      <c r="W584" s="408" t="str">
        <f t="shared" si="38"/>
        <v/>
      </c>
      <c r="X584" s="409" t="str">
        <f t="shared" si="39"/>
        <v/>
      </c>
    </row>
    <row r="585" spans="1:24" ht="16" x14ac:dyDescent="0.25">
      <c r="A585" s="399" t="str">
        <f>IF(B585="","",CONCATENATE("GBL",B585," - ",Mantenedor!E589))</f>
        <v/>
      </c>
      <c r="P585" s="399" t="str">
        <f t="shared" si="36"/>
        <v/>
      </c>
      <c r="Q585" s="405" t="str" cm="1">
        <f t="array" ref="Q585">+_xlfn.IFS(O585="Nacional","CLP",O585="Extranjero","USD",O585="","")</f>
        <v/>
      </c>
      <c r="R585" s="406" t="str">
        <f>IFERROR(IF(O585="Nacional",VLOOKUP(P585,PRICING!$D$4:$E$59,2,FALSE),VLOOKUP(P585,PRICING!$J$4:$K$59,2,FALSE)),"")</f>
        <v/>
      </c>
      <c r="S585"/>
      <c r="U585" s="406" t="str">
        <f t="shared" si="37"/>
        <v/>
      </c>
      <c r="W585" s="408" t="str">
        <f t="shared" si="38"/>
        <v/>
      </c>
      <c r="X585" s="409" t="str">
        <f t="shared" si="39"/>
        <v/>
      </c>
    </row>
    <row r="586" spans="1:24" ht="16" x14ac:dyDescent="0.25">
      <c r="A586" s="399" t="str">
        <f>IF(B586="","",CONCATENATE("GBL",B586," - ",Mantenedor!E590))</f>
        <v/>
      </c>
      <c r="P586" s="399" t="str">
        <f t="shared" si="36"/>
        <v/>
      </c>
      <c r="Q586" s="405" t="str" cm="1">
        <f t="array" ref="Q586">+_xlfn.IFS(O586="Nacional","CLP",O586="Extranjero","USD",O586="","")</f>
        <v/>
      </c>
      <c r="R586" s="406" t="str">
        <f>IFERROR(IF(O586="Nacional",VLOOKUP(P586,PRICING!$D$4:$E$59,2,FALSE),VLOOKUP(P586,PRICING!$J$4:$K$59,2,FALSE)),"")</f>
        <v/>
      </c>
      <c r="S586"/>
      <c r="U586" s="406" t="str">
        <f t="shared" si="37"/>
        <v/>
      </c>
      <c r="W586" s="408" t="str">
        <f t="shared" si="38"/>
        <v/>
      </c>
      <c r="X586" s="409" t="str">
        <f t="shared" si="39"/>
        <v/>
      </c>
    </row>
    <row r="587" spans="1:24" ht="16" x14ac:dyDescent="0.25">
      <c r="A587" s="399" t="str">
        <f>IF(B587="","",CONCATENATE("GBL",B587," - ",Mantenedor!E591))</f>
        <v/>
      </c>
      <c r="P587" s="399" t="str">
        <f t="shared" si="36"/>
        <v/>
      </c>
      <c r="Q587" s="405" t="str" cm="1">
        <f t="array" ref="Q587">+_xlfn.IFS(O587="Nacional","CLP",O587="Extranjero","USD",O587="","")</f>
        <v/>
      </c>
      <c r="R587" s="406" t="str">
        <f>IFERROR(IF(O587="Nacional",VLOOKUP(P587,PRICING!$D$4:$E$59,2,FALSE),VLOOKUP(P587,PRICING!$J$4:$K$59,2,FALSE)),"")</f>
        <v/>
      </c>
      <c r="S587"/>
      <c r="U587" s="406" t="str">
        <f t="shared" si="37"/>
        <v/>
      </c>
      <c r="W587" s="408" t="str">
        <f t="shared" si="38"/>
        <v/>
      </c>
      <c r="X587" s="409" t="str">
        <f t="shared" si="39"/>
        <v/>
      </c>
    </row>
    <row r="588" spans="1:24" ht="16" x14ac:dyDescent="0.25">
      <c r="A588" s="399" t="str">
        <f>IF(B588="","",CONCATENATE("GBL",B588," - ",Mantenedor!E592))</f>
        <v/>
      </c>
      <c r="P588" s="399" t="str">
        <f t="shared" si="36"/>
        <v/>
      </c>
      <c r="Q588" s="405" t="str" cm="1">
        <f t="array" ref="Q588">+_xlfn.IFS(O588="Nacional","CLP",O588="Extranjero","USD",O588="","")</f>
        <v/>
      </c>
      <c r="R588" s="406" t="str">
        <f>IFERROR(IF(O588="Nacional",VLOOKUP(P588,PRICING!$D$4:$E$59,2,FALSE),VLOOKUP(P588,PRICING!$J$4:$K$59,2,FALSE)),"")</f>
        <v/>
      </c>
      <c r="S588"/>
      <c r="U588" s="406" t="str">
        <f t="shared" si="37"/>
        <v/>
      </c>
      <c r="W588" s="408" t="str">
        <f t="shared" si="38"/>
        <v/>
      </c>
      <c r="X588" s="409" t="str">
        <f t="shared" si="39"/>
        <v/>
      </c>
    </row>
    <row r="589" spans="1:24" ht="16" x14ac:dyDescent="0.25">
      <c r="A589" s="399" t="str">
        <f>IF(B589="","",CONCATENATE("GBL",B589," - ",Mantenedor!E593))</f>
        <v/>
      </c>
      <c r="P589" s="399" t="str">
        <f t="shared" si="36"/>
        <v/>
      </c>
      <c r="Q589" s="405" t="str" cm="1">
        <f t="array" ref="Q589">+_xlfn.IFS(O589="Nacional","CLP",O589="Extranjero","USD",O589="","")</f>
        <v/>
      </c>
      <c r="R589" s="406" t="str">
        <f>IFERROR(IF(O589="Nacional",VLOOKUP(P589,PRICING!$D$4:$E$59,2,FALSE),VLOOKUP(P589,PRICING!$J$4:$K$59,2,FALSE)),"")</f>
        <v/>
      </c>
      <c r="S589"/>
      <c r="U589" s="406" t="str">
        <f t="shared" si="37"/>
        <v/>
      </c>
      <c r="W589" s="408" t="str">
        <f t="shared" si="38"/>
        <v/>
      </c>
      <c r="X589" s="409" t="str">
        <f t="shared" si="39"/>
        <v/>
      </c>
    </row>
    <row r="590" spans="1:24" ht="16" x14ac:dyDescent="0.25">
      <c r="A590" s="399" t="str">
        <f>IF(B590="","",CONCATENATE("GBL",B590," - ",Mantenedor!E594))</f>
        <v/>
      </c>
      <c r="P590" s="399" t="str">
        <f t="shared" si="36"/>
        <v/>
      </c>
      <c r="Q590" s="405" t="str" cm="1">
        <f t="array" ref="Q590">+_xlfn.IFS(O590="Nacional","CLP",O590="Extranjero","USD",O590="","")</f>
        <v/>
      </c>
      <c r="R590" s="406" t="str">
        <f>IFERROR(IF(O590="Nacional",VLOOKUP(P590,PRICING!$D$4:$E$59,2,FALSE),VLOOKUP(P590,PRICING!$J$4:$K$59,2,FALSE)),"")</f>
        <v/>
      </c>
      <c r="S590"/>
      <c r="U590" s="406" t="str">
        <f t="shared" si="37"/>
        <v/>
      </c>
      <c r="W590" s="408" t="str">
        <f t="shared" si="38"/>
        <v/>
      </c>
      <c r="X590" s="409" t="str">
        <f t="shared" si="39"/>
        <v/>
      </c>
    </row>
    <row r="591" spans="1:24" ht="16" x14ac:dyDescent="0.25">
      <c r="A591" s="399" t="str">
        <f>IF(B591="","",CONCATENATE("GBL",B591," - ",Mantenedor!E595))</f>
        <v/>
      </c>
      <c r="P591" s="399" t="str">
        <f t="shared" si="36"/>
        <v/>
      </c>
      <c r="Q591" s="405" t="str" cm="1">
        <f t="array" ref="Q591">+_xlfn.IFS(O591="Nacional","CLP",O591="Extranjero","USD",O591="","")</f>
        <v/>
      </c>
      <c r="R591" s="406" t="str">
        <f>IFERROR(IF(O591="Nacional",VLOOKUP(P591,PRICING!$D$4:$E$59,2,FALSE),VLOOKUP(P591,PRICING!$J$4:$K$59,2,FALSE)),"")</f>
        <v/>
      </c>
      <c r="S591"/>
      <c r="U591" s="406" t="str">
        <f t="shared" si="37"/>
        <v/>
      </c>
      <c r="W591" s="408" t="str">
        <f t="shared" si="38"/>
        <v/>
      </c>
      <c r="X591" s="409" t="str">
        <f t="shared" si="39"/>
        <v/>
      </c>
    </row>
    <row r="592" spans="1:24" ht="16" x14ac:dyDescent="0.25">
      <c r="A592" s="399" t="str">
        <f>IF(B592="","",CONCATENATE("GBL",B592," - ",Mantenedor!E596))</f>
        <v/>
      </c>
      <c r="P592" s="399" t="str">
        <f t="shared" si="36"/>
        <v/>
      </c>
      <c r="Q592" s="405" t="str" cm="1">
        <f t="array" ref="Q592">+_xlfn.IFS(O592="Nacional","CLP",O592="Extranjero","USD",O592="","")</f>
        <v/>
      </c>
      <c r="R592" s="406" t="str">
        <f>IFERROR(IF(O592="Nacional",VLOOKUP(P592,PRICING!$D$4:$E$59,2,FALSE),VLOOKUP(P592,PRICING!$J$4:$K$59,2,FALSE)),"")</f>
        <v/>
      </c>
      <c r="S592"/>
      <c r="U592" s="406" t="str">
        <f t="shared" si="37"/>
        <v/>
      </c>
      <c r="W592" s="408" t="str">
        <f t="shared" si="38"/>
        <v/>
      </c>
      <c r="X592" s="409" t="str">
        <f t="shared" si="39"/>
        <v/>
      </c>
    </row>
    <row r="593" spans="1:24" ht="16" x14ac:dyDescent="0.25">
      <c r="A593" s="399" t="str">
        <f>IF(B593="","",CONCATENATE("GBL",B593," - ",Mantenedor!E597))</f>
        <v/>
      </c>
      <c r="P593" s="399" t="str">
        <f t="shared" si="36"/>
        <v/>
      </c>
      <c r="Q593" s="405" t="str" cm="1">
        <f t="array" ref="Q593">+_xlfn.IFS(O593="Nacional","CLP",O593="Extranjero","USD",O593="","")</f>
        <v/>
      </c>
      <c r="R593" s="406" t="str">
        <f>IFERROR(IF(O593="Nacional",VLOOKUP(P593,PRICING!$D$4:$E$59,2,FALSE),VLOOKUP(P593,PRICING!$J$4:$K$59,2,FALSE)),"")</f>
        <v/>
      </c>
      <c r="S593"/>
      <c r="U593" s="406" t="str">
        <f t="shared" si="37"/>
        <v/>
      </c>
      <c r="W593" s="408" t="str">
        <f t="shared" si="38"/>
        <v/>
      </c>
      <c r="X593" s="409" t="str">
        <f t="shared" si="39"/>
        <v/>
      </c>
    </row>
    <row r="594" spans="1:24" ht="16" x14ac:dyDescent="0.25">
      <c r="A594" s="399" t="str">
        <f>IF(B594="","",CONCATENATE("GBL",B594," - ",Mantenedor!E598))</f>
        <v/>
      </c>
      <c r="P594" s="399" t="str">
        <f t="shared" si="36"/>
        <v/>
      </c>
      <c r="Q594" s="405" t="str" cm="1">
        <f t="array" ref="Q594">+_xlfn.IFS(O594="Nacional","CLP",O594="Extranjero","USD",O594="","")</f>
        <v/>
      </c>
      <c r="R594" s="406" t="str">
        <f>IFERROR(IF(O594="Nacional",VLOOKUP(P594,PRICING!$D$4:$E$59,2,FALSE),VLOOKUP(P594,PRICING!$J$4:$K$59,2,FALSE)),"")</f>
        <v/>
      </c>
      <c r="S594"/>
      <c r="U594" s="406" t="str">
        <f t="shared" si="37"/>
        <v/>
      </c>
      <c r="W594" s="408" t="str">
        <f t="shared" si="38"/>
        <v/>
      </c>
      <c r="X594" s="409" t="str">
        <f t="shared" si="39"/>
        <v/>
      </c>
    </row>
    <row r="595" spans="1:24" ht="16" x14ac:dyDescent="0.25">
      <c r="A595" s="399" t="str">
        <f>IF(B595="","",CONCATENATE("GBL",B595," - ",Mantenedor!E599))</f>
        <v/>
      </c>
      <c r="P595" s="399" t="str">
        <f t="shared" si="36"/>
        <v/>
      </c>
      <c r="Q595" s="405" t="str" cm="1">
        <f t="array" ref="Q595">+_xlfn.IFS(O595="Nacional","CLP",O595="Extranjero","USD",O595="","")</f>
        <v/>
      </c>
      <c r="R595" s="406" t="str">
        <f>IFERROR(IF(O595="Nacional",VLOOKUP(P595,PRICING!$D$4:$E$59,2,FALSE),VLOOKUP(P595,PRICING!$J$4:$K$59,2,FALSE)),"")</f>
        <v/>
      </c>
      <c r="S595"/>
      <c r="U595" s="406" t="str">
        <f t="shared" si="37"/>
        <v/>
      </c>
      <c r="W595" s="408" t="str">
        <f t="shared" si="38"/>
        <v/>
      </c>
      <c r="X595" s="409" t="str">
        <f t="shared" si="39"/>
        <v/>
      </c>
    </row>
    <row r="596" spans="1:24" ht="16" x14ac:dyDescent="0.25">
      <c r="A596" s="399" t="str">
        <f>IF(B596="","",CONCATENATE("GBL",B596," - ",Mantenedor!E600))</f>
        <v/>
      </c>
      <c r="P596" s="399" t="str">
        <f t="shared" si="36"/>
        <v/>
      </c>
      <c r="Q596" s="405" t="str" cm="1">
        <f t="array" ref="Q596">+_xlfn.IFS(O596="Nacional","CLP",O596="Extranjero","USD",O596="","")</f>
        <v/>
      </c>
      <c r="R596" s="406" t="str">
        <f>IFERROR(IF(O596="Nacional",VLOOKUP(P596,PRICING!$D$4:$E$59,2,FALSE),VLOOKUP(P596,PRICING!$J$4:$K$59,2,FALSE)),"")</f>
        <v/>
      </c>
      <c r="S596"/>
      <c r="U596" s="406" t="str">
        <f t="shared" si="37"/>
        <v/>
      </c>
      <c r="W596" s="408" t="str">
        <f t="shared" si="38"/>
        <v/>
      </c>
      <c r="X596" s="409" t="str">
        <f t="shared" si="39"/>
        <v/>
      </c>
    </row>
    <row r="597" spans="1:24" ht="16" x14ac:dyDescent="0.25">
      <c r="A597" s="399" t="str">
        <f>IF(B597="","",CONCATENATE("GBL",B597," - ",Mantenedor!E601))</f>
        <v/>
      </c>
      <c r="P597" s="399" t="str">
        <f t="shared" si="36"/>
        <v/>
      </c>
      <c r="Q597" s="405" t="str" cm="1">
        <f t="array" ref="Q597">+_xlfn.IFS(O597="Nacional","CLP",O597="Extranjero","USD",O597="","")</f>
        <v/>
      </c>
      <c r="R597" s="406" t="str">
        <f>IFERROR(IF(O597="Nacional",VLOOKUP(P597,PRICING!$D$4:$E$59,2,FALSE),VLOOKUP(P597,PRICING!$J$4:$K$59,2,FALSE)),"")</f>
        <v/>
      </c>
      <c r="S597"/>
      <c r="U597" s="406" t="str">
        <f t="shared" si="37"/>
        <v/>
      </c>
      <c r="W597" s="408" t="str">
        <f t="shared" si="38"/>
        <v/>
      </c>
      <c r="X597" s="409" t="str">
        <f t="shared" si="39"/>
        <v/>
      </c>
    </row>
    <row r="598" spans="1:24" ht="16" x14ac:dyDescent="0.25">
      <c r="A598" s="399" t="str">
        <f>IF(B598="","",CONCATENATE("GBL",B598," - ",Mantenedor!E602))</f>
        <v/>
      </c>
      <c r="P598" s="399" t="str">
        <f t="shared" si="36"/>
        <v/>
      </c>
      <c r="Q598" s="405" t="str" cm="1">
        <f t="array" ref="Q598">+_xlfn.IFS(O598="Nacional","CLP",O598="Extranjero","USD",O598="","")</f>
        <v/>
      </c>
      <c r="R598" s="406" t="str">
        <f>IFERROR(IF(O598="Nacional",VLOOKUP(P598,PRICING!$D$4:$E$59,2,FALSE),VLOOKUP(P598,PRICING!$J$4:$K$59,2,FALSE)),"")</f>
        <v/>
      </c>
      <c r="S598"/>
      <c r="U598" s="406" t="str">
        <f t="shared" si="37"/>
        <v/>
      </c>
      <c r="W598" s="408" t="str">
        <f t="shared" si="38"/>
        <v/>
      </c>
      <c r="X598" s="409" t="str">
        <f t="shared" si="39"/>
        <v/>
      </c>
    </row>
    <row r="599" spans="1:24" ht="16" x14ac:dyDescent="0.25">
      <c r="A599" s="399" t="str">
        <f>IF(B599="","",CONCATENATE("GBL",B599," - ",Mantenedor!E603))</f>
        <v/>
      </c>
      <c r="P599" s="399" t="str">
        <f t="shared" si="36"/>
        <v/>
      </c>
      <c r="Q599" s="405" t="str" cm="1">
        <f t="array" ref="Q599">+_xlfn.IFS(O599="Nacional","CLP",O599="Extranjero","USD",O599="","")</f>
        <v/>
      </c>
      <c r="R599" s="406" t="str">
        <f>IFERROR(IF(O599="Nacional",VLOOKUP(P599,PRICING!$D$4:$E$59,2,FALSE),VLOOKUP(P599,PRICING!$J$4:$K$59,2,FALSE)),"")</f>
        <v/>
      </c>
      <c r="S599"/>
      <c r="U599" s="406" t="str">
        <f t="shared" si="37"/>
        <v/>
      </c>
      <c r="W599" s="408" t="str">
        <f t="shared" si="38"/>
        <v/>
      </c>
      <c r="X599" s="409" t="str">
        <f t="shared" si="39"/>
        <v/>
      </c>
    </row>
    <row r="600" spans="1:24" ht="16" x14ac:dyDescent="0.25">
      <c r="A600" s="399" t="str">
        <f>IF(B600="","",CONCATENATE("GBL",B600," - ",Mantenedor!E604))</f>
        <v/>
      </c>
      <c r="P600" s="399" t="str">
        <f t="shared" si="36"/>
        <v/>
      </c>
      <c r="Q600" s="405" t="str" cm="1">
        <f t="array" ref="Q600">+_xlfn.IFS(O600="Nacional","CLP",O600="Extranjero","USD",O600="","")</f>
        <v/>
      </c>
      <c r="R600" s="406" t="str">
        <f>IFERROR(IF(O600="Nacional",VLOOKUP(P600,PRICING!$D$4:$E$59,2,FALSE),VLOOKUP(P600,PRICING!$J$4:$K$59,2,FALSE)),"")</f>
        <v/>
      </c>
      <c r="S600"/>
      <c r="U600" s="406" t="str">
        <f t="shared" si="37"/>
        <v/>
      </c>
      <c r="W600" s="408" t="str">
        <f t="shared" si="38"/>
        <v/>
      </c>
      <c r="X600" s="409" t="str">
        <f t="shared" si="39"/>
        <v/>
      </c>
    </row>
    <row r="601" spans="1:24" ht="16" x14ac:dyDescent="0.25">
      <c r="A601" s="399" t="str">
        <f>IF(B601="","",CONCATENATE("GBL",B601," - ",Mantenedor!E605))</f>
        <v/>
      </c>
      <c r="P601" s="399" t="str">
        <f t="shared" si="36"/>
        <v/>
      </c>
      <c r="Q601" s="405" t="str" cm="1">
        <f t="array" ref="Q601">+_xlfn.IFS(O601="Nacional","CLP",O601="Extranjero","USD",O601="","")</f>
        <v/>
      </c>
      <c r="R601" s="406" t="str">
        <f>IFERROR(IF(O601="Nacional",VLOOKUP(P601,PRICING!$D$4:$E$59,2,FALSE),VLOOKUP(P601,PRICING!$J$4:$K$59,2,FALSE)),"")</f>
        <v/>
      </c>
      <c r="S601"/>
      <c r="U601" s="406" t="str">
        <f t="shared" si="37"/>
        <v/>
      </c>
      <c r="W601" s="408" t="str">
        <f t="shared" si="38"/>
        <v/>
      </c>
      <c r="X601" s="409" t="str">
        <f t="shared" si="39"/>
        <v/>
      </c>
    </row>
    <row r="602" spans="1:24" ht="16" x14ac:dyDescent="0.25">
      <c r="A602" s="399" t="str">
        <f>IF(B602="","",CONCATENATE("GBL",B602," - ",Mantenedor!E606))</f>
        <v/>
      </c>
      <c r="P602" s="399" t="str">
        <f t="shared" si="36"/>
        <v/>
      </c>
      <c r="Q602" s="405" t="str" cm="1">
        <f t="array" ref="Q602">+_xlfn.IFS(O602="Nacional","CLP",O602="Extranjero","USD",O602="","")</f>
        <v/>
      </c>
      <c r="R602" s="406" t="str">
        <f>IFERROR(IF(O602="Nacional",VLOOKUP(P602,PRICING!$D$4:$E$59,2,FALSE),VLOOKUP(P602,PRICING!$J$4:$K$59,2,FALSE)),"")</f>
        <v/>
      </c>
      <c r="S602"/>
      <c r="U602" s="406" t="str">
        <f t="shared" si="37"/>
        <v/>
      </c>
      <c r="W602" s="408" t="str">
        <f t="shared" si="38"/>
        <v/>
      </c>
      <c r="X602" s="409" t="str">
        <f t="shared" si="39"/>
        <v/>
      </c>
    </row>
    <row r="603" spans="1:24" ht="16" x14ac:dyDescent="0.25">
      <c r="A603" s="399" t="str">
        <f>IF(B603="","",CONCATENATE("GBL",B603," - ",Mantenedor!E607))</f>
        <v/>
      </c>
      <c r="P603" s="399" t="str">
        <f t="shared" si="36"/>
        <v/>
      </c>
      <c r="Q603" s="405" t="str" cm="1">
        <f t="array" ref="Q603">+_xlfn.IFS(O603="Nacional","CLP",O603="Extranjero","USD",O603="","")</f>
        <v/>
      </c>
      <c r="R603" s="406" t="str">
        <f>IFERROR(IF(O603="Nacional",VLOOKUP(P603,PRICING!$D$4:$E$59,2,FALSE),VLOOKUP(P603,PRICING!$J$4:$K$59,2,FALSE)),"")</f>
        <v/>
      </c>
      <c r="S603"/>
      <c r="U603" s="406" t="str">
        <f t="shared" si="37"/>
        <v/>
      </c>
      <c r="W603" s="408" t="str">
        <f t="shared" si="38"/>
        <v/>
      </c>
      <c r="X603" s="409" t="str">
        <f t="shared" si="39"/>
        <v/>
      </c>
    </row>
    <row r="604" spans="1:24" ht="16" x14ac:dyDescent="0.25">
      <c r="A604" s="399" t="str">
        <f>IF(B604="","",CONCATENATE("GBL",B604," - ",Mantenedor!E608))</f>
        <v/>
      </c>
      <c r="P604" s="399" t="str">
        <f t="shared" si="36"/>
        <v/>
      </c>
      <c r="Q604" s="405" t="str" cm="1">
        <f t="array" ref="Q604">+_xlfn.IFS(O604="Nacional","CLP",O604="Extranjero","USD",O604="","")</f>
        <v/>
      </c>
      <c r="R604" s="406" t="str">
        <f>IFERROR(IF(O604="Nacional",VLOOKUP(P604,PRICING!$D$4:$E$59,2,FALSE),VLOOKUP(P604,PRICING!$J$4:$K$59,2,FALSE)),"")</f>
        <v/>
      </c>
      <c r="S604"/>
      <c r="U604" s="406" t="str">
        <f t="shared" si="37"/>
        <v/>
      </c>
      <c r="W604" s="408" t="str">
        <f t="shared" si="38"/>
        <v/>
      </c>
      <c r="X604" s="409" t="str">
        <f t="shared" si="39"/>
        <v/>
      </c>
    </row>
    <row r="605" spans="1:24" ht="16" x14ac:dyDescent="0.25">
      <c r="A605" s="399" t="str">
        <f>IF(B605="","",CONCATENATE("GBL",B605," - ",Mantenedor!E609))</f>
        <v/>
      </c>
      <c r="P605" s="399" t="str">
        <f t="shared" si="36"/>
        <v/>
      </c>
      <c r="Q605" s="405" t="str" cm="1">
        <f t="array" ref="Q605">+_xlfn.IFS(O605="Nacional","CLP",O605="Extranjero","USD",O605="","")</f>
        <v/>
      </c>
      <c r="R605" s="406" t="str">
        <f>IFERROR(IF(O605="Nacional",VLOOKUP(P605,PRICING!$D$4:$E$59,2,FALSE),VLOOKUP(P605,PRICING!$J$4:$K$59,2,FALSE)),"")</f>
        <v/>
      </c>
      <c r="S605"/>
      <c r="U605" s="406" t="str">
        <f t="shared" si="37"/>
        <v/>
      </c>
      <c r="W605" s="408" t="str">
        <f t="shared" si="38"/>
        <v/>
      </c>
      <c r="X605" s="409" t="str">
        <f t="shared" si="39"/>
        <v/>
      </c>
    </row>
    <row r="606" spans="1:24" ht="16" x14ac:dyDescent="0.25">
      <c r="A606" s="399" t="str">
        <f>IF(B606="","",CONCATENATE("GBL",B606," - ",Mantenedor!E610))</f>
        <v/>
      </c>
      <c r="P606" s="399" t="str">
        <f t="shared" si="36"/>
        <v/>
      </c>
      <c r="Q606" s="405" t="str" cm="1">
        <f t="array" ref="Q606">+_xlfn.IFS(O606="Nacional","CLP",O606="Extranjero","USD",O606="","")</f>
        <v/>
      </c>
      <c r="R606" s="406" t="str">
        <f>IFERROR(IF(O606="Nacional",VLOOKUP(P606,PRICING!$D$4:$E$59,2,FALSE),VLOOKUP(P606,PRICING!$J$4:$K$59,2,FALSE)),"")</f>
        <v/>
      </c>
      <c r="S606"/>
      <c r="U606" s="406" t="str">
        <f t="shared" si="37"/>
        <v/>
      </c>
      <c r="W606" s="408" t="str">
        <f t="shared" si="38"/>
        <v/>
      </c>
      <c r="X606" s="409" t="str">
        <f t="shared" si="39"/>
        <v/>
      </c>
    </row>
    <row r="607" spans="1:24" ht="16" x14ac:dyDescent="0.25">
      <c r="A607" s="399" t="str">
        <f>IF(B607="","",CONCATENATE("GBL",B607," - ",Mantenedor!E611))</f>
        <v/>
      </c>
      <c r="P607" s="399" t="str">
        <f t="shared" si="36"/>
        <v/>
      </c>
      <c r="Q607" s="405" t="str" cm="1">
        <f t="array" ref="Q607">+_xlfn.IFS(O607="Nacional","CLP",O607="Extranjero","USD",O607="","")</f>
        <v/>
      </c>
      <c r="R607" s="406" t="str">
        <f>IFERROR(IF(O607="Nacional",VLOOKUP(P607,PRICING!$D$4:$E$59,2,FALSE),VLOOKUP(P607,PRICING!$J$4:$K$59,2,FALSE)),"")</f>
        <v/>
      </c>
      <c r="S607"/>
      <c r="U607" s="406" t="str">
        <f t="shared" si="37"/>
        <v/>
      </c>
      <c r="W607" s="408" t="str">
        <f t="shared" si="38"/>
        <v/>
      </c>
      <c r="X607" s="409" t="str">
        <f t="shared" si="39"/>
        <v/>
      </c>
    </row>
    <row r="608" spans="1:24" ht="16" x14ac:dyDescent="0.25">
      <c r="A608" s="399" t="str">
        <f>IF(B608="","",CONCATENATE("GBL",B608," - ",Mantenedor!E612))</f>
        <v/>
      </c>
      <c r="P608" s="399" t="str">
        <f t="shared" si="36"/>
        <v/>
      </c>
      <c r="Q608" s="405" t="str" cm="1">
        <f t="array" ref="Q608">+_xlfn.IFS(O608="Nacional","CLP",O608="Extranjero","USD",O608="","")</f>
        <v/>
      </c>
      <c r="R608" s="406" t="str">
        <f>IFERROR(IF(O608="Nacional",VLOOKUP(P608,PRICING!$D$4:$E$59,2,FALSE),VLOOKUP(P608,PRICING!$J$4:$K$59,2,FALSE)),"")</f>
        <v/>
      </c>
      <c r="S608"/>
      <c r="U608" s="406" t="str">
        <f t="shared" si="37"/>
        <v/>
      </c>
      <c r="W608" s="408" t="str">
        <f t="shared" si="38"/>
        <v/>
      </c>
      <c r="X608" s="409" t="str">
        <f t="shared" si="39"/>
        <v/>
      </c>
    </row>
    <row r="609" spans="1:24" ht="16" x14ac:dyDescent="0.25">
      <c r="A609" s="399" t="str">
        <f>IF(B609="","",CONCATENATE("GBL",B609," - ",Mantenedor!E613))</f>
        <v/>
      </c>
      <c r="P609" s="399" t="str">
        <f t="shared" si="36"/>
        <v/>
      </c>
      <c r="Q609" s="405" t="str" cm="1">
        <f t="array" ref="Q609">+_xlfn.IFS(O609="Nacional","CLP",O609="Extranjero","USD",O609="","")</f>
        <v/>
      </c>
      <c r="R609" s="406" t="str">
        <f>IFERROR(IF(O609="Nacional",VLOOKUP(P609,PRICING!$D$4:$E$59,2,FALSE),VLOOKUP(P609,PRICING!$J$4:$K$59,2,FALSE)),"")</f>
        <v/>
      </c>
      <c r="S609"/>
      <c r="U609" s="406" t="str">
        <f t="shared" si="37"/>
        <v/>
      </c>
      <c r="W609" s="408" t="str">
        <f t="shared" si="38"/>
        <v/>
      </c>
      <c r="X609" s="409" t="str">
        <f t="shared" si="39"/>
        <v/>
      </c>
    </row>
    <row r="610" spans="1:24" ht="16" x14ac:dyDescent="0.25">
      <c r="A610" s="399" t="str">
        <f>IF(B610="","",CONCATENATE("GBL",B610," - ",Mantenedor!E614))</f>
        <v/>
      </c>
      <c r="P610" s="399" t="str">
        <f t="shared" si="36"/>
        <v/>
      </c>
      <c r="Q610" s="405" t="str" cm="1">
        <f t="array" ref="Q610">+_xlfn.IFS(O610="Nacional","CLP",O610="Extranjero","USD",O610="","")</f>
        <v/>
      </c>
      <c r="R610" s="406" t="str">
        <f>IFERROR(IF(O610="Nacional",VLOOKUP(P610,PRICING!$D$4:$E$59,2,FALSE),VLOOKUP(P610,PRICING!$J$4:$K$59,2,FALSE)),"")</f>
        <v/>
      </c>
      <c r="S610"/>
      <c r="U610" s="406" t="str">
        <f t="shared" si="37"/>
        <v/>
      </c>
      <c r="W610" s="408" t="str">
        <f t="shared" si="38"/>
        <v/>
      </c>
      <c r="X610" s="409" t="str">
        <f t="shared" si="39"/>
        <v/>
      </c>
    </row>
    <row r="611" spans="1:24" ht="16" x14ac:dyDescent="0.25">
      <c r="A611" s="399" t="str">
        <f>IF(B611="","",CONCATENATE("GBL",B611," - ",Mantenedor!E615))</f>
        <v/>
      </c>
      <c r="P611" s="399" t="str">
        <f t="shared" si="36"/>
        <v/>
      </c>
      <c r="Q611" s="405" t="str" cm="1">
        <f t="array" ref="Q611">+_xlfn.IFS(O611="Nacional","CLP",O611="Extranjero","USD",O611="","")</f>
        <v/>
      </c>
      <c r="R611" s="406" t="str">
        <f>IFERROR(IF(O611="Nacional",VLOOKUP(P611,PRICING!$D$4:$E$59,2,FALSE),VLOOKUP(P611,PRICING!$J$4:$K$59,2,FALSE)),"")</f>
        <v/>
      </c>
      <c r="S611"/>
      <c r="U611" s="406" t="str">
        <f t="shared" si="37"/>
        <v/>
      </c>
      <c r="W611" s="408" t="str">
        <f t="shared" si="38"/>
        <v/>
      </c>
      <c r="X611" s="409" t="str">
        <f t="shared" si="39"/>
        <v/>
      </c>
    </row>
    <row r="612" spans="1:24" ht="16" x14ac:dyDescent="0.25">
      <c r="A612" s="399" t="str">
        <f>IF(B612="","",CONCATENATE("GBL",B612," - ",Mantenedor!E616))</f>
        <v/>
      </c>
      <c r="P612" s="399" t="str">
        <f t="shared" si="36"/>
        <v/>
      </c>
      <c r="Q612" s="405" t="str" cm="1">
        <f t="array" ref="Q612">+_xlfn.IFS(O612="Nacional","CLP",O612="Extranjero","USD",O612="","")</f>
        <v/>
      </c>
      <c r="R612" s="406" t="str">
        <f>IFERROR(IF(O612="Nacional",VLOOKUP(P612,PRICING!$D$4:$E$59,2,FALSE),VLOOKUP(P612,PRICING!$J$4:$K$59,2,FALSE)),"")</f>
        <v/>
      </c>
      <c r="S612"/>
      <c r="U612" s="406" t="str">
        <f t="shared" si="37"/>
        <v/>
      </c>
      <c r="W612" s="408" t="str">
        <f t="shared" si="38"/>
        <v/>
      </c>
      <c r="X612" s="409" t="str">
        <f t="shared" si="39"/>
        <v/>
      </c>
    </row>
    <row r="613" spans="1:24" ht="16" x14ac:dyDescent="0.25">
      <c r="A613" s="399" t="str">
        <f>IF(B613="","",CONCATENATE("GBL",B613," - ",Mantenedor!E617))</f>
        <v/>
      </c>
      <c r="P613" s="399" t="str">
        <f t="shared" si="36"/>
        <v/>
      </c>
      <c r="Q613" s="405" t="str" cm="1">
        <f t="array" ref="Q613">+_xlfn.IFS(O613="Nacional","CLP",O613="Extranjero","USD",O613="","")</f>
        <v/>
      </c>
      <c r="R613" s="406" t="str">
        <f>IFERROR(IF(O613="Nacional",VLOOKUP(P613,PRICING!$D$4:$E$59,2,FALSE),VLOOKUP(P613,PRICING!$J$4:$K$59,2,FALSE)),"")</f>
        <v/>
      </c>
      <c r="S613"/>
      <c r="U613" s="406" t="str">
        <f t="shared" si="37"/>
        <v/>
      </c>
      <c r="W613" s="408" t="str">
        <f t="shared" si="38"/>
        <v/>
      </c>
      <c r="X613" s="409" t="str">
        <f t="shared" si="39"/>
        <v/>
      </c>
    </row>
    <row r="614" spans="1:24" ht="16" x14ac:dyDescent="0.25">
      <c r="A614" s="399" t="str">
        <f>IF(B614="","",CONCATENATE("GBL",B614," - ",Mantenedor!E618))</f>
        <v/>
      </c>
      <c r="P614" s="399" t="str">
        <f t="shared" si="36"/>
        <v/>
      </c>
      <c r="Q614" s="405" t="str" cm="1">
        <f t="array" ref="Q614">+_xlfn.IFS(O614="Nacional","CLP",O614="Extranjero","USD",O614="","")</f>
        <v/>
      </c>
      <c r="R614" s="406" t="str">
        <f>IFERROR(IF(O614="Nacional",VLOOKUP(P614,PRICING!$D$4:$E$59,2,FALSE),VLOOKUP(P614,PRICING!$J$4:$K$59,2,FALSE)),"")</f>
        <v/>
      </c>
      <c r="S614"/>
      <c r="U614" s="406" t="str">
        <f t="shared" si="37"/>
        <v/>
      </c>
      <c r="W614" s="408" t="str">
        <f t="shared" si="38"/>
        <v/>
      </c>
      <c r="X614" s="409" t="str">
        <f t="shared" si="39"/>
        <v/>
      </c>
    </row>
    <row r="615" spans="1:24" ht="16" x14ac:dyDescent="0.25">
      <c r="A615" s="399" t="str">
        <f>IF(B615="","",CONCATENATE("GBL",B615," - ",Mantenedor!E619))</f>
        <v/>
      </c>
      <c r="P615" s="399" t="str">
        <f t="shared" si="36"/>
        <v/>
      </c>
      <c r="Q615" s="405" t="str" cm="1">
        <f t="array" ref="Q615">+_xlfn.IFS(O615="Nacional","CLP",O615="Extranjero","USD",O615="","")</f>
        <v/>
      </c>
      <c r="R615" s="406" t="str">
        <f>IFERROR(IF(O615="Nacional",VLOOKUP(P615,PRICING!$D$4:$E$59,2,FALSE),VLOOKUP(P615,PRICING!$J$4:$K$59,2,FALSE)),"")</f>
        <v/>
      </c>
      <c r="S615"/>
      <c r="U615" s="406" t="str">
        <f t="shared" si="37"/>
        <v/>
      </c>
      <c r="W615" s="408" t="str">
        <f t="shared" si="38"/>
        <v/>
      </c>
      <c r="X615" s="409" t="str">
        <f t="shared" si="39"/>
        <v/>
      </c>
    </row>
    <row r="616" spans="1:24" ht="16" x14ac:dyDescent="0.25">
      <c r="A616" s="399" t="str">
        <f>IF(B616="","",CONCATENATE("GBL",B616," - ",Mantenedor!E620))</f>
        <v/>
      </c>
      <c r="P616" s="399" t="str">
        <f t="shared" si="36"/>
        <v/>
      </c>
      <c r="Q616" s="405" t="str" cm="1">
        <f t="array" ref="Q616">+_xlfn.IFS(O616="Nacional","CLP",O616="Extranjero","USD",O616="","")</f>
        <v/>
      </c>
      <c r="R616" s="406" t="str">
        <f>IFERROR(IF(O616="Nacional",VLOOKUP(P616,PRICING!$D$4:$E$59,2,FALSE),VLOOKUP(P616,PRICING!$J$4:$K$59,2,FALSE)),"")</f>
        <v/>
      </c>
      <c r="S616"/>
      <c r="U616" s="406" t="str">
        <f t="shared" si="37"/>
        <v/>
      </c>
      <c r="W616" s="408" t="str">
        <f t="shared" si="38"/>
        <v/>
      </c>
      <c r="X616" s="409" t="str">
        <f t="shared" si="39"/>
        <v/>
      </c>
    </row>
    <row r="617" spans="1:24" ht="16" x14ac:dyDescent="0.25">
      <c r="A617" s="399" t="str">
        <f>IF(B617="","",CONCATENATE("GBL",B617," - ",Mantenedor!E621))</f>
        <v/>
      </c>
      <c r="P617" s="399" t="str">
        <f t="shared" si="36"/>
        <v/>
      </c>
      <c r="Q617" s="405" t="str" cm="1">
        <f t="array" ref="Q617">+_xlfn.IFS(O617="Nacional","CLP",O617="Extranjero","USD",O617="","")</f>
        <v/>
      </c>
      <c r="R617" s="406" t="str">
        <f>IFERROR(IF(O617="Nacional",VLOOKUP(P617,PRICING!$D$4:$E$59,2,FALSE),VLOOKUP(P617,PRICING!$J$4:$K$59,2,FALSE)),"")</f>
        <v/>
      </c>
      <c r="S617"/>
      <c r="U617" s="406" t="str">
        <f t="shared" si="37"/>
        <v/>
      </c>
      <c r="W617" s="408" t="str">
        <f t="shared" si="38"/>
        <v/>
      </c>
      <c r="X617" s="409" t="str">
        <f t="shared" si="39"/>
        <v/>
      </c>
    </row>
    <row r="618" spans="1:24" ht="16" x14ac:dyDescent="0.25">
      <c r="A618" s="399" t="str">
        <f>IF(B618="","",CONCATENATE("GBL",B618," - ",Mantenedor!E622))</f>
        <v/>
      </c>
      <c r="P618" s="399" t="str">
        <f t="shared" si="36"/>
        <v/>
      </c>
      <c r="Q618" s="405" t="str" cm="1">
        <f t="array" ref="Q618">+_xlfn.IFS(O618="Nacional","CLP",O618="Extranjero","USD",O618="","")</f>
        <v/>
      </c>
      <c r="R618" s="406" t="str">
        <f>IFERROR(IF(O618="Nacional",VLOOKUP(P618,PRICING!$D$4:$E$59,2,FALSE),VLOOKUP(P618,PRICING!$J$4:$K$59,2,FALSE)),"")</f>
        <v/>
      </c>
      <c r="S618"/>
      <c r="U618" s="406" t="str">
        <f t="shared" si="37"/>
        <v/>
      </c>
      <c r="W618" s="408" t="str">
        <f t="shared" si="38"/>
        <v/>
      </c>
      <c r="X618" s="409" t="str">
        <f t="shared" si="39"/>
        <v/>
      </c>
    </row>
    <row r="619" spans="1:24" ht="16" x14ac:dyDescent="0.25">
      <c r="A619" s="399" t="str">
        <f>IF(B619="","",CONCATENATE("GBL",B619," - ",Mantenedor!E623))</f>
        <v/>
      </c>
      <c r="P619" s="399" t="str">
        <f t="shared" si="36"/>
        <v/>
      </c>
      <c r="Q619" s="405" t="str" cm="1">
        <f t="array" ref="Q619">+_xlfn.IFS(O619="Nacional","CLP",O619="Extranjero","USD",O619="","")</f>
        <v/>
      </c>
      <c r="R619" s="406" t="str">
        <f>IFERROR(IF(O619="Nacional",VLOOKUP(P619,PRICING!$D$4:$E$59,2,FALSE),VLOOKUP(P619,PRICING!$J$4:$K$59,2,FALSE)),"")</f>
        <v/>
      </c>
      <c r="S619"/>
      <c r="U619" s="406" t="str">
        <f t="shared" si="37"/>
        <v/>
      </c>
      <c r="W619" s="408" t="str">
        <f t="shared" si="38"/>
        <v/>
      </c>
      <c r="X619" s="409" t="str">
        <f t="shared" si="39"/>
        <v/>
      </c>
    </row>
    <row r="620" spans="1:24" ht="16" x14ac:dyDescent="0.25">
      <c r="A620" s="399" t="str">
        <f>IF(B620="","",CONCATENATE("GBL",B620," - ",Mantenedor!E624))</f>
        <v/>
      </c>
      <c r="P620" s="399" t="str">
        <f t="shared" si="36"/>
        <v/>
      </c>
      <c r="Q620" s="405" t="str" cm="1">
        <f t="array" ref="Q620">+_xlfn.IFS(O620="Nacional","CLP",O620="Extranjero","USD",O620="","")</f>
        <v/>
      </c>
      <c r="R620" s="406" t="str">
        <f>IFERROR(IF(O620="Nacional",VLOOKUP(P620,PRICING!$D$4:$E$59,2,FALSE),VLOOKUP(P620,PRICING!$J$4:$K$59,2,FALSE)),"")</f>
        <v/>
      </c>
      <c r="S620"/>
      <c r="U620" s="406" t="str">
        <f t="shared" si="37"/>
        <v/>
      </c>
      <c r="W620" s="408" t="str">
        <f t="shared" si="38"/>
        <v/>
      </c>
      <c r="X620" s="409" t="str">
        <f t="shared" si="39"/>
        <v/>
      </c>
    </row>
    <row r="621" spans="1:24" ht="16" x14ac:dyDescent="0.25">
      <c r="A621" s="399" t="str">
        <f>IF(B621="","",CONCATENATE("GBL",B621," - ",Mantenedor!E625))</f>
        <v/>
      </c>
      <c r="P621" s="399" t="str">
        <f t="shared" si="36"/>
        <v/>
      </c>
      <c r="Q621" s="405" t="str" cm="1">
        <f t="array" ref="Q621">+_xlfn.IFS(O621="Nacional","CLP",O621="Extranjero","USD",O621="","")</f>
        <v/>
      </c>
      <c r="R621" s="406" t="str">
        <f>IFERROR(IF(O621="Nacional",VLOOKUP(P621,PRICING!$D$4:$E$59,2,FALSE),VLOOKUP(P621,PRICING!$J$4:$K$59,2,FALSE)),"")</f>
        <v/>
      </c>
      <c r="S621"/>
      <c r="U621" s="406" t="str">
        <f t="shared" si="37"/>
        <v/>
      </c>
      <c r="W621" s="408" t="str">
        <f t="shared" si="38"/>
        <v/>
      </c>
      <c r="X621" s="409" t="str">
        <f t="shared" si="39"/>
        <v/>
      </c>
    </row>
    <row r="622" spans="1:24" ht="16" x14ac:dyDescent="0.25">
      <c r="A622" s="399" t="str">
        <f>IF(B622="","",CONCATENATE("GBL",B622," - ",Mantenedor!E626))</f>
        <v/>
      </c>
      <c r="P622" s="399" t="str">
        <f t="shared" si="36"/>
        <v/>
      </c>
      <c r="Q622" s="405" t="str" cm="1">
        <f t="array" ref="Q622">+_xlfn.IFS(O622="Nacional","CLP",O622="Extranjero","USD",O622="","")</f>
        <v/>
      </c>
      <c r="R622" s="406" t="str">
        <f>IFERROR(IF(O622="Nacional",VLOOKUP(P622,PRICING!$D$4:$E$59,2,FALSE),VLOOKUP(P622,PRICING!$J$4:$K$59,2,FALSE)),"")</f>
        <v/>
      </c>
      <c r="S622"/>
      <c r="U622" s="406" t="str">
        <f t="shared" si="37"/>
        <v/>
      </c>
      <c r="W622" s="408" t="str">
        <f t="shared" si="38"/>
        <v/>
      </c>
      <c r="X622" s="409" t="str">
        <f t="shared" si="39"/>
        <v/>
      </c>
    </row>
    <row r="623" spans="1:24" ht="16" x14ac:dyDescent="0.25">
      <c r="A623" s="399" t="str">
        <f>IF(B623="","",CONCATENATE("GBL",B623," - ",Mantenedor!E627))</f>
        <v/>
      </c>
      <c r="P623" s="399" t="str">
        <f t="shared" si="36"/>
        <v/>
      </c>
      <c r="Q623" s="405" t="str" cm="1">
        <f t="array" ref="Q623">+_xlfn.IFS(O623="Nacional","CLP",O623="Extranjero","USD",O623="","")</f>
        <v/>
      </c>
      <c r="R623" s="406" t="str">
        <f>IFERROR(IF(O623="Nacional",VLOOKUP(P623,PRICING!$D$4:$E$59,2,FALSE),VLOOKUP(P623,PRICING!$J$4:$K$59,2,FALSE)),"")</f>
        <v/>
      </c>
      <c r="S623"/>
      <c r="U623" s="406" t="str">
        <f t="shared" si="37"/>
        <v/>
      </c>
      <c r="W623" s="408" t="str">
        <f t="shared" si="38"/>
        <v/>
      </c>
      <c r="X623" s="409" t="str">
        <f t="shared" si="39"/>
        <v/>
      </c>
    </row>
    <row r="624" spans="1:24" ht="16" x14ac:dyDescent="0.25">
      <c r="A624" s="399" t="str">
        <f>IF(B624="","",CONCATENATE("GBL",B624," - ",Mantenedor!E628))</f>
        <v/>
      </c>
      <c r="P624" s="399" t="str">
        <f t="shared" si="36"/>
        <v/>
      </c>
      <c r="Q624" s="405" t="str" cm="1">
        <f t="array" ref="Q624">+_xlfn.IFS(O624="Nacional","CLP",O624="Extranjero","USD",O624="","")</f>
        <v/>
      </c>
      <c r="R624" s="406" t="str">
        <f>IFERROR(IF(O624="Nacional",VLOOKUP(P624,PRICING!$D$4:$E$59,2,FALSE),VLOOKUP(P624,PRICING!$J$4:$K$59,2,FALSE)),"")</f>
        <v/>
      </c>
      <c r="S624"/>
      <c r="U624" s="406" t="str">
        <f t="shared" si="37"/>
        <v/>
      </c>
      <c r="W624" s="408" t="str">
        <f t="shared" si="38"/>
        <v/>
      </c>
      <c r="X624" s="409" t="str">
        <f t="shared" si="39"/>
        <v/>
      </c>
    </row>
    <row r="625" spans="1:24" ht="16" x14ac:dyDescent="0.25">
      <c r="A625" s="399" t="str">
        <f>IF(B625="","",CONCATENATE("GBL",B625," - ",Mantenedor!E629))</f>
        <v/>
      </c>
      <c r="P625" s="399" t="str">
        <f t="shared" si="36"/>
        <v/>
      </c>
      <c r="Q625" s="405" t="str" cm="1">
        <f t="array" ref="Q625">+_xlfn.IFS(O625="Nacional","CLP",O625="Extranjero","USD",O625="","")</f>
        <v/>
      </c>
      <c r="R625" s="406" t="str">
        <f>IFERROR(IF(O625="Nacional",VLOOKUP(P625,PRICING!$D$4:$E$59,2,FALSE),VLOOKUP(P625,PRICING!$J$4:$K$59,2,FALSE)),"")</f>
        <v/>
      </c>
      <c r="S625"/>
      <c r="U625" s="406" t="str">
        <f t="shared" si="37"/>
        <v/>
      </c>
      <c r="W625" s="408" t="str">
        <f t="shared" si="38"/>
        <v/>
      </c>
      <c r="X625" s="409" t="str">
        <f t="shared" si="39"/>
        <v/>
      </c>
    </row>
    <row r="626" spans="1:24" ht="16" x14ac:dyDescent="0.25">
      <c r="A626" s="399" t="str">
        <f>IF(B626="","",CONCATENATE("GBL",B626," - ",Mantenedor!E630))</f>
        <v/>
      </c>
      <c r="P626" s="399" t="str">
        <f t="shared" si="36"/>
        <v/>
      </c>
      <c r="Q626" s="405" t="str" cm="1">
        <f t="array" ref="Q626">+_xlfn.IFS(O626="Nacional","CLP",O626="Extranjero","USD",O626="","")</f>
        <v/>
      </c>
      <c r="R626" s="406" t="str">
        <f>IFERROR(IF(O626="Nacional",VLOOKUP(P626,PRICING!$D$4:$E$59,2,FALSE),VLOOKUP(P626,PRICING!$J$4:$K$59,2,FALSE)),"")</f>
        <v/>
      </c>
      <c r="S626"/>
      <c r="U626" s="406" t="str">
        <f t="shared" si="37"/>
        <v/>
      </c>
      <c r="W626" s="408" t="str">
        <f t="shared" si="38"/>
        <v/>
      </c>
      <c r="X626" s="409" t="str">
        <f t="shared" si="39"/>
        <v/>
      </c>
    </row>
    <row r="627" spans="1:24" ht="16" x14ac:dyDescent="0.25">
      <c r="A627" s="399" t="str">
        <f>IF(B627="","",CONCATENATE("GBL",B627," - ",Mantenedor!E631))</f>
        <v/>
      </c>
      <c r="P627" s="399" t="str">
        <f t="shared" si="36"/>
        <v/>
      </c>
      <c r="Q627" s="405" t="str" cm="1">
        <f t="array" ref="Q627">+_xlfn.IFS(O627="Nacional","CLP",O627="Extranjero","USD",O627="","")</f>
        <v/>
      </c>
      <c r="R627" s="406" t="str">
        <f>IFERROR(IF(O627="Nacional",VLOOKUP(P627,PRICING!$D$4:$E$59,2,FALSE),VLOOKUP(P627,PRICING!$J$4:$K$59,2,FALSE)),"")</f>
        <v/>
      </c>
      <c r="S627"/>
      <c r="U627" s="406" t="str">
        <f t="shared" si="37"/>
        <v/>
      </c>
      <c r="W627" s="408" t="str">
        <f t="shared" si="38"/>
        <v/>
      </c>
      <c r="X627" s="409" t="str">
        <f t="shared" si="39"/>
        <v/>
      </c>
    </row>
    <row r="628" spans="1:24" ht="16" x14ac:dyDescent="0.25">
      <c r="A628" s="399" t="str">
        <f>IF(B628="","",CONCATENATE("GBL",B628," - ",Mantenedor!E632))</f>
        <v/>
      </c>
      <c r="P628" s="399" t="str">
        <f t="shared" si="36"/>
        <v/>
      </c>
      <c r="Q628" s="405" t="str" cm="1">
        <f t="array" ref="Q628">+_xlfn.IFS(O628="Nacional","CLP",O628="Extranjero","USD",O628="","")</f>
        <v/>
      </c>
      <c r="R628" s="406" t="str">
        <f>IFERROR(IF(O628="Nacional",VLOOKUP(P628,PRICING!$D$4:$E$59,2,FALSE),VLOOKUP(P628,PRICING!$J$4:$K$59,2,FALSE)),"")</f>
        <v/>
      </c>
      <c r="S628"/>
      <c r="U628" s="406" t="str">
        <f t="shared" si="37"/>
        <v/>
      </c>
      <c r="W628" s="408" t="str">
        <f t="shared" si="38"/>
        <v/>
      </c>
      <c r="X628" s="409" t="str">
        <f t="shared" si="39"/>
        <v/>
      </c>
    </row>
    <row r="629" spans="1:24" ht="16" x14ac:dyDescent="0.25">
      <c r="A629" s="399" t="str">
        <f>IF(B629="","",CONCATENATE("GBL",B629," - ",Mantenedor!E633))</f>
        <v/>
      </c>
      <c r="P629" s="399" t="str">
        <f t="shared" si="36"/>
        <v/>
      </c>
      <c r="Q629" s="405" t="str" cm="1">
        <f t="array" ref="Q629">+_xlfn.IFS(O629="Nacional","CLP",O629="Extranjero","USD",O629="","")</f>
        <v/>
      </c>
      <c r="R629" s="406" t="str">
        <f>IFERROR(IF(O629="Nacional",VLOOKUP(P629,PRICING!$D$4:$E$59,2,FALSE),VLOOKUP(P629,PRICING!$J$4:$K$59,2,FALSE)),"")</f>
        <v/>
      </c>
      <c r="S629"/>
      <c r="U629" s="406" t="str">
        <f t="shared" si="37"/>
        <v/>
      </c>
      <c r="W629" s="408" t="str">
        <f t="shared" si="38"/>
        <v/>
      </c>
      <c r="X629" s="409" t="str">
        <f t="shared" si="39"/>
        <v/>
      </c>
    </row>
    <row r="630" spans="1:24" ht="16" x14ac:dyDescent="0.25">
      <c r="A630" s="399" t="str">
        <f>IF(B630="","",CONCATENATE("GBL",B630," - ",Mantenedor!E634))</f>
        <v/>
      </c>
      <c r="P630" s="399" t="str">
        <f t="shared" si="36"/>
        <v/>
      </c>
      <c r="Q630" s="405" t="str" cm="1">
        <f t="array" ref="Q630">+_xlfn.IFS(O630="Nacional","CLP",O630="Extranjero","USD",O630="","")</f>
        <v/>
      </c>
      <c r="R630" s="406" t="str">
        <f>IFERROR(IF(O630="Nacional",VLOOKUP(P630,PRICING!$D$4:$E$59,2,FALSE),VLOOKUP(P630,PRICING!$J$4:$K$59,2,FALSE)),"")</f>
        <v/>
      </c>
      <c r="S630"/>
      <c r="U630" s="406" t="str">
        <f t="shared" si="37"/>
        <v/>
      </c>
      <c r="W630" s="408" t="str">
        <f t="shared" si="38"/>
        <v/>
      </c>
      <c r="X630" s="409" t="str">
        <f t="shared" si="39"/>
        <v/>
      </c>
    </row>
    <row r="631" spans="1:24" ht="16" x14ac:dyDescent="0.25">
      <c r="A631" s="399" t="str">
        <f>IF(B631="","",CONCATENATE("GBL",B631," - ",Mantenedor!E635))</f>
        <v/>
      </c>
      <c r="P631" s="399" t="str">
        <f t="shared" si="36"/>
        <v/>
      </c>
      <c r="Q631" s="405" t="str" cm="1">
        <f t="array" ref="Q631">+_xlfn.IFS(O631="Nacional","CLP",O631="Extranjero","USD",O631="","")</f>
        <v/>
      </c>
      <c r="R631" s="406" t="str">
        <f>IFERROR(IF(O631="Nacional",VLOOKUP(P631,PRICING!$D$4:$E$59,2,FALSE),VLOOKUP(P631,PRICING!$J$4:$K$59,2,FALSE)),"")</f>
        <v/>
      </c>
      <c r="S631"/>
      <c r="U631" s="406" t="str">
        <f t="shared" si="37"/>
        <v/>
      </c>
      <c r="W631" s="408" t="str">
        <f t="shared" si="38"/>
        <v/>
      </c>
      <c r="X631" s="409" t="str">
        <f t="shared" si="39"/>
        <v/>
      </c>
    </row>
    <row r="632" spans="1:24" ht="16" x14ac:dyDescent="0.25">
      <c r="A632" s="399" t="str">
        <f>IF(B632="","",CONCATENATE("GBL",B632," - ",Mantenedor!E636))</f>
        <v/>
      </c>
      <c r="P632" s="399" t="str">
        <f t="shared" si="36"/>
        <v/>
      </c>
      <c r="Q632" s="405" t="str" cm="1">
        <f t="array" ref="Q632">+_xlfn.IFS(O632="Nacional","CLP",O632="Extranjero","USD",O632="","")</f>
        <v/>
      </c>
      <c r="R632" s="406" t="str">
        <f>IFERROR(IF(O632="Nacional",VLOOKUP(P632,PRICING!$D$4:$E$59,2,FALSE),VLOOKUP(P632,PRICING!$J$4:$K$59,2,FALSE)),"")</f>
        <v/>
      </c>
      <c r="S632"/>
      <c r="U632" s="406" t="str">
        <f t="shared" si="37"/>
        <v/>
      </c>
      <c r="W632" s="408" t="str">
        <f t="shared" si="38"/>
        <v/>
      </c>
      <c r="X632" s="409" t="str">
        <f t="shared" si="39"/>
        <v/>
      </c>
    </row>
    <row r="633" spans="1:24" ht="16" x14ac:dyDescent="0.25">
      <c r="A633" s="399" t="str">
        <f>IF(B633="","",CONCATENATE("GBL",B633," - ",Mantenedor!E637))</f>
        <v/>
      </c>
      <c r="P633" s="399" t="str">
        <f t="shared" si="36"/>
        <v/>
      </c>
      <c r="Q633" s="405" t="str" cm="1">
        <f t="array" ref="Q633">+_xlfn.IFS(O633="Nacional","CLP",O633="Extranjero","USD",O633="","")</f>
        <v/>
      </c>
      <c r="R633" s="406" t="str">
        <f>IFERROR(IF(O633="Nacional",VLOOKUP(P633,PRICING!$D$4:$E$59,2,FALSE),VLOOKUP(P633,PRICING!$J$4:$K$59,2,FALSE)),"")</f>
        <v/>
      </c>
      <c r="S633"/>
      <c r="U633" s="406" t="str">
        <f t="shared" si="37"/>
        <v/>
      </c>
      <c r="W633" s="408" t="str">
        <f t="shared" si="38"/>
        <v/>
      </c>
      <c r="X633" s="409" t="str">
        <f t="shared" si="39"/>
        <v/>
      </c>
    </row>
    <row r="634" spans="1:24" ht="16" x14ac:dyDescent="0.25">
      <c r="A634" s="399" t="str">
        <f>IF(B634="","",CONCATENATE("GBL",B634," - ",Mantenedor!E638))</f>
        <v/>
      </c>
      <c r="P634" s="399" t="str">
        <f t="shared" si="36"/>
        <v/>
      </c>
      <c r="Q634" s="405" t="str" cm="1">
        <f t="array" ref="Q634">+_xlfn.IFS(O634="Nacional","CLP",O634="Extranjero","USD",O634="","")</f>
        <v/>
      </c>
      <c r="R634" s="406" t="str">
        <f>IFERROR(IF(O634="Nacional",VLOOKUP(P634,PRICING!$D$4:$E$59,2,FALSE),VLOOKUP(P634,PRICING!$J$4:$K$59,2,FALSE)),"")</f>
        <v/>
      </c>
      <c r="S634"/>
      <c r="U634" s="406" t="str">
        <f t="shared" si="37"/>
        <v/>
      </c>
      <c r="W634" s="408" t="str">
        <f t="shared" si="38"/>
        <v/>
      </c>
      <c r="X634" s="409" t="str">
        <f t="shared" si="39"/>
        <v/>
      </c>
    </row>
    <row r="635" spans="1:24" ht="16" x14ac:dyDescent="0.25">
      <c r="A635" s="399" t="str">
        <f>IF(B635="","",CONCATENATE("GBL",B635," - ",Mantenedor!E639))</f>
        <v/>
      </c>
      <c r="P635" s="399" t="str">
        <f t="shared" si="36"/>
        <v/>
      </c>
      <c r="Q635" s="405" t="str" cm="1">
        <f t="array" ref="Q635">+_xlfn.IFS(O635="Nacional","CLP",O635="Extranjero","USD",O635="","")</f>
        <v/>
      </c>
      <c r="R635" s="406" t="str">
        <f>IFERROR(IF(O635="Nacional",VLOOKUP(P635,PRICING!$D$4:$E$59,2,FALSE),VLOOKUP(P635,PRICING!$J$4:$K$59,2,FALSE)),"")</f>
        <v/>
      </c>
      <c r="S635"/>
      <c r="U635" s="406" t="str">
        <f t="shared" si="37"/>
        <v/>
      </c>
      <c r="W635" s="408" t="str">
        <f t="shared" si="38"/>
        <v/>
      </c>
      <c r="X635" s="409" t="str">
        <f t="shared" si="39"/>
        <v/>
      </c>
    </row>
    <row r="636" spans="1:24" ht="16" x14ac:dyDescent="0.25">
      <c r="A636" s="399" t="str">
        <f>IF(B636="","",CONCATENATE("GBL",B636," - ",Mantenedor!E640))</f>
        <v/>
      </c>
      <c r="P636" s="399" t="str">
        <f t="shared" si="36"/>
        <v/>
      </c>
      <c r="Q636" s="405" t="str" cm="1">
        <f t="array" ref="Q636">+_xlfn.IFS(O636="Nacional","CLP",O636="Extranjero","USD",O636="","")</f>
        <v/>
      </c>
      <c r="R636" s="406" t="str">
        <f>IFERROR(IF(O636="Nacional",VLOOKUP(P636,PRICING!$D$4:$E$59,2,FALSE),VLOOKUP(P636,PRICING!$J$4:$K$59,2,FALSE)),"")</f>
        <v/>
      </c>
      <c r="S636"/>
      <c r="U636" s="406" t="str">
        <f t="shared" si="37"/>
        <v/>
      </c>
      <c r="W636" s="408" t="str">
        <f t="shared" si="38"/>
        <v/>
      </c>
      <c r="X636" s="409" t="str">
        <f t="shared" si="39"/>
        <v/>
      </c>
    </row>
    <row r="637" spans="1:24" ht="16" x14ac:dyDescent="0.25">
      <c r="A637" s="399" t="str">
        <f>IF(B637="","",CONCATENATE("GBL",B637," - ",Mantenedor!E641))</f>
        <v/>
      </c>
      <c r="P637" s="399" t="str">
        <f t="shared" si="36"/>
        <v/>
      </c>
      <c r="Q637" s="405" t="str" cm="1">
        <f t="array" ref="Q637">+_xlfn.IFS(O637="Nacional","CLP",O637="Extranjero","USD",O637="","")</f>
        <v/>
      </c>
      <c r="R637" s="406" t="str">
        <f>IFERROR(IF(O637="Nacional",VLOOKUP(P637,PRICING!$D$4:$E$59,2,FALSE),VLOOKUP(P637,PRICING!$J$4:$K$59,2,FALSE)),"")</f>
        <v/>
      </c>
      <c r="S637"/>
      <c r="U637" s="406" t="str">
        <f t="shared" si="37"/>
        <v/>
      </c>
      <c r="W637" s="408" t="str">
        <f t="shared" si="38"/>
        <v/>
      </c>
      <c r="X637" s="409" t="str">
        <f t="shared" si="39"/>
        <v/>
      </c>
    </row>
    <row r="638" spans="1:24" ht="16" x14ac:dyDescent="0.25">
      <c r="A638" s="399" t="str">
        <f>IF(B638="","",CONCATENATE("GBL",B638," - ",Mantenedor!E642))</f>
        <v/>
      </c>
      <c r="P638" s="399" t="str">
        <f t="shared" si="36"/>
        <v/>
      </c>
      <c r="Q638" s="405" t="str" cm="1">
        <f t="array" ref="Q638">+_xlfn.IFS(O638="Nacional","CLP",O638="Extranjero","USD",O638="","")</f>
        <v/>
      </c>
      <c r="R638" s="406" t="str">
        <f>IFERROR(IF(O638="Nacional",VLOOKUP(P638,PRICING!$D$4:$E$59,2,FALSE),VLOOKUP(P638,PRICING!$J$4:$K$59,2,FALSE)),"")</f>
        <v/>
      </c>
      <c r="S638"/>
      <c r="U638" s="406" t="str">
        <f t="shared" si="37"/>
        <v/>
      </c>
      <c r="W638" s="408" t="str">
        <f t="shared" si="38"/>
        <v/>
      </c>
      <c r="X638" s="409" t="str">
        <f t="shared" si="39"/>
        <v/>
      </c>
    </row>
    <row r="639" spans="1:24" ht="16" x14ac:dyDescent="0.25">
      <c r="A639" s="399" t="str">
        <f>IF(B639="","",CONCATENATE("GBL",B639," - ",Mantenedor!E643))</f>
        <v/>
      </c>
      <c r="P639" s="399" t="str">
        <f t="shared" ref="P639:P702" si="40">IF(N639="","",(IF(L639=1,(CONCATENATE("Base ",N639," ",L639," noche")),(CONCATENATE("Base ",N639," ",L639," noches")))))</f>
        <v/>
      </c>
      <c r="Q639" s="405" t="str" cm="1">
        <f t="array" ref="Q639">+_xlfn.IFS(O639="Nacional","CLP",O639="Extranjero","USD",O639="","")</f>
        <v/>
      </c>
      <c r="R639" s="406" t="str">
        <f>IFERROR(IF(O639="Nacional",VLOOKUP(P639,PRICING!$D$4:$E$59,2,FALSE),VLOOKUP(P639,PRICING!$J$4:$K$59,2,FALSE)),"")</f>
        <v/>
      </c>
      <c r="S639"/>
      <c r="U639" s="406" t="str">
        <f t="shared" ref="U639:U702" si="41">IFERROR(+R639*(1-S639),"")</f>
        <v/>
      </c>
      <c r="W639" s="408" t="str">
        <f t="shared" ref="W639:W702" si="42">+IF(U639="","","50"%)</f>
        <v/>
      </c>
      <c r="X639" s="409" t="str">
        <f t="shared" si="39"/>
        <v/>
      </c>
    </row>
    <row r="640" spans="1:24" ht="16" x14ac:dyDescent="0.25">
      <c r="A640" s="399" t="str">
        <f>IF(B640="","",CONCATENATE("GBL",B640," - ",Mantenedor!E644))</f>
        <v/>
      </c>
      <c r="P640" s="399" t="str">
        <f t="shared" si="40"/>
        <v/>
      </c>
      <c r="Q640" s="405" t="str" cm="1">
        <f t="array" ref="Q640">+_xlfn.IFS(O640="Nacional","CLP",O640="Extranjero","USD",O640="","")</f>
        <v/>
      </c>
      <c r="R640" s="406" t="str">
        <f>IFERROR(IF(O640="Nacional",VLOOKUP(P640,PRICING!$D$4:$E$59,2,FALSE),VLOOKUP(P640,PRICING!$J$4:$K$59,2,FALSE)),"")</f>
        <v/>
      </c>
      <c r="S640"/>
      <c r="U640" s="406" t="str">
        <f t="shared" si="41"/>
        <v/>
      </c>
      <c r="W640" s="408" t="str">
        <f t="shared" si="42"/>
        <v/>
      </c>
      <c r="X640" s="409" t="str">
        <f t="shared" ref="X640:X703" si="43">+IF(W640="","",(1-W640))</f>
        <v/>
      </c>
    </row>
    <row r="641" spans="1:24" ht="16" x14ac:dyDescent="0.25">
      <c r="A641" s="399" t="str">
        <f>IF(B641="","",CONCATENATE("GBL",B641," - ",Mantenedor!E645))</f>
        <v/>
      </c>
      <c r="P641" s="399" t="str">
        <f t="shared" si="40"/>
        <v/>
      </c>
      <c r="Q641" s="405" t="str" cm="1">
        <f t="array" ref="Q641">+_xlfn.IFS(O641="Nacional","CLP",O641="Extranjero","USD",O641="","")</f>
        <v/>
      </c>
      <c r="R641" s="406" t="str">
        <f>IFERROR(IF(O641="Nacional",VLOOKUP(P641,PRICING!$D$4:$E$59,2,FALSE),VLOOKUP(P641,PRICING!$J$4:$K$59,2,FALSE)),"")</f>
        <v/>
      </c>
      <c r="S641"/>
      <c r="U641" s="406" t="str">
        <f t="shared" si="41"/>
        <v/>
      </c>
      <c r="W641" s="408" t="str">
        <f t="shared" si="42"/>
        <v/>
      </c>
      <c r="X641" s="409" t="str">
        <f t="shared" si="43"/>
        <v/>
      </c>
    </row>
    <row r="642" spans="1:24" ht="16" x14ac:dyDescent="0.25">
      <c r="A642" s="399" t="str">
        <f>IF(B642="","",CONCATENATE("GBL",B642," - ",Mantenedor!E646))</f>
        <v/>
      </c>
      <c r="P642" s="399" t="str">
        <f t="shared" si="40"/>
        <v/>
      </c>
      <c r="Q642" s="405" t="str" cm="1">
        <f t="array" ref="Q642">+_xlfn.IFS(O642="Nacional","CLP",O642="Extranjero","USD",O642="","")</f>
        <v/>
      </c>
      <c r="R642" s="406" t="str">
        <f>IFERROR(IF(O642="Nacional",VLOOKUP(P642,PRICING!$D$4:$E$59,2,FALSE),VLOOKUP(P642,PRICING!$J$4:$K$59,2,FALSE)),"")</f>
        <v/>
      </c>
      <c r="S642"/>
      <c r="U642" s="406" t="str">
        <f t="shared" si="41"/>
        <v/>
      </c>
      <c r="W642" s="408" t="str">
        <f t="shared" si="42"/>
        <v/>
      </c>
      <c r="X642" s="409" t="str">
        <f t="shared" si="43"/>
        <v/>
      </c>
    </row>
    <row r="643" spans="1:24" ht="16" x14ac:dyDescent="0.25">
      <c r="A643" s="399" t="str">
        <f>IF(B643="","",CONCATENATE("GBL",B643," - ",Mantenedor!E647))</f>
        <v/>
      </c>
      <c r="P643" s="399" t="str">
        <f t="shared" si="40"/>
        <v/>
      </c>
      <c r="Q643" s="405" t="str" cm="1">
        <f t="array" ref="Q643">+_xlfn.IFS(O643="Nacional","CLP",O643="Extranjero","USD",O643="","")</f>
        <v/>
      </c>
      <c r="R643" s="406" t="str">
        <f>IFERROR(IF(O643="Nacional",VLOOKUP(P643,PRICING!$D$4:$E$59,2,FALSE),VLOOKUP(P643,PRICING!$J$4:$K$59,2,FALSE)),"")</f>
        <v/>
      </c>
      <c r="S643"/>
      <c r="U643" s="406" t="str">
        <f t="shared" si="41"/>
        <v/>
      </c>
      <c r="W643" s="408" t="str">
        <f t="shared" si="42"/>
        <v/>
      </c>
      <c r="X643" s="409" t="str">
        <f t="shared" si="43"/>
        <v/>
      </c>
    </row>
    <row r="644" spans="1:24" ht="16" x14ac:dyDescent="0.25">
      <c r="A644" s="399" t="str">
        <f>IF(B644="","",CONCATENATE("GBL",B644," - ",Mantenedor!E648))</f>
        <v/>
      </c>
      <c r="P644" s="399" t="str">
        <f t="shared" si="40"/>
        <v/>
      </c>
      <c r="Q644" s="405" t="str" cm="1">
        <f t="array" ref="Q644">+_xlfn.IFS(O644="Nacional","CLP",O644="Extranjero","USD",O644="","")</f>
        <v/>
      </c>
      <c r="R644" s="406" t="str">
        <f>IFERROR(IF(O644="Nacional",VLOOKUP(P644,PRICING!$D$4:$E$59,2,FALSE),VLOOKUP(P644,PRICING!$J$4:$K$59,2,FALSE)),"")</f>
        <v/>
      </c>
      <c r="S644"/>
      <c r="U644" s="406" t="str">
        <f t="shared" si="41"/>
        <v/>
      </c>
      <c r="W644" s="408" t="str">
        <f t="shared" si="42"/>
        <v/>
      </c>
      <c r="X644" s="409" t="str">
        <f t="shared" si="43"/>
        <v/>
      </c>
    </row>
    <row r="645" spans="1:24" ht="16" x14ac:dyDescent="0.25">
      <c r="A645" s="399" t="str">
        <f>IF(B645="","",CONCATENATE("GBL",B645," - ",Mantenedor!E649))</f>
        <v/>
      </c>
      <c r="P645" s="399" t="str">
        <f t="shared" si="40"/>
        <v/>
      </c>
      <c r="Q645" s="405" t="str" cm="1">
        <f t="array" ref="Q645">+_xlfn.IFS(O645="Nacional","CLP",O645="Extranjero","USD",O645="","")</f>
        <v/>
      </c>
      <c r="R645" s="406" t="str">
        <f>IFERROR(IF(O645="Nacional",VLOOKUP(P645,PRICING!$D$4:$E$59,2,FALSE),VLOOKUP(P645,PRICING!$J$4:$K$59,2,FALSE)),"")</f>
        <v/>
      </c>
      <c r="S645"/>
      <c r="U645" s="406" t="str">
        <f t="shared" si="41"/>
        <v/>
      </c>
      <c r="W645" s="408" t="str">
        <f t="shared" si="42"/>
        <v/>
      </c>
      <c r="X645" s="409" t="str">
        <f t="shared" si="43"/>
        <v/>
      </c>
    </row>
    <row r="646" spans="1:24" ht="16" x14ac:dyDescent="0.25">
      <c r="A646" s="399" t="str">
        <f>IF(B646="","",CONCATENATE("GBL",B646," - ",Mantenedor!E650))</f>
        <v/>
      </c>
      <c r="P646" s="399" t="str">
        <f t="shared" si="40"/>
        <v/>
      </c>
      <c r="Q646" s="405" t="str" cm="1">
        <f t="array" ref="Q646">+_xlfn.IFS(O646="Nacional","CLP",O646="Extranjero","USD",O646="","")</f>
        <v/>
      </c>
      <c r="R646" s="406" t="str">
        <f>IFERROR(IF(O646="Nacional",VLOOKUP(P646,PRICING!$D$4:$E$59,2,FALSE),VLOOKUP(P646,PRICING!$J$4:$K$59,2,FALSE)),"")</f>
        <v/>
      </c>
      <c r="S646"/>
      <c r="U646" s="406" t="str">
        <f t="shared" si="41"/>
        <v/>
      </c>
      <c r="W646" s="408" t="str">
        <f t="shared" si="42"/>
        <v/>
      </c>
      <c r="X646" s="409" t="str">
        <f t="shared" si="43"/>
        <v/>
      </c>
    </row>
    <row r="647" spans="1:24" ht="16" x14ac:dyDescent="0.25">
      <c r="A647" s="399" t="str">
        <f>IF(B647="","",CONCATENATE("GBL",B647," - ",Mantenedor!E651))</f>
        <v/>
      </c>
      <c r="P647" s="399" t="str">
        <f t="shared" si="40"/>
        <v/>
      </c>
      <c r="Q647" s="405" t="str" cm="1">
        <f t="array" ref="Q647">+_xlfn.IFS(O647="Nacional","CLP",O647="Extranjero","USD",O647="","")</f>
        <v/>
      </c>
      <c r="R647" s="406" t="str">
        <f>IFERROR(IF(O647="Nacional",VLOOKUP(P647,PRICING!$D$4:$E$59,2,FALSE),VLOOKUP(P647,PRICING!$J$4:$K$59,2,FALSE)),"")</f>
        <v/>
      </c>
      <c r="S647"/>
      <c r="U647" s="406" t="str">
        <f t="shared" si="41"/>
        <v/>
      </c>
      <c r="W647" s="408" t="str">
        <f t="shared" si="42"/>
        <v/>
      </c>
      <c r="X647" s="409" t="str">
        <f t="shared" si="43"/>
        <v/>
      </c>
    </row>
    <row r="648" spans="1:24" ht="16" x14ac:dyDescent="0.25">
      <c r="A648" s="399" t="str">
        <f>IF(B648="","",CONCATENATE("GBL",B648," - ",Mantenedor!E652))</f>
        <v/>
      </c>
      <c r="P648" s="399" t="str">
        <f t="shared" si="40"/>
        <v/>
      </c>
      <c r="Q648" s="405" t="str" cm="1">
        <f t="array" ref="Q648">+_xlfn.IFS(O648="Nacional","CLP",O648="Extranjero","USD",O648="","")</f>
        <v/>
      </c>
      <c r="R648" s="406" t="str">
        <f>IFERROR(IF(O648="Nacional",VLOOKUP(P648,PRICING!$D$4:$E$59,2,FALSE),VLOOKUP(P648,PRICING!$J$4:$K$59,2,FALSE)),"")</f>
        <v/>
      </c>
      <c r="S648"/>
      <c r="U648" s="406" t="str">
        <f t="shared" si="41"/>
        <v/>
      </c>
      <c r="W648" s="408" t="str">
        <f t="shared" si="42"/>
        <v/>
      </c>
      <c r="X648" s="409" t="str">
        <f t="shared" si="43"/>
        <v/>
      </c>
    </row>
    <row r="649" spans="1:24" ht="16" x14ac:dyDescent="0.25">
      <c r="A649" s="399" t="str">
        <f>IF(B649="","",CONCATENATE("GBL",B649," - ",Mantenedor!E653))</f>
        <v/>
      </c>
      <c r="P649" s="399" t="str">
        <f t="shared" si="40"/>
        <v/>
      </c>
      <c r="Q649" s="405" t="str" cm="1">
        <f t="array" ref="Q649">+_xlfn.IFS(O649="Nacional","CLP",O649="Extranjero","USD",O649="","")</f>
        <v/>
      </c>
      <c r="R649" s="406" t="str">
        <f>IFERROR(IF(O649="Nacional",VLOOKUP(P649,PRICING!$D$4:$E$59,2,FALSE),VLOOKUP(P649,PRICING!$J$4:$K$59,2,FALSE)),"")</f>
        <v/>
      </c>
      <c r="S649"/>
      <c r="U649" s="406" t="str">
        <f t="shared" si="41"/>
        <v/>
      </c>
      <c r="W649" s="408" t="str">
        <f t="shared" si="42"/>
        <v/>
      </c>
      <c r="X649" s="409" t="str">
        <f t="shared" si="43"/>
        <v/>
      </c>
    </row>
    <row r="650" spans="1:24" ht="16" x14ac:dyDescent="0.25">
      <c r="A650" s="399" t="str">
        <f>IF(B650="","",CONCATENATE("GBL",B650," - ",Mantenedor!E654))</f>
        <v/>
      </c>
      <c r="P650" s="399" t="str">
        <f t="shared" si="40"/>
        <v/>
      </c>
      <c r="Q650" s="405" t="str" cm="1">
        <f t="array" ref="Q650">+_xlfn.IFS(O650="Nacional","CLP",O650="Extranjero","USD",O650="","")</f>
        <v/>
      </c>
      <c r="R650" s="406" t="str">
        <f>IFERROR(IF(O650="Nacional",VLOOKUP(P650,PRICING!$D$4:$E$59,2,FALSE),VLOOKUP(P650,PRICING!$J$4:$K$59,2,FALSE)),"")</f>
        <v/>
      </c>
      <c r="S650"/>
      <c r="U650" s="406" t="str">
        <f t="shared" si="41"/>
        <v/>
      </c>
      <c r="W650" s="408" t="str">
        <f t="shared" si="42"/>
        <v/>
      </c>
      <c r="X650" s="409" t="str">
        <f t="shared" si="43"/>
        <v/>
      </c>
    </row>
    <row r="651" spans="1:24" ht="16" x14ac:dyDescent="0.25">
      <c r="A651" s="399" t="str">
        <f>IF(B651="","",CONCATENATE("GBL",B651," - ",Mantenedor!E655))</f>
        <v/>
      </c>
      <c r="P651" s="399" t="str">
        <f t="shared" si="40"/>
        <v/>
      </c>
      <c r="Q651" s="405" t="str" cm="1">
        <f t="array" ref="Q651">+_xlfn.IFS(O651="Nacional","CLP",O651="Extranjero","USD",O651="","")</f>
        <v/>
      </c>
      <c r="R651" s="406" t="str">
        <f>IFERROR(IF(O651="Nacional",VLOOKUP(P651,PRICING!$D$4:$E$59,2,FALSE),VLOOKUP(P651,PRICING!$J$4:$K$59,2,FALSE)),"")</f>
        <v/>
      </c>
      <c r="S651"/>
      <c r="U651" s="406" t="str">
        <f t="shared" si="41"/>
        <v/>
      </c>
      <c r="W651" s="408" t="str">
        <f t="shared" si="42"/>
        <v/>
      </c>
      <c r="X651" s="409" t="str">
        <f t="shared" si="43"/>
        <v/>
      </c>
    </row>
    <row r="652" spans="1:24" ht="16" x14ac:dyDescent="0.25">
      <c r="A652" s="399" t="str">
        <f>IF(B652="","",CONCATENATE("GBL",B652," - ",Mantenedor!E656))</f>
        <v/>
      </c>
      <c r="P652" s="399" t="str">
        <f t="shared" si="40"/>
        <v/>
      </c>
      <c r="Q652" s="405" t="str" cm="1">
        <f t="array" ref="Q652">+_xlfn.IFS(O652="Nacional","CLP",O652="Extranjero","USD",O652="","")</f>
        <v/>
      </c>
      <c r="R652" s="406" t="str">
        <f>IFERROR(IF(O652="Nacional",VLOOKUP(P652,PRICING!$D$4:$E$59,2,FALSE),VLOOKUP(P652,PRICING!$J$4:$K$59,2,FALSE)),"")</f>
        <v/>
      </c>
      <c r="S652"/>
      <c r="U652" s="406" t="str">
        <f t="shared" si="41"/>
        <v/>
      </c>
      <c r="W652" s="408" t="str">
        <f t="shared" si="42"/>
        <v/>
      </c>
      <c r="X652" s="409" t="str">
        <f t="shared" si="43"/>
        <v/>
      </c>
    </row>
    <row r="653" spans="1:24" ht="16" x14ac:dyDescent="0.25">
      <c r="A653" s="399" t="str">
        <f>IF(B653="","",CONCATENATE("GBL",B653," - ",Mantenedor!E657))</f>
        <v/>
      </c>
      <c r="P653" s="399" t="str">
        <f t="shared" si="40"/>
        <v/>
      </c>
      <c r="Q653" s="405" t="str" cm="1">
        <f t="array" ref="Q653">+_xlfn.IFS(O653="Nacional","CLP",O653="Extranjero","USD",O653="","")</f>
        <v/>
      </c>
      <c r="R653" s="406" t="str">
        <f>IFERROR(IF(O653="Nacional",VLOOKUP(P653,PRICING!$D$4:$E$59,2,FALSE),VLOOKUP(P653,PRICING!$J$4:$K$59,2,FALSE)),"")</f>
        <v/>
      </c>
      <c r="S653"/>
      <c r="U653" s="406" t="str">
        <f t="shared" si="41"/>
        <v/>
      </c>
      <c r="W653" s="408" t="str">
        <f t="shared" si="42"/>
        <v/>
      </c>
      <c r="X653" s="409" t="str">
        <f t="shared" si="43"/>
        <v/>
      </c>
    </row>
    <row r="654" spans="1:24" ht="16" x14ac:dyDescent="0.25">
      <c r="A654" s="399" t="str">
        <f>IF(B654="","",CONCATENATE("GBL",B654," - ",Mantenedor!E658))</f>
        <v/>
      </c>
      <c r="P654" s="399" t="str">
        <f t="shared" si="40"/>
        <v/>
      </c>
      <c r="Q654" s="405" t="str" cm="1">
        <f t="array" ref="Q654">+_xlfn.IFS(O654="Nacional","CLP",O654="Extranjero","USD",O654="","")</f>
        <v/>
      </c>
      <c r="R654" s="406" t="str">
        <f>IFERROR(IF(O654="Nacional",VLOOKUP(P654,PRICING!$D$4:$E$59,2,FALSE),VLOOKUP(P654,PRICING!$J$4:$K$59,2,FALSE)),"")</f>
        <v/>
      </c>
      <c r="S654"/>
      <c r="U654" s="406" t="str">
        <f t="shared" si="41"/>
        <v/>
      </c>
      <c r="W654" s="408" t="str">
        <f t="shared" si="42"/>
        <v/>
      </c>
      <c r="X654" s="409" t="str">
        <f t="shared" si="43"/>
        <v/>
      </c>
    </row>
    <row r="655" spans="1:24" ht="16" x14ac:dyDescent="0.25">
      <c r="A655" s="399" t="str">
        <f>IF(B655="","",CONCATENATE("GBL",B655," - ",Mantenedor!E659))</f>
        <v/>
      </c>
      <c r="P655" s="399" t="str">
        <f t="shared" si="40"/>
        <v/>
      </c>
      <c r="Q655" s="405" t="str" cm="1">
        <f t="array" ref="Q655">+_xlfn.IFS(O655="Nacional","CLP",O655="Extranjero","USD",O655="","")</f>
        <v/>
      </c>
      <c r="R655" s="406" t="str">
        <f>IFERROR(IF(O655="Nacional",VLOOKUP(P655,PRICING!$D$4:$E$59,2,FALSE),VLOOKUP(P655,PRICING!$J$4:$K$59,2,FALSE)),"")</f>
        <v/>
      </c>
      <c r="S655"/>
      <c r="U655" s="406" t="str">
        <f t="shared" si="41"/>
        <v/>
      </c>
      <c r="W655" s="408" t="str">
        <f t="shared" si="42"/>
        <v/>
      </c>
      <c r="X655" s="409" t="str">
        <f t="shared" si="43"/>
        <v/>
      </c>
    </row>
    <row r="656" spans="1:24" ht="16" x14ac:dyDescent="0.25">
      <c r="A656" s="399" t="str">
        <f>IF(B656="","",CONCATENATE("GBL",B656," - ",Mantenedor!E660))</f>
        <v/>
      </c>
      <c r="P656" s="399" t="str">
        <f t="shared" si="40"/>
        <v/>
      </c>
      <c r="Q656" s="405" t="str" cm="1">
        <f t="array" ref="Q656">+_xlfn.IFS(O656="Nacional","CLP",O656="Extranjero","USD",O656="","")</f>
        <v/>
      </c>
      <c r="R656" s="406" t="str">
        <f>IFERROR(IF(O656="Nacional",VLOOKUP(P656,PRICING!$D$4:$E$59,2,FALSE),VLOOKUP(P656,PRICING!$J$4:$K$59,2,FALSE)),"")</f>
        <v/>
      </c>
      <c r="S656"/>
      <c r="U656" s="406" t="str">
        <f t="shared" si="41"/>
        <v/>
      </c>
      <c r="W656" s="408" t="str">
        <f t="shared" si="42"/>
        <v/>
      </c>
      <c r="X656" s="409" t="str">
        <f t="shared" si="43"/>
        <v/>
      </c>
    </row>
    <row r="657" spans="1:24" ht="16" x14ac:dyDescent="0.25">
      <c r="A657" s="399" t="str">
        <f>IF(B657="","",CONCATENATE("GBL",B657," - ",Mantenedor!E661))</f>
        <v/>
      </c>
      <c r="P657" s="399" t="str">
        <f t="shared" si="40"/>
        <v/>
      </c>
      <c r="Q657" s="405" t="str" cm="1">
        <f t="array" ref="Q657">+_xlfn.IFS(O657="Nacional","CLP",O657="Extranjero","USD",O657="","")</f>
        <v/>
      </c>
      <c r="R657" s="406" t="str">
        <f>IFERROR(IF(O657="Nacional",VLOOKUP(P657,PRICING!$D$4:$E$59,2,FALSE),VLOOKUP(P657,PRICING!$J$4:$K$59,2,FALSE)),"")</f>
        <v/>
      </c>
      <c r="S657"/>
      <c r="U657" s="406" t="str">
        <f t="shared" si="41"/>
        <v/>
      </c>
      <c r="W657" s="408" t="str">
        <f t="shared" si="42"/>
        <v/>
      </c>
      <c r="X657" s="409" t="str">
        <f t="shared" si="43"/>
        <v/>
      </c>
    </row>
    <row r="658" spans="1:24" ht="16" x14ac:dyDescent="0.25">
      <c r="A658" s="399" t="str">
        <f>IF(B658="","",CONCATENATE("GBL",B658," - ",Mantenedor!E662))</f>
        <v/>
      </c>
      <c r="P658" s="399" t="str">
        <f t="shared" si="40"/>
        <v/>
      </c>
      <c r="Q658" s="405" t="str" cm="1">
        <f t="array" ref="Q658">+_xlfn.IFS(O658="Nacional","CLP",O658="Extranjero","USD",O658="","")</f>
        <v/>
      </c>
      <c r="R658" s="406" t="str">
        <f>IFERROR(IF(O658="Nacional",VLOOKUP(P658,PRICING!$D$4:$E$59,2,FALSE),VLOOKUP(P658,PRICING!$J$4:$K$59,2,FALSE)),"")</f>
        <v/>
      </c>
      <c r="S658"/>
      <c r="U658" s="406" t="str">
        <f t="shared" si="41"/>
        <v/>
      </c>
      <c r="W658" s="408" t="str">
        <f t="shared" si="42"/>
        <v/>
      </c>
      <c r="X658" s="409" t="str">
        <f t="shared" si="43"/>
        <v/>
      </c>
    </row>
    <row r="659" spans="1:24" ht="16" x14ac:dyDescent="0.25">
      <c r="A659" s="399" t="str">
        <f>IF(B659="","",CONCATENATE("GBL",B659," - ",Mantenedor!E663))</f>
        <v/>
      </c>
      <c r="P659" s="399" t="str">
        <f t="shared" si="40"/>
        <v/>
      </c>
      <c r="Q659" s="405" t="str" cm="1">
        <f t="array" ref="Q659">+_xlfn.IFS(O659="Nacional","CLP",O659="Extranjero","USD",O659="","")</f>
        <v/>
      </c>
      <c r="R659" s="406" t="str">
        <f>IFERROR(IF(O659="Nacional",VLOOKUP(P659,PRICING!$D$4:$E$59,2,FALSE),VLOOKUP(P659,PRICING!$J$4:$K$59,2,FALSE)),"")</f>
        <v/>
      </c>
      <c r="S659"/>
      <c r="U659" s="406" t="str">
        <f t="shared" si="41"/>
        <v/>
      </c>
      <c r="W659" s="408" t="str">
        <f t="shared" si="42"/>
        <v/>
      </c>
      <c r="X659" s="409" t="str">
        <f t="shared" si="43"/>
        <v/>
      </c>
    </row>
    <row r="660" spans="1:24" ht="16" x14ac:dyDescent="0.25">
      <c r="A660" s="399" t="str">
        <f>IF(B660="","",CONCATENATE("GBL",B660," - ",Mantenedor!E664))</f>
        <v/>
      </c>
      <c r="P660" s="399" t="str">
        <f t="shared" si="40"/>
        <v/>
      </c>
      <c r="Q660" s="405" t="str" cm="1">
        <f t="array" ref="Q660">+_xlfn.IFS(O660="Nacional","CLP",O660="Extranjero","USD",O660="","")</f>
        <v/>
      </c>
      <c r="R660" s="406" t="str">
        <f>IFERROR(IF(O660="Nacional",VLOOKUP(P660,PRICING!$D$4:$E$59,2,FALSE),VLOOKUP(P660,PRICING!$J$4:$K$59,2,FALSE)),"")</f>
        <v/>
      </c>
      <c r="S660"/>
      <c r="U660" s="406" t="str">
        <f t="shared" si="41"/>
        <v/>
      </c>
      <c r="W660" s="408" t="str">
        <f t="shared" si="42"/>
        <v/>
      </c>
      <c r="X660" s="409" t="str">
        <f t="shared" si="43"/>
        <v/>
      </c>
    </row>
    <row r="661" spans="1:24" ht="16" x14ac:dyDescent="0.25">
      <c r="A661" s="399" t="str">
        <f>IF(B661="","",CONCATENATE("GBL",B661," - ",Mantenedor!E665))</f>
        <v/>
      </c>
      <c r="P661" s="399" t="str">
        <f t="shared" si="40"/>
        <v/>
      </c>
      <c r="Q661" s="405" t="str" cm="1">
        <f t="array" ref="Q661">+_xlfn.IFS(O661="Nacional","CLP",O661="Extranjero","USD",O661="","")</f>
        <v/>
      </c>
      <c r="R661" s="406" t="str">
        <f>IFERROR(IF(O661="Nacional",VLOOKUP(P661,PRICING!$D$4:$E$59,2,FALSE),VLOOKUP(P661,PRICING!$J$4:$K$59,2,FALSE)),"")</f>
        <v/>
      </c>
      <c r="S661"/>
      <c r="U661" s="406" t="str">
        <f t="shared" si="41"/>
        <v/>
      </c>
      <c r="W661" s="408" t="str">
        <f t="shared" si="42"/>
        <v/>
      </c>
      <c r="X661" s="409" t="str">
        <f t="shared" si="43"/>
        <v/>
      </c>
    </row>
    <row r="662" spans="1:24" ht="16" x14ac:dyDescent="0.25">
      <c r="A662" s="399" t="str">
        <f>IF(B662="","",CONCATENATE("GBL",B662," - ",Mantenedor!E666))</f>
        <v/>
      </c>
      <c r="P662" s="399" t="str">
        <f t="shared" si="40"/>
        <v/>
      </c>
      <c r="Q662" s="405" t="str" cm="1">
        <f t="array" ref="Q662">+_xlfn.IFS(O662="Nacional","CLP",O662="Extranjero","USD",O662="","")</f>
        <v/>
      </c>
      <c r="R662" s="406" t="str">
        <f>IFERROR(IF(O662="Nacional",VLOOKUP(P662,PRICING!$D$4:$E$59,2,FALSE),VLOOKUP(P662,PRICING!$J$4:$K$59,2,FALSE)),"")</f>
        <v/>
      </c>
      <c r="S662"/>
      <c r="U662" s="406" t="str">
        <f t="shared" si="41"/>
        <v/>
      </c>
      <c r="W662" s="408" t="str">
        <f t="shared" si="42"/>
        <v/>
      </c>
      <c r="X662" s="409" t="str">
        <f t="shared" si="43"/>
        <v/>
      </c>
    </row>
    <row r="663" spans="1:24" ht="16" x14ac:dyDescent="0.25">
      <c r="A663" s="399" t="str">
        <f>IF(B663="","",CONCATENATE("GBL",B663," - ",Mantenedor!E667))</f>
        <v/>
      </c>
      <c r="P663" s="399" t="str">
        <f t="shared" si="40"/>
        <v/>
      </c>
      <c r="Q663" s="405" t="str" cm="1">
        <f t="array" ref="Q663">+_xlfn.IFS(O663="Nacional","CLP",O663="Extranjero","USD",O663="","")</f>
        <v/>
      </c>
      <c r="R663" s="406" t="str">
        <f>IFERROR(IF(O663="Nacional",VLOOKUP(P663,PRICING!$D$4:$E$59,2,FALSE),VLOOKUP(P663,PRICING!$J$4:$K$59,2,FALSE)),"")</f>
        <v/>
      </c>
      <c r="S663"/>
      <c r="U663" s="406" t="str">
        <f t="shared" si="41"/>
        <v/>
      </c>
      <c r="W663" s="408" t="str">
        <f t="shared" si="42"/>
        <v/>
      </c>
      <c r="X663" s="409" t="str">
        <f t="shared" si="43"/>
        <v/>
      </c>
    </row>
    <row r="664" spans="1:24" ht="16" x14ac:dyDescent="0.25">
      <c r="A664" s="399" t="str">
        <f>IF(B664="","",CONCATENATE("GBL",B664," - ",Mantenedor!E668))</f>
        <v/>
      </c>
      <c r="P664" s="399" t="str">
        <f t="shared" si="40"/>
        <v/>
      </c>
      <c r="Q664" s="405" t="str" cm="1">
        <f t="array" ref="Q664">+_xlfn.IFS(O664="Nacional","CLP",O664="Extranjero","USD",O664="","")</f>
        <v/>
      </c>
      <c r="R664" s="406" t="str">
        <f>IFERROR(IF(O664="Nacional",VLOOKUP(P664,PRICING!$D$4:$E$59,2,FALSE),VLOOKUP(P664,PRICING!$J$4:$K$59,2,FALSE)),"")</f>
        <v/>
      </c>
      <c r="S664"/>
      <c r="U664" s="406" t="str">
        <f t="shared" si="41"/>
        <v/>
      </c>
      <c r="W664" s="408" t="str">
        <f t="shared" si="42"/>
        <v/>
      </c>
      <c r="X664" s="409" t="str">
        <f t="shared" si="43"/>
        <v/>
      </c>
    </row>
    <row r="665" spans="1:24" ht="16" x14ac:dyDescent="0.25">
      <c r="A665" s="399" t="str">
        <f>IF(B665="","",CONCATENATE("GBL",B665," - ",Mantenedor!E669))</f>
        <v/>
      </c>
      <c r="P665" s="399" t="str">
        <f t="shared" si="40"/>
        <v/>
      </c>
      <c r="Q665" s="405" t="str" cm="1">
        <f t="array" ref="Q665">+_xlfn.IFS(O665="Nacional","CLP",O665="Extranjero","USD",O665="","")</f>
        <v/>
      </c>
      <c r="R665" s="406" t="str">
        <f>IFERROR(IF(O665="Nacional",VLOOKUP(P665,PRICING!$D$4:$E$59,2,FALSE),VLOOKUP(P665,PRICING!$J$4:$K$59,2,FALSE)),"")</f>
        <v/>
      </c>
      <c r="S665"/>
      <c r="U665" s="406" t="str">
        <f t="shared" si="41"/>
        <v/>
      </c>
      <c r="W665" s="408" t="str">
        <f t="shared" si="42"/>
        <v/>
      </c>
      <c r="X665" s="409" t="str">
        <f t="shared" si="43"/>
        <v/>
      </c>
    </row>
    <row r="666" spans="1:24" ht="16" x14ac:dyDescent="0.25">
      <c r="A666" s="399" t="str">
        <f>IF(B666="","",CONCATENATE("GBL",B666," - ",Mantenedor!E670))</f>
        <v/>
      </c>
      <c r="P666" s="399" t="str">
        <f t="shared" si="40"/>
        <v/>
      </c>
      <c r="Q666" s="405" t="str" cm="1">
        <f t="array" ref="Q666">+_xlfn.IFS(O666="Nacional","CLP",O666="Extranjero","USD",O666="","")</f>
        <v/>
      </c>
      <c r="R666" s="406" t="str">
        <f>IFERROR(IF(O666="Nacional",VLOOKUP(P666,PRICING!$D$4:$E$59,2,FALSE),VLOOKUP(P666,PRICING!$J$4:$K$59,2,FALSE)),"")</f>
        <v/>
      </c>
      <c r="S666"/>
      <c r="U666" s="406" t="str">
        <f t="shared" si="41"/>
        <v/>
      </c>
      <c r="W666" s="408" t="str">
        <f t="shared" si="42"/>
        <v/>
      </c>
      <c r="X666" s="409" t="str">
        <f t="shared" si="43"/>
        <v/>
      </c>
    </row>
    <row r="667" spans="1:24" ht="16" x14ac:dyDescent="0.25">
      <c r="A667" s="399" t="str">
        <f>IF(B667="","",CONCATENATE("GBL",B667," - ",Mantenedor!E671))</f>
        <v/>
      </c>
      <c r="P667" s="399" t="str">
        <f t="shared" si="40"/>
        <v/>
      </c>
      <c r="Q667" s="405" t="str" cm="1">
        <f t="array" ref="Q667">+_xlfn.IFS(O667="Nacional","CLP",O667="Extranjero","USD",O667="","")</f>
        <v/>
      </c>
      <c r="R667" s="406" t="str">
        <f>IFERROR(IF(O667="Nacional",VLOOKUP(P667,PRICING!$D$4:$E$59,2,FALSE),VLOOKUP(P667,PRICING!$J$4:$K$59,2,FALSE)),"")</f>
        <v/>
      </c>
      <c r="S667"/>
      <c r="U667" s="406" t="str">
        <f t="shared" si="41"/>
        <v/>
      </c>
      <c r="W667" s="408" t="str">
        <f t="shared" si="42"/>
        <v/>
      </c>
      <c r="X667" s="409" t="str">
        <f t="shared" si="43"/>
        <v/>
      </c>
    </row>
    <row r="668" spans="1:24" ht="16" x14ac:dyDescent="0.25">
      <c r="A668" s="399" t="str">
        <f>IF(B668="","",CONCATENATE("GBL",B668," - ",Mantenedor!E672))</f>
        <v/>
      </c>
      <c r="P668" s="399" t="str">
        <f t="shared" si="40"/>
        <v/>
      </c>
      <c r="Q668" s="405" t="str" cm="1">
        <f t="array" ref="Q668">+_xlfn.IFS(O668="Nacional","CLP",O668="Extranjero","USD",O668="","")</f>
        <v/>
      </c>
      <c r="R668" s="406" t="str">
        <f>IFERROR(IF(O668="Nacional",VLOOKUP(P668,PRICING!$D$4:$E$59,2,FALSE),VLOOKUP(P668,PRICING!$J$4:$K$59,2,FALSE)),"")</f>
        <v/>
      </c>
      <c r="S668"/>
      <c r="U668" s="406" t="str">
        <f t="shared" si="41"/>
        <v/>
      </c>
      <c r="W668" s="408" t="str">
        <f t="shared" si="42"/>
        <v/>
      </c>
      <c r="X668" s="409" t="str">
        <f t="shared" si="43"/>
        <v/>
      </c>
    </row>
    <row r="669" spans="1:24" ht="16" x14ac:dyDescent="0.25">
      <c r="A669" s="399" t="str">
        <f>IF(B669="","",CONCATENATE("GBL",B669," - ",Mantenedor!E673))</f>
        <v/>
      </c>
      <c r="P669" s="399" t="str">
        <f t="shared" si="40"/>
        <v/>
      </c>
      <c r="Q669" s="405" t="str" cm="1">
        <f t="array" ref="Q669">+_xlfn.IFS(O669="Nacional","CLP",O669="Extranjero","USD",O669="","")</f>
        <v/>
      </c>
      <c r="R669" s="406" t="str">
        <f>IFERROR(IF(O669="Nacional",VLOOKUP(P669,PRICING!$D$4:$E$59,2,FALSE),VLOOKUP(P669,PRICING!$J$4:$K$59,2,FALSE)),"")</f>
        <v/>
      </c>
      <c r="S669"/>
      <c r="U669" s="406" t="str">
        <f t="shared" si="41"/>
        <v/>
      </c>
      <c r="W669" s="408" t="str">
        <f t="shared" si="42"/>
        <v/>
      </c>
      <c r="X669" s="409" t="str">
        <f t="shared" si="43"/>
        <v/>
      </c>
    </row>
    <row r="670" spans="1:24" ht="16" x14ac:dyDescent="0.25">
      <c r="A670" s="399" t="str">
        <f>IF(B670="","",CONCATENATE("GBL",B670," - ",Mantenedor!E674))</f>
        <v/>
      </c>
      <c r="P670" s="399" t="str">
        <f t="shared" si="40"/>
        <v/>
      </c>
      <c r="Q670" s="405" t="str" cm="1">
        <f t="array" ref="Q670">+_xlfn.IFS(O670="Nacional","CLP",O670="Extranjero","USD",O670="","")</f>
        <v/>
      </c>
      <c r="R670" s="406" t="str">
        <f>IFERROR(IF(O670="Nacional",VLOOKUP(P670,PRICING!$D$4:$E$59,2,FALSE),VLOOKUP(P670,PRICING!$J$4:$K$59,2,FALSE)),"")</f>
        <v/>
      </c>
      <c r="S670"/>
      <c r="U670" s="406" t="str">
        <f t="shared" si="41"/>
        <v/>
      </c>
      <c r="W670" s="408" t="str">
        <f t="shared" si="42"/>
        <v/>
      </c>
      <c r="X670" s="409" t="str">
        <f t="shared" si="43"/>
        <v/>
      </c>
    </row>
    <row r="671" spans="1:24" ht="16" x14ac:dyDescent="0.25">
      <c r="A671" s="399" t="str">
        <f>IF(B671="","",CONCATENATE("GBL",B671," - ",Mantenedor!E675))</f>
        <v/>
      </c>
      <c r="P671" s="399" t="str">
        <f t="shared" si="40"/>
        <v/>
      </c>
      <c r="Q671" s="405" t="str" cm="1">
        <f t="array" ref="Q671">+_xlfn.IFS(O671="Nacional","CLP",O671="Extranjero","USD",O671="","")</f>
        <v/>
      </c>
      <c r="R671" s="406" t="str">
        <f>IFERROR(IF(O671="Nacional",VLOOKUP(P671,PRICING!$D$4:$E$59,2,FALSE),VLOOKUP(P671,PRICING!$J$4:$K$59,2,FALSE)),"")</f>
        <v/>
      </c>
      <c r="S671"/>
      <c r="U671" s="406" t="str">
        <f t="shared" si="41"/>
        <v/>
      </c>
      <c r="W671" s="408" t="str">
        <f t="shared" si="42"/>
        <v/>
      </c>
      <c r="X671" s="409" t="str">
        <f t="shared" si="43"/>
        <v/>
      </c>
    </row>
    <row r="672" spans="1:24" ht="16" x14ac:dyDescent="0.25">
      <c r="A672" s="399" t="str">
        <f>IF(B672="","",CONCATENATE("GBL",B672," - ",Mantenedor!E676))</f>
        <v/>
      </c>
      <c r="P672" s="399" t="str">
        <f t="shared" si="40"/>
        <v/>
      </c>
      <c r="Q672" s="405" t="str" cm="1">
        <f t="array" ref="Q672">+_xlfn.IFS(O672="Nacional","CLP",O672="Extranjero","USD",O672="","")</f>
        <v/>
      </c>
      <c r="R672" s="406" t="str">
        <f>IFERROR(IF(O672="Nacional",VLOOKUP(P672,PRICING!$D$4:$E$59,2,FALSE),VLOOKUP(P672,PRICING!$J$4:$K$59,2,FALSE)),"")</f>
        <v/>
      </c>
      <c r="S672"/>
      <c r="U672" s="406" t="str">
        <f t="shared" si="41"/>
        <v/>
      </c>
      <c r="W672" s="408" t="str">
        <f t="shared" si="42"/>
        <v/>
      </c>
      <c r="X672" s="409" t="str">
        <f t="shared" si="43"/>
        <v/>
      </c>
    </row>
    <row r="673" spans="1:24" ht="16" x14ac:dyDescent="0.25">
      <c r="A673" s="399" t="str">
        <f>IF(B673="","",CONCATENATE("GBL",B673," - ",Mantenedor!E677))</f>
        <v/>
      </c>
      <c r="P673" s="399" t="str">
        <f t="shared" si="40"/>
        <v/>
      </c>
      <c r="Q673" s="405" t="str" cm="1">
        <f t="array" ref="Q673">+_xlfn.IFS(O673="Nacional","CLP",O673="Extranjero","USD",O673="","")</f>
        <v/>
      </c>
      <c r="R673" s="406" t="str">
        <f>IFERROR(IF(O673="Nacional",VLOOKUP(P673,PRICING!$D$4:$E$59,2,FALSE),VLOOKUP(P673,PRICING!$J$4:$K$59,2,FALSE)),"")</f>
        <v/>
      </c>
      <c r="S673"/>
      <c r="U673" s="406" t="str">
        <f t="shared" si="41"/>
        <v/>
      </c>
      <c r="W673" s="408" t="str">
        <f t="shared" si="42"/>
        <v/>
      </c>
      <c r="X673" s="409" t="str">
        <f t="shared" si="43"/>
        <v/>
      </c>
    </row>
    <row r="674" spans="1:24" ht="16" x14ac:dyDescent="0.25">
      <c r="A674" s="399" t="str">
        <f>IF(B674="","",CONCATENATE("GBL",B674," - ",Mantenedor!E678))</f>
        <v/>
      </c>
      <c r="P674" s="399" t="str">
        <f t="shared" si="40"/>
        <v/>
      </c>
      <c r="Q674" s="405" t="str" cm="1">
        <f t="array" ref="Q674">+_xlfn.IFS(O674="Nacional","CLP",O674="Extranjero","USD",O674="","")</f>
        <v/>
      </c>
      <c r="R674" s="406" t="str">
        <f>IFERROR(IF(O674="Nacional",VLOOKUP(P674,PRICING!$D$4:$E$59,2,FALSE),VLOOKUP(P674,PRICING!$J$4:$K$59,2,FALSE)),"")</f>
        <v/>
      </c>
      <c r="S674"/>
      <c r="U674" s="406" t="str">
        <f t="shared" si="41"/>
        <v/>
      </c>
      <c r="W674" s="408" t="str">
        <f t="shared" si="42"/>
        <v/>
      </c>
      <c r="X674" s="409" t="str">
        <f t="shared" si="43"/>
        <v/>
      </c>
    </row>
    <row r="675" spans="1:24" ht="16" x14ac:dyDescent="0.25">
      <c r="A675" s="399" t="str">
        <f>IF(B675="","",CONCATENATE("GBL",B675," - ",Mantenedor!E679))</f>
        <v/>
      </c>
      <c r="P675" s="399" t="str">
        <f t="shared" si="40"/>
        <v/>
      </c>
      <c r="Q675" s="405" t="str" cm="1">
        <f t="array" ref="Q675">+_xlfn.IFS(O675="Nacional","CLP",O675="Extranjero","USD",O675="","")</f>
        <v/>
      </c>
      <c r="R675" s="406" t="str">
        <f>IFERROR(IF(O675="Nacional",VLOOKUP(P675,PRICING!$D$4:$E$59,2,FALSE),VLOOKUP(P675,PRICING!$J$4:$K$59,2,FALSE)),"")</f>
        <v/>
      </c>
      <c r="S675"/>
      <c r="U675" s="406" t="str">
        <f t="shared" si="41"/>
        <v/>
      </c>
      <c r="W675" s="408" t="str">
        <f t="shared" si="42"/>
        <v/>
      </c>
      <c r="X675" s="409" t="str">
        <f t="shared" si="43"/>
        <v/>
      </c>
    </row>
    <row r="676" spans="1:24" ht="16" x14ac:dyDescent="0.25">
      <c r="A676" s="399" t="str">
        <f>IF(B676="","",CONCATENATE("GBL",B676," - ",Mantenedor!E680))</f>
        <v/>
      </c>
      <c r="P676" s="399" t="str">
        <f t="shared" si="40"/>
        <v/>
      </c>
      <c r="Q676" s="405" t="str" cm="1">
        <f t="array" ref="Q676">+_xlfn.IFS(O676="Nacional","CLP",O676="Extranjero","USD",O676="","")</f>
        <v/>
      </c>
      <c r="R676" s="406" t="str">
        <f>IFERROR(IF(O676="Nacional",VLOOKUP(P676,PRICING!$D$4:$E$59,2,FALSE),VLOOKUP(P676,PRICING!$J$4:$K$59,2,FALSE)),"")</f>
        <v/>
      </c>
      <c r="S676"/>
      <c r="U676" s="406" t="str">
        <f t="shared" si="41"/>
        <v/>
      </c>
      <c r="W676" s="408" t="str">
        <f t="shared" si="42"/>
        <v/>
      </c>
      <c r="X676" s="409" t="str">
        <f t="shared" si="43"/>
        <v/>
      </c>
    </row>
    <row r="677" spans="1:24" ht="16" x14ac:dyDescent="0.25">
      <c r="A677" s="399" t="str">
        <f>IF(B677="","",CONCATENATE("GBL",B677," - ",Mantenedor!E681))</f>
        <v/>
      </c>
      <c r="P677" s="399" t="str">
        <f t="shared" si="40"/>
        <v/>
      </c>
      <c r="Q677" s="405" t="str" cm="1">
        <f t="array" ref="Q677">+_xlfn.IFS(O677="Nacional","CLP",O677="Extranjero","USD",O677="","")</f>
        <v/>
      </c>
      <c r="R677" s="406" t="str">
        <f>IFERROR(IF(O677="Nacional",VLOOKUP(P677,PRICING!$D$4:$E$59,2,FALSE),VLOOKUP(P677,PRICING!$J$4:$K$59,2,FALSE)),"")</f>
        <v/>
      </c>
      <c r="S677"/>
      <c r="U677" s="406" t="str">
        <f t="shared" si="41"/>
        <v/>
      </c>
      <c r="W677" s="408" t="str">
        <f t="shared" si="42"/>
        <v/>
      </c>
      <c r="X677" s="409" t="str">
        <f t="shared" si="43"/>
        <v/>
      </c>
    </row>
    <row r="678" spans="1:24" ht="16" x14ac:dyDescent="0.25">
      <c r="A678" s="399" t="str">
        <f>IF(B678="","",CONCATENATE("GBL",B678," - ",Mantenedor!E682))</f>
        <v/>
      </c>
      <c r="P678" s="399" t="str">
        <f t="shared" si="40"/>
        <v/>
      </c>
      <c r="Q678" s="405" t="str" cm="1">
        <f t="array" ref="Q678">+_xlfn.IFS(O678="Nacional","CLP",O678="Extranjero","USD",O678="","")</f>
        <v/>
      </c>
      <c r="R678" s="406" t="str">
        <f>IFERROR(IF(O678="Nacional",VLOOKUP(P678,PRICING!$D$4:$E$59,2,FALSE),VLOOKUP(P678,PRICING!$J$4:$K$59,2,FALSE)),"")</f>
        <v/>
      </c>
      <c r="S678"/>
      <c r="U678" s="406" t="str">
        <f t="shared" si="41"/>
        <v/>
      </c>
      <c r="W678" s="408" t="str">
        <f t="shared" si="42"/>
        <v/>
      </c>
      <c r="X678" s="409" t="str">
        <f t="shared" si="43"/>
        <v/>
      </c>
    </row>
    <row r="679" spans="1:24" ht="16" x14ac:dyDescent="0.25">
      <c r="A679" s="399" t="str">
        <f>IF(B679="","",CONCATENATE("GBL",B679," - ",Mantenedor!E683))</f>
        <v/>
      </c>
      <c r="P679" s="399" t="str">
        <f t="shared" si="40"/>
        <v/>
      </c>
      <c r="Q679" s="405" t="str" cm="1">
        <f t="array" ref="Q679">+_xlfn.IFS(O679="Nacional","CLP",O679="Extranjero","USD",O679="","")</f>
        <v/>
      </c>
      <c r="R679" s="406" t="str">
        <f>IFERROR(IF(O679="Nacional",VLOOKUP(P679,PRICING!$D$4:$E$59,2,FALSE),VLOOKUP(P679,PRICING!$J$4:$K$59,2,FALSE)),"")</f>
        <v/>
      </c>
      <c r="S679"/>
      <c r="U679" s="406" t="str">
        <f t="shared" si="41"/>
        <v/>
      </c>
      <c r="W679" s="408" t="str">
        <f t="shared" si="42"/>
        <v/>
      </c>
      <c r="X679" s="409" t="str">
        <f t="shared" si="43"/>
        <v/>
      </c>
    </row>
    <row r="680" spans="1:24" ht="16" x14ac:dyDescent="0.25">
      <c r="A680" s="399" t="str">
        <f>IF(B680="","",CONCATENATE("GBL",B680," - ",Mantenedor!E684))</f>
        <v/>
      </c>
      <c r="P680" s="399" t="str">
        <f t="shared" si="40"/>
        <v/>
      </c>
      <c r="Q680" s="405" t="str" cm="1">
        <f t="array" ref="Q680">+_xlfn.IFS(O680="Nacional","CLP",O680="Extranjero","USD",O680="","")</f>
        <v/>
      </c>
      <c r="R680" s="406" t="str">
        <f>IFERROR(IF(O680="Nacional",VLOOKUP(P680,PRICING!$D$4:$E$59,2,FALSE),VLOOKUP(P680,PRICING!$J$4:$K$59,2,FALSE)),"")</f>
        <v/>
      </c>
      <c r="S680"/>
      <c r="U680" s="406" t="str">
        <f t="shared" si="41"/>
        <v/>
      </c>
      <c r="W680" s="408" t="str">
        <f t="shared" si="42"/>
        <v/>
      </c>
      <c r="X680" s="409" t="str">
        <f t="shared" si="43"/>
        <v/>
      </c>
    </row>
    <row r="681" spans="1:24" ht="16" x14ac:dyDescent="0.25">
      <c r="A681" s="399" t="str">
        <f>IF(B681="","",CONCATENATE("GBL",B681," - ",Mantenedor!E685))</f>
        <v/>
      </c>
      <c r="P681" s="399" t="str">
        <f t="shared" si="40"/>
        <v/>
      </c>
      <c r="Q681" s="405" t="str" cm="1">
        <f t="array" ref="Q681">+_xlfn.IFS(O681="Nacional","CLP",O681="Extranjero","USD",O681="","")</f>
        <v/>
      </c>
      <c r="R681" s="406" t="str">
        <f>IFERROR(IF(O681="Nacional",VLOOKUP(P681,PRICING!$D$4:$E$59,2,FALSE),VLOOKUP(P681,PRICING!$J$4:$K$59,2,FALSE)),"")</f>
        <v/>
      </c>
      <c r="S681"/>
      <c r="U681" s="406" t="str">
        <f t="shared" si="41"/>
        <v/>
      </c>
      <c r="W681" s="408" t="str">
        <f t="shared" si="42"/>
        <v/>
      </c>
      <c r="X681" s="409" t="str">
        <f t="shared" si="43"/>
        <v/>
      </c>
    </row>
    <row r="682" spans="1:24" ht="16" x14ac:dyDescent="0.25">
      <c r="A682" s="399" t="str">
        <f>IF(B682="","",CONCATENATE("GBL",B682," - ",Mantenedor!E686))</f>
        <v/>
      </c>
      <c r="P682" s="399" t="str">
        <f t="shared" si="40"/>
        <v/>
      </c>
      <c r="Q682" s="405" t="str" cm="1">
        <f t="array" ref="Q682">+_xlfn.IFS(O682="Nacional","CLP",O682="Extranjero","USD",O682="","")</f>
        <v/>
      </c>
      <c r="R682" s="406" t="str">
        <f>IFERROR(IF(O682="Nacional",VLOOKUP(P682,PRICING!$D$4:$E$59,2,FALSE),VLOOKUP(P682,PRICING!$J$4:$K$59,2,FALSE)),"")</f>
        <v/>
      </c>
      <c r="S682"/>
      <c r="U682" s="406" t="str">
        <f t="shared" si="41"/>
        <v/>
      </c>
      <c r="W682" s="408" t="str">
        <f t="shared" si="42"/>
        <v/>
      </c>
      <c r="X682" s="409" t="str">
        <f t="shared" si="43"/>
        <v/>
      </c>
    </row>
    <row r="683" spans="1:24" ht="16" x14ac:dyDescent="0.25">
      <c r="A683" s="399" t="str">
        <f>IF(B683="","",CONCATENATE("GBL",B683," - ",Mantenedor!E687))</f>
        <v/>
      </c>
      <c r="P683" s="399" t="str">
        <f t="shared" si="40"/>
        <v/>
      </c>
      <c r="Q683" s="405" t="str" cm="1">
        <f t="array" ref="Q683">+_xlfn.IFS(O683="Nacional","CLP",O683="Extranjero","USD",O683="","")</f>
        <v/>
      </c>
      <c r="R683" s="406" t="str">
        <f>IFERROR(IF(O683="Nacional",VLOOKUP(P683,PRICING!$D$4:$E$59,2,FALSE),VLOOKUP(P683,PRICING!$J$4:$K$59,2,FALSE)),"")</f>
        <v/>
      </c>
      <c r="S683"/>
      <c r="U683" s="406" t="str">
        <f t="shared" si="41"/>
        <v/>
      </c>
      <c r="W683" s="408" t="str">
        <f t="shared" si="42"/>
        <v/>
      </c>
      <c r="X683" s="409" t="str">
        <f t="shared" si="43"/>
        <v/>
      </c>
    </row>
    <row r="684" spans="1:24" ht="16" x14ac:dyDescent="0.25">
      <c r="A684" s="399" t="str">
        <f>IF(B684="","",CONCATENATE("GBL",B684," - ",Mantenedor!E688))</f>
        <v/>
      </c>
      <c r="P684" s="399" t="str">
        <f t="shared" si="40"/>
        <v/>
      </c>
      <c r="Q684" s="405" t="str" cm="1">
        <f t="array" ref="Q684">+_xlfn.IFS(O684="Nacional","CLP",O684="Extranjero","USD",O684="","")</f>
        <v/>
      </c>
      <c r="R684" s="406" t="str">
        <f>IFERROR(IF(O684="Nacional",VLOOKUP(P684,PRICING!$D$4:$E$59,2,FALSE),VLOOKUP(P684,PRICING!$J$4:$K$59,2,FALSE)),"")</f>
        <v/>
      </c>
      <c r="S684"/>
      <c r="U684" s="406" t="str">
        <f t="shared" si="41"/>
        <v/>
      </c>
      <c r="W684" s="408" t="str">
        <f t="shared" si="42"/>
        <v/>
      </c>
      <c r="X684" s="409" t="str">
        <f t="shared" si="43"/>
        <v/>
      </c>
    </row>
    <row r="685" spans="1:24" ht="16" x14ac:dyDescent="0.25">
      <c r="A685" s="399" t="str">
        <f>IF(B685="","",CONCATENATE("GBL",B685," - ",Mantenedor!E689))</f>
        <v/>
      </c>
      <c r="P685" s="399" t="str">
        <f t="shared" si="40"/>
        <v/>
      </c>
      <c r="Q685" s="405" t="str" cm="1">
        <f t="array" ref="Q685">+_xlfn.IFS(O685="Nacional","CLP",O685="Extranjero","USD",O685="","")</f>
        <v/>
      </c>
      <c r="R685" s="406" t="str">
        <f>IFERROR(IF(O685="Nacional",VLOOKUP(P685,PRICING!$D$4:$E$59,2,FALSE),VLOOKUP(P685,PRICING!$J$4:$K$59,2,FALSE)),"")</f>
        <v/>
      </c>
      <c r="S685"/>
      <c r="U685" s="406" t="str">
        <f t="shared" si="41"/>
        <v/>
      </c>
      <c r="W685" s="408" t="str">
        <f t="shared" si="42"/>
        <v/>
      </c>
      <c r="X685" s="409" t="str">
        <f t="shared" si="43"/>
        <v/>
      </c>
    </row>
    <row r="686" spans="1:24" ht="16" x14ac:dyDescent="0.25">
      <c r="A686" s="399" t="str">
        <f>IF(B686="","",CONCATENATE("GBL",B686," - ",Mantenedor!E690))</f>
        <v/>
      </c>
      <c r="P686" s="399" t="str">
        <f t="shared" si="40"/>
        <v/>
      </c>
      <c r="Q686" s="405" t="str" cm="1">
        <f t="array" ref="Q686">+_xlfn.IFS(O686="Nacional","CLP",O686="Extranjero","USD",O686="","")</f>
        <v/>
      </c>
      <c r="R686" s="406" t="str">
        <f>IFERROR(IF(O686="Nacional",VLOOKUP(P686,PRICING!$D$4:$E$59,2,FALSE),VLOOKUP(P686,PRICING!$J$4:$K$59,2,FALSE)),"")</f>
        <v/>
      </c>
      <c r="S686"/>
      <c r="U686" s="406" t="str">
        <f t="shared" si="41"/>
        <v/>
      </c>
      <c r="W686" s="408" t="str">
        <f t="shared" si="42"/>
        <v/>
      </c>
      <c r="X686" s="409" t="str">
        <f t="shared" si="43"/>
        <v/>
      </c>
    </row>
    <row r="687" spans="1:24" ht="16" x14ac:dyDescent="0.25">
      <c r="A687" s="399" t="str">
        <f>IF(B687="","",CONCATENATE("GBL",B687," - ",Mantenedor!E691))</f>
        <v/>
      </c>
      <c r="P687" s="399" t="str">
        <f t="shared" si="40"/>
        <v/>
      </c>
      <c r="Q687" s="405" t="str" cm="1">
        <f t="array" ref="Q687">+_xlfn.IFS(O687="Nacional","CLP",O687="Extranjero","USD",O687="","")</f>
        <v/>
      </c>
      <c r="R687" s="406" t="str">
        <f>IFERROR(IF(O687="Nacional",VLOOKUP(P687,PRICING!$D$4:$E$59,2,FALSE),VLOOKUP(P687,PRICING!$J$4:$K$59,2,FALSE)),"")</f>
        <v/>
      </c>
      <c r="S687"/>
      <c r="U687" s="406" t="str">
        <f t="shared" si="41"/>
        <v/>
      </c>
      <c r="W687" s="408" t="str">
        <f t="shared" si="42"/>
        <v/>
      </c>
      <c r="X687" s="409" t="str">
        <f t="shared" si="43"/>
        <v/>
      </c>
    </row>
    <row r="688" spans="1:24" ht="16" x14ac:dyDescent="0.25">
      <c r="A688" s="399" t="str">
        <f>IF(B688="","",CONCATENATE("GBL",B688," - ",Mantenedor!E692))</f>
        <v/>
      </c>
      <c r="P688" s="399" t="str">
        <f t="shared" si="40"/>
        <v/>
      </c>
      <c r="Q688" s="405" t="str" cm="1">
        <f t="array" ref="Q688">+_xlfn.IFS(O688="Nacional","CLP",O688="Extranjero","USD",O688="","")</f>
        <v/>
      </c>
      <c r="R688" s="406" t="str">
        <f>IFERROR(IF(O688="Nacional",VLOOKUP(P688,PRICING!$D$4:$E$59,2,FALSE),VLOOKUP(P688,PRICING!$J$4:$K$59,2,FALSE)),"")</f>
        <v/>
      </c>
      <c r="S688"/>
      <c r="U688" s="406" t="str">
        <f t="shared" si="41"/>
        <v/>
      </c>
      <c r="W688" s="408" t="str">
        <f t="shared" si="42"/>
        <v/>
      </c>
      <c r="X688" s="409" t="str">
        <f t="shared" si="43"/>
        <v/>
      </c>
    </row>
    <row r="689" spans="1:24" ht="16" x14ac:dyDescent="0.25">
      <c r="A689" s="399" t="str">
        <f>IF(B689="","",CONCATENATE("GBL",B689," - ",Mantenedor!E693))</f>
        <v/>
      </c>
      <c r="P689" s="399" t="str">
        <f t="shared" si="40"/>
        <v/>
      </c>
      <c r="Q689" s="405" t="str" cm="1">
        <f t="array" ref="Q689">+_xlfn.IFS(O689="Nacional","CLP",O689="Extranjero","USD",O689="","")</f>
        <v/>
      </c>
      <c r="R689" s="406" t="str">
        <f>IFERROR(IF(O689="Nacional",VLOOKUP(P689,PRICING!$D$4:$E$59,2,FALSE),VLOOKUP(P689,PRICING!$J$4:$K$59,2,FALSE)),"")</f>
        <v/>
      </c>
      <c r="S689"/>
      <c r="U689" s="406" t="str">
        <f t="shared" si="41"/>
        <v/>
      </c>
      <c r="W689" s="408" t="str">
        <f t="shared" si="42"/>
        <v/>
      </c>
      <c r="X689" s="409" t="str">
        <f t="shared" si="43"/>
        <v/>
      </c>
    </row>
    <row r="690" spans="1:24" ht="16" x14ac:dyDescent="0.25">
      <c r="A690" s="399" t="str">
        <f>IF(B690="","",CONCATENATE("GBL",B690," - ",Mantenedor!E694))</f>
        <v/>
      </c>
      <c r="P690" s="399" t="str">
        <f t="shared" si="40"/>
        <v/>
      </c>
      <c r="Q690" s="405" t="str" cm="1">
        <f t="array" ref="Q690">+_xlfn.IFS(O690="Nacional","CLP",O690="Extranjero","USD",O690="","")</f>
        <v/>
      </c>
      <c r="R690" s="406" t="str">
        <f>IFERROR(IF(O690="Nacional",VLOOKUP(P690,PRICING!$D$4:$E$59,2,FALSE),VLOOKUP(P690,PRICING!$J$4:$K$59,2,FALSE)),"")</f>
        <v/>
      </c>
      <c r="S690"/>
      <c r="U690" s="406" t="str">
        <f t="shared" si="41"/>
        <v/>
      </c>
      <c r="W690" s="408" t="str">
        <f t="shared" si="42"/>
        <v/>
      </c>
      <c r="X690" s="409" t="str">
        <f t="shared" si="43"/>
        <v/>
      </c>
    </row>
    <row r="691" spans="1:24" ht="16" x14ac:dyDescent="0.25">
      <c r="A691" s="399" t="str">
        <f>IF(B691="","",CONCATENATE("GBL",B691," - ",Mantenedor!E695))</f>
        <v/>
      </c>
      <c r="P691" s="399" t="str">
        <f t="shared" si="40"/>
        <v/>
      </c>
      <c r="Q691" s="405" t="str" cm="1">
        <f t="array" ref="Q691">+_xlfn.IFS(O691="Nacional","CLP",O691="Extranjero","USD",O691="","")</f>
        <v/>
      </c>
      <c r="R691" s="406" t="str">
        <f>IFERROR(IF(O691="Nacional",VLOOKUP(P691,PRICING!$D$4:$E$59,2,FALSE),VLOOKUP(P691,PRICING!$J$4:$K$59,2,FALSE)),"")</f>
        <v/>
      </c>
      <c r="S691"/>
      <c r="U691" s="406" t="str">
        <f t="shared" si="41"/>
        <v/>
      </c>
      <c r="W691" s="408" t="str">
        <f t="shared" si="42"/>
        <v/>
      </c>
      <c r="X691" s="409" t="str">
        <f t="shared" si="43"/>
        <v/>
      </c>
    </row>
    <row r="692" spans="1:24" ht="16" x14ac:dyDescent="0.25">
      <c r="A692" s="399" t="str">
        <f>IF(B692="","",CONCATENATE("GBL",B692," - ",Mantenedor!E696))</f>
        <v/>
      </c>
      <c r="P692" s="399" t="str">
        <f t="shared" si="40"/>
        <v/>
      </c>
      <c r="Q692" s="405" t="str" cm="1">
        <f t="array" ref="Q692">+_xlfn.IFS(O692="Nacional","CLP",O692="Extranjero","USD",O692="","")</f>
        <v/>
      </c>
      <c r="R692" s="406" t="str">
        <f>IFERROR(IF(O692="Nacional",VLOOKUP(P692,PRICING!$D$4:$E$59,2,FALSE),VLOOKUP(P692,PRICING!$J$4:$K$59,2,FALSE)),"")</f>
        <v/>
      </c>
      <c r="S692"/>
      <c r="U692" s="406" t="str">
        <f t="shared" si="41"/>
        <v/>
      </c>
      <c r="W692" s="408" t="str">
        <f t="shared" si="42"/>
        <v/>
      </c>
      <c r="X692" s="409" t="str">
        <f t="shared" si="43"/>
        <v/>
      </c>
    </row>
    <row r="693" spans="1:24" ht="16" x14ac:dyDescent="0.25">
      <c r="A693" s="399" t="str">
        <f>IF(B693="","",CONCATENATE("GBL",B693," - ",Mantenedor!E697))</f>
        <v/>
      </c>
      <c r="P693" s="399" t="str">
        <f t="shared" si="40"/>
        <v/>
      </c>
      <c r="Q693" s="405" t="str" cm="1">
        <f t="array" ref="Q693">+_xlfn.IFS(O693="Nacional","CLP",O693="Extranjero","USD",O693="","")</f>
        <v/>
      </c>
      <c r="R693" s="406" t="str">
        <f>IFERROR(IF(O693="Nacional",VLOOKUP(P693,PRICING!$D$4:$E$59,2,FALSE),VLOOKUP(P693,PRICING!$J$4:$K$59,2,FALSE)),"")</f>
        <v/>
      </c>
      <c r="S693"/>
      <c r="U693" s="406" t="str">
        <f t="shared" si="41"/>
        <v/>
      </c>
      <c r="W693" s="408" t="str">
        <f t="shared" si="42"/>
        <v/>
      </c>
      <c r="X693" s="409" t="str">
        <f t="shared" si="43"/>
        <v/>
      </c>
    </row>
    <row r="694" spans="1:24" ht="16" x14ac:dyDescent="0.25">
      <c r="A694" s="399" t="str">
        <f>IF(B694="","",CONCATENATE("GBL",B694," - ",Mantenedor!E698))</f>
        <v/>
      </c>
      <c r="P694" s="399" t="str">
        <f t="shared" si="40"/>
        <v/>
      </c>
      <c r="Q694" s="405" t="str" cm="1">
        <f t="array" ref="Q694">+_xlfn.IFS(O694="Nacional","CLP",O694="Extranjero","USD",O694="","")</f>
        <v/>
      </c>
      <c r="R694" s="406" t="str">
        <f>IFERROR(IF(O694="Nacional",VLOOKUP(P694,PRICING!$D$4:$E$59,2,FALSE),VLOOKUP(P694,PRICING!$J$4:$K$59,2,FALSE)),"")</f>
        <v/>
      </c>
      <c r="S694"/>
      <c r="U694" s="406" t="str">
        <f t="shared" si="41"/>
        <v/>
      </c>
      <c r="W694" s="408" t="str">
        <f t="shared" si="42"/>
        <v/>
      </c>
      <c r="X694" s="409" t="str">
        <f t="shared" si="43"/>
        <v/>
      </c>
    </row>
    <row r="695" spans="1:24" ht="16" x14ac:dyDescent="0.25">
      <c r="A695" s="399" t="str">
        <f>IF(B695="","",CONCATENATE("GBL",B695," - ",Mantenedor!E699))</f>
        <v/>
      </c>
      <c r="P695" s="399" t="str">
        <f t="shared" si="40"/>
        <v/>
      </c>
      <c r="Q695" s="405" t="str" cm="1">
        <f t="array" ref="Q695">+_xlfn.IFS(O695="Nacional","CLP",O695="Extranjero","USD",O695="","")</f>
        <v/>
      </c>
      <c r="R695" s="406" t="str">
        <f>IFERROR(IF(O695="Nacional",VLOOKUP(P695,PRICING!$D$4:$E$59,2,FALSE),VLOOKUP(P695,PRICING!$J$4:$K$59,2,FALSE)),"")</f>
        <v/>
      </c>
      <c r="S695"/>
      <c r="U695" s="406" t="str">
        <f t="shared" si="41"/>
        <v/>
      </c>
      <c r="W695" s="408" t="str">
        <f t="shared" si="42"/>
        <v/>
      </c>
      <c r="X695" s="409" t="str">
        <f t="shared" si="43"/>
        <v/>
      </c>
    </row>
    <row r="696" spans="1:24" ht="16" x14ac:dyDescent="0.25">
      <c r="A696" s="399" t="str">
        <f>IF(B696="","",CONCATENATE("GBL",B696," - ",Mantenedor!E700))</f>
        <v/>
      </c>
      <c r="P696" s="399" t="str">
        <f t="shared" si="40"/>
        <v/>
      </c>
      <c r="Q696" s="405" t="str" cm="1">
        <f t="array" ref="Q696">+_xlfn.IFS(O696="Nacional","CLP",O696="Extranjero","USD",O696="","")</f>
        <v/>
      </c>
      <c r="R696" s="406" t="str">
        <f>IFERROR(IF(O696="Nacional",VLOOKUP(P696,PRICING!$D$4:$E$59,2,FALSE),VLOOKUP(P696,PRICING!$J$4:$K$59,2,FALSE)),"")</f>
        <v/>
      </c>
      <c r="S696"/>
      <c r="U696" s="406" t="str">
        <f t="shared" si="41"/>
        <v/>
      </c>
      <c r="W696" s="408" t="str">
        <f t="shared" si="42"/>
        <v/>
      </c>
      <c r="X696" s="409" t="str">
        <f t="shared" si="43"/>
        <v/>
      </c>
    </row>
    <row r="697" spans="1:24" ht="16" x14ac:dyDescent="0.25">
      <c r="A697" s="399" t="str">
        <f>IF(B697="","",CONCATENATE("GBL",B697," - ",Mantenedor!E701))</f>
        <v/>
      </c>
      <c r="P697" s="399" t="str">
        <f t="shared" si="40"/>
        <v/>
      </c>
      <c r="Q697" s="405" t="str" cm="1">
        <f t="array" ref="Q697">+_xlfn.IFS(O697="Nacional","CLP",O697="Extranjero","USD",O697="","")</f>
        <v/>
      </c>
      <c r="R697" s="406" t="str">
        <f>IFERROR(IF(O697="Nacional",VLOOKUP(P697,PRICING!$D$4:$E$59,2,FALSE),VLOOKUP(P697,PRICING!$J$4:$K$59,2,FALSE)),"")</f>
        <v/>
      </c>
      <c r="S697"/>
      <c r="U697" s="406" t="str">
        <f t="shared" si="41"/>
        <v/>
      </c>
      <c r="W697" s="408" t="str">
        <f t="shared" si="42"/>
        <v/>
      </c>
      <c r="X697" s="409" t="str">
        <f t="shared" si="43"/>
        <v/>
      </c>
    </row>
    <row r="698" spans="1:24" ht="16" x14ac:dyDescent="0.25">
      <c r="A698" s="399" t="str">
        <f>IF(B698="","",CONCATENATE("GBL",B698," - ",Mantenedor!E702))</f>
        <v/>
      </c>
      <c r="P698" s="399" t="str">
        <f t="shared" si="40"/>
        <v/>
      </c>
      <c r="Q698" s="405" t="str" cm="1">
        <f t="array" ref="Q698">+_xlfn.IFS(O698="Nacional","CLP",O698="Extranjero","USD",O698="","")</f>
        <v/>
      </c>
      <c r="R698" s="406" t="str">
        <f>IFERROR(IF(O698="Nacional",VLOOKUP(P698,PRICING!$D$4:$E$59,2,FALSE),VLOOKUP(P698,PRICING!$J$4:$K$59,2,FALSE)),"")</f>
        <v/>
      </c>
      <c r="S698"/>
      <c r="U698" s="406" t="str">
        <f t="shared" si="41"/>
        <v/>
      </c>
      <c r="W698" s="408" t="str">
        <f t="shared" si="42"/>
        <v/>
      </c>
      <c r="X698" s="409" t="str">
        <f t="shared" si="43"/>
        <v/>
      </c>
    </row>
    <row r="699" spans="1:24" ht="16" x14ac:dyDescent="0.25">
      <c r="A699" s="399" t="str">
        <f>IF(B699="","",CONCATENATE("GBL",B699," - ",Mantenedor!E703))</f>
        <v/>
      </c>
      <c r="P699" s="399" t="str">
        <f t="shared" si="40"/>
        <v/>
      </c>
      <c r="Q699" s="405" t="str" cm="1">
        <f t="array" ref="Q699">+_xlfn.IFS(O699="Nacional","CLP",O699="Extranjero","USD",O699="","")</f>
        <v/>
      </c>
      <c r="R699" s="406" t="str">
        <f>IFERROR(IF(O699="Nacional",VLOOKUP(P699,PRICING!$D$4:$E$59,2,FALSE),VLOOKUP(P699,PRICING!$J$4:$K$59,2,FALSE)),"")</f>
        <v/>
      </c>
      <c r="S699"/>
      <c r="U699" s="406" t="str">
        <f t="shared" si="41"/>
        <v/>
      </c>
      <c r="W699" s="408" t="str">
        <f t="shared" si="42"/>
        <v/>
      </c>
      <c r="X699" s="409" t="str">
        <f t="shared" si="43"/>
        <v/>
      </c>
    </row>
    <row r="700" spans="1:24" ht="16" x14ac:dyDescent="0.25">
      <c r="A700" s="399" t="str">
        <f>IF(B700="","",CONCATENATE("GBL",B700," - ",Mantenedor!E704))</f>
        <v/>
      </c>
      <c r="P700" s="399" t="str">
        <f t="shared" si="40"/>
        <v/>
      </c>
      <c r="Q700" s="405" t="str" cm="1">
        <f t="array" ref="Q700">+_xlfn.IFS(O700="Nacional","CLP",O700="Extranjero","USD",O700="","")</f>
        <v/>
      </c>
      <c r="R700" s="406" t="str">
        <f>IFERROR(IF(O700="Nacional",VLOOKUP(P700,PRICING!$D$4:$E$59,2,FALSE),VLOOKUP(P700,PRICING!$J$4:$K$59,2,FALSE)),"")</f>
        <v/>
      </c>
      <c r="S700"/>
      <c r="U700" s="406" t="str">
        <f t="shared" si="41"/>
        <v/>
      </c>
      <c r="W700" s="408" t="str">
        <f t="shared" si="42"/>
        <v/>
      </c>
      <c r="X700" s="409" t="str">
        <f t="shared" si="43"/>
        <v/>
      </c>
    </row>
    <row r="701" spans="1:24" ht="16" x14ac:dyDescent="0.25">
      <c r="A701" s="399" t="str">
        <f>IF(B701="","",CONCATENATE("GBL",B701," - ",Mantenedor!E705))</f>
        <v/>
      </c>
      <c r="P701" s="399" t="str">
        <f t="shared" si="40"/>
        <v/>
      </c>
      <c r="Q701" s="405" t="str" cm="1">
        <f t="array" ref="Q701">+_xlfn.IFS(O701="Nacional","CLP",O701="Extranjero","USD",O701="","")</f>
        <v/>
      </c>
      <c r="R701" s="406" t="str">
        <f>IFERROR(IF(O701="Nacional",VLOOKUP(P701,PRICING!$D$4:$E$59,2,FALSE),VLOOKUP(P701,PRICING!$J$4:$K$59,2,FALSE)),"")</f>
        <v/>
      </c>
      <c r="S701"/>
      <c r="U701" s="406" t="str">
        <f t="shared" si="41"/>
        <v/>
      </c>
      <c r="W701" s="408" t="str">
        <f t="shared" si="42"/>
        <v/>
      </c>
      <c r="X701" s="409" t="str">
        <f t="shared" si="43"/>
        <v/>
      </c>
    </row>
    <row r="702" spans="1:24" ht="16" x14ac:dyDescent="0.25">
      <c r="A702" s="399" t="str">
        <f>IF(B702="","",CONCATENATE("GBL",B702," - ",Mantenedor!E706))</f>
        <v/>
      </c>
      <c r="P702" s="399" t="str">
        <f t="shared" si="40"/>
        <v/>
      </c>
      <c r="Q702" s="405" t="str" cm="1">
        <f t="array" ref="Q702">+_xlfn.IFS(O702="Nacional","CLP",O702="Extranjero","USD",O702="","")</f>
        <v/>
      </c>
      <c r="R702" s="406" t="str">
        <f>IFERROR(IF(O702="Nacional",VLOOKUP(P702,PRICING!$D$4:$E$59,2,FALSE),VLOOKUP(P702,PRICING!$J$4:$K$59,2,FALSE)),"")</f>
        <v/>
      </c>
      <c r="S702"/>
      <c r="U702" s="406" t="str">
        <f t="shared" si="41"/>
        <v/>
      </c>
      <c r="W702" s="408" t="str">
        <f t="shared" si="42"/>
        <v/>
      </c>
      <c r="X702" s="409" t="str">
        <f t="shared" si="43"/>
        <v/>
      </c>
    </row>
    <row r="703" spans="1:24" ht="16" x14ac:dyDescent="0.25">
      <c r="A703" s="399" t="str">
        <f>IF(B703="","",CONCATENATE("GBL",B703," - ",Mantenedor!E707))</f>
        <v/>
      </c>
      <c r="P703" s="399" t="str">
        <f t="shared" ref="P703:P766" si="44">IF(N703="","",(IF(L703=1,(CONCATENATE("Base ",N703," ",L703," noche")),(CONCATENATE("Base ",N703," ",L703," noches")))))</f>
        <v/>
      </c>
      <c r="Q703" s="405" t="str" cm="1">
        <f t="array" ref="Q703">+_xlfn.IFS(O703="Nacional","CLP",O703="Extranjero","USD",O703="","")</f>
        <v/>
      </c>
      <c r="R703" s="406" t="str">
        <f>IFERROR(IF(O703="Nacional",VLOOKUP(P703,PRICING!$D$4:$E$59,2,FALSE),VLOOKUP(P703,PRICING!$J$4:$K$59,2,FALSE)),"")</f>
        <v/>
      </c>
      <c r="S703"/>
      <c r="U703" s="406" t="str">
        <f t="shared" ref="U703:U766" si="45">IFERROR(+R703*(1-S703),"")</f>
        <v/>
      </c>
      <c r="W703" s="408" t="str">
        <f t="shared" ref="W703:W766" si="46">+IF(U703="","","50"%)</f>
        <v/>
      </c>
      <c r="X703" s="409" t="str">
        <f t="shared" si="43"/>
        <v/>
      </c>
    </row>
    <row r="704" spans="1:24" ht="16" x14ac:dyDescent="0.25">
      <c r="A704" s="399" t="str">
        <f>IF(B704="","",CONCATENATE("GBL",B704," - ",Mantenedor!E708))</f>
        <v/>
      </c>
      <c r="P704" s="399" t="str">
        <f t="shared" si="44"/>
        <v/>
      </c>
      <c r="Q704" s="405" t="str" cm="1">
        <f t="array" ref="Q704">+_xlfn.IFS(O704="Nacional","CLP",O704="Extranjero","USD",O704="","")</f>
        <v/>
      </c>
      <c r="R704" s="406" t="str">
        <f>IFERROR(IF(O704="Nacional",VLOOKUP(P704,PRICING!$D$4:$E$59,2,FALSE),VLOOKUP(P704,PRICING!$J$4:$K$59,2,FALSE)),"")</f>
        <v/>
      </c>
      <c r="S704"/>
      <c r="U704" s="406" t="str">
        <f t="shared" si="45"/>
        <v/>
      </c>
      <c r="W704" s="408" t="str">
        <f t="shared" si="46"/>
        <v/>
      </c>
      <c r="X704" s="409" t="str">
        <f t="shared" ref="X704:X767" si="47">+IF(W704="","",(1-W704))</f>
        <v/>
      </c>
    </row>
    <row r="705" spans="1:24" ht="16" x14ac:dyDescent="0.25">
      <c r="A705" s="399" t="str">
        <f>IF(B705="","",CONCATENATE("GBL",B705," - ",Mantenedor!E709))</f>
        <v/>
      </c>
      <c r="P705" s="399" t="str">
        <f t="shared" si="44"/>
        <v/>
      </c>
      <c r="Q705" s="405" t="str" cm="1">
        <f t="array" ref="Q705">+_xlfn.IFS(O705="Nacional","CLP",O705="Extranjero","USD",O705="","")</f>
        <v/>
      </c>
      <c r="R705" s="406" t="str">
        <f>IFERROR(IF(O705="Nacional",VLOOKUP(P705,PRICING!$D$4:$E$59,2,FALSE),VLOOKUP(P705,PRICING!$J$4:$K$59,2,FALSE)),"")</f>
        <v/>
      </c>
      <c r="S705"/>
      <c r="U705" s="406" t="str">
        <f t="shared" si="45"/>
        <v/>
      </c>
      <c r="W705" s="408" t="str">
        <f t="shared" si="46"/>
        <v/>
      </c>
      <c r="X705" s="409" t="str">
        <f t="shared" si="47"/>
        <v/>
      </c>
    </row>
    <row r="706" spans="1:24" ht="16" x14ac:dyDescent="0.25">
      <c r="A706" s="399" t="str">
        <f>IF(B706="","",CONCATENATE("GBL",B706," - ",Mantenedor!E710))</f>
        <v/>
      </c>
      <c r="P706" s="399" t="str">
        <f t="shared" si="44"/>
        <v/>
      </c>
      <c r="Q706" s="405" t="str" cm="1">
        <f t="array" ref="Q706">+_xlfn.IFS(O706="Nacional","CLP",O706="Extranjero","USD",O706="","")</f>
        <v/>
      </c>
      <c r="R706" s="406" t="str">
        <f>IFERROR(IF(O706="Nacional",VLOOKUP(P706,PRICING!$D$4:$E$59,2,FALSE),VLOOKUP(P706,PRICING!$J$4:$K$59,2,FALSE)),"")</f>
        <v/>
      </c>
      <c r="S706"/>
      <c r="U706" s="406" t="str">
        <f t="shared" si="45"/>
        <v/>
      </c>
      <c r="W706" s="408" t="str">
        <f t="shared" si="46"/>
        <v/>
      </c>
      <c r="X706" s="409" t="str">
        <f t="shared" si="47"/>
        <v/>
      </c>
    </row>
    <row r="707" spans="1:24" ht="16" x14ac:dyDescent="0.25">
      <c r="A707" s="399" t="str">
        <f>IF(B707="","",CONCATENATE("GBL",B707," - ",Mantenedor!E711))</f>
        <v/>
      </c>
      <c r="P707" s="399" t="str">
        <f t="shared" si="44"/>
        <v/>
      </c>
      <c r="Q707" s="405" t="str" cm="1">
        <f t="array" ref="Q707">+_xlfn.IFS(O707="Nacional","CLP",O707="Extranjero","USD",O707="","")</f>
        <v/>
      </c>
      <c r="R707" s="406" t="str">
        <f>IFERROR(IF(O707="Nacional",VLOOKUP(P707,PRICING!$D$4:$E$59,2,FALSE),VLOOKUP(P707,PRICING!$J$4:$K$59,2,FALSE)),"")</f>
        <v/>
      </c>
      <c r="S707"/>
      <c r="U707" s="406" t="str">
        <f t="shared" si="45"/>
        <v/>
      </c>
      <c r="W707" s="408" t="str">
        <f t="shared" si="46"/>
        <v/>
      </c>
      <c r="X707" s="409" t="str">
        <f t="shared" si="47"/>
        <v/>
      </c>
    </row>
    <row r="708" spans="1:24" ht="16" x14ac:dyDescent="0.25">
      <c r="A708" s="399" t="str">
        <f>IF(B708="","",CONCATENATE("GBL",B708," - ",Mantenedor!E712))</f>
        <v/>
      </c>
      <c r="P708" s="399" t="str">
        <f t="shared" si="44"/>
        <v/>
      </c>
      <c r="Q708" s="405" t="str" cm="1">
        <f t="array" ref="Q708">+_xlfn.IFS(O708="Nacional","CLP",O708="Extranjero","USD",O708="","")</f>
        <v/>
      </c>
      <c r="R708" s="406" t="str">
        <f>IFERROR(IF(O708="Nacional",VLOOKUP(P708,PRICING!$D$4:$E$59,2,FALSE),VLOOKUP(P708,PRICING!$J$4:$K$59,2,FALSE)),"")</f>
        <v/>
      </c>
      <c r="S708"/>
      <c r="U708" s="406" t="str">
        <f t="shared" si="45"/>
        <v/>
      </c>
      <c r="W708" s="408" t="str">
        <f t="shared" si="46"/>
        <v/>
      </c>
      <c r="X708" s="409" t="str">
        <f t="shared" si="47"/>
        <v/>
      </c>
    </row>
    <row r="709" spans="1:24" ht="16" x14ac:dyDescent="0.25">
      <c r="A709" s="399" t="str">
        <f>IF(B709="","",CONCATENATE("GBL",B709," - ",Mantenedor!E713))</f>
        <v/>
      </c>
      <c r="P709" s="399" t="str">
        <f t="shared" si="44"/>
        <v/>
      </c>
      <c r="Q709" s="405" t="str" cm="1">
        <f t="array" ref="Q709">+_xlfn.IFS(O709="Nacional","CLP",O709="Extranjero","USD",O709="","")</f>
        <v/>
      </c>
      <c r="R709" s="406" t="str">
        <f>IFERROR(IF(O709="Nacional",VLOOKUP(P709,PRICING!$D$4:$E$59,2,FALSE),VLOOKUP(P709,PRICING!$J$4:$K$59,2,FALSE)),"")</f>
        <v/>
      </c>
      <c r="S709"/>
      <c r="U709" s="406" t="str">
        <f t="shared" si="45"/>
        <v/>
      </c>
      <c r="W709" s="408" t="str">
        <f t="shared" si="46"/>
        <v/>
      </c>
      <c r="X709" s="409" t="str">
        <f t="shared" si="47"/>
        <v/>
      </c>
    </row>
    <row r="710" spans="1:24" ht="16" x14ac:dyDescent="0.25">
      <c r="A710" s="399" t="str">
        <f>IF(B710="","",CONCATENATE("GBL",B710," - ",Mantenedor!E714))</f>
        <v/>
      </c>
      <c r="P710" s="399" t="str">
        <f t="shared" si="44"/>
        <v/>
      </c>
      <c r="Q710" s="405" t="str" cm="1">
        <f t="array" ref="Q710">+_xlfn.IFS(O710="Nacional","CLP",O710="Extranjero","USD",O710="","")</f>
        <v/>
      </c>
      <c r="R710" s="406" t="str">
        <f>IFERROR(IF(O710="Nacional",VLOOKUP(P710,PRICING!$D$4:$E$59,2,FALSE),VLOOKUP(P710,PRICING!$J$4:$K$59,2,FALSE)),"")</f>
        <v/>
      </c>
      <c r="S710"/>
      <c r="U710" s="406" t="str">
        <f t="shared" si="45"/>
        <v/>
      </c>
      <c r="W710" s="408" t="str">
        <f t="shared" si="46"/>
        <v/>
      </c>
      <c r="X710" s="409" t="str">
        <f t="shared" si="47"/>
        <v/>
      </c>
    </row>
    <row r="711" spans="1:24" ht="16" x14ac:dyDescent="0.25">
      <c r="A711" s="399" t="str">
        <f>IF(B711="","",CONCATENATE("GBL",B711," - ",Mantenedor!E715))</f>
        <v/>
      </c>
      <c r="P711" s="399" t="str">
        <f t="shared" si="44"/>
        <v/>
      </c>
      <c r="Q711" s="405" t="str" cm="1">
        <f t="array" ref="Q711">+_xlfn.IFS(O711="Nacional","CLP",O711="Extranjero","USD",O711="","")</f>
        <v/>
      </c>
      <c r="R711" s="406" t="str">
        <f>IFERROR(IF(O711="Nacional",VLOOKUP(P711,PRICING!$D$4:$E$59,2,FALSE),VLOOKUP(P711,PRICING!$J$4:$K$59,2,FALSE)),"")</f>
        <v/>
      </c>
      <c r="S711"/>
      <c r="U711" s="406" t="str">
        <f t="shared" si="45"/>
        <v/>
      </c>
      <c r="W711" s="408" t="str">
        <f t="shared" si="46"/>
        <v/>
      </c>
      <c r="X711" s="409" t="str">
        <f t="shared" si="47"/>
        <v/>
      </c>
    </row>
    <row r="712" spans="1:24" ht="16" x14ac:dyDescent="0.25">
      <c r="A712" s="399" t="str">
        <f>IF(B712="","",CONCATENATE("GBL",B712," - ",Mantenedor!E716))</f>
        <v/>
      </c>
      <c r="P712" s="399" t="str">
        <f t="shared" si="44"/>
        <v/>
      </c>
      <c r="Q712" s="405" t="str" cm="1">
        <f t="array" ref="Q712">+_xlfn.IFS(O712="Nacional","CLP",O712="Extranjero","USD",O712="","")</f>
        <v/>
      </c>
      <c r="R712" s="406" t="str">
        <f>IFERROR(IF(O712="Nacional",VLOOKUP(P712,PRICING!$D$4:$E$59,2,FALSE),VLOOKUP(P712,PRICING!$J$4:$K$59,2,FALSE)),"")</f>
        <v/>
      </c>
      <c r="S712"/>
      <c r="U712" s="406" t="str">
        <f t="shared" si="45"/>
        <v/>
      </c>
      <c r="W712" s="408" t="str">
        <f t="shared" si="46"/>
        <v/>
      </c>
      <c r="X712" s="409" t="str">
        <f t="shared" si="47"/>
        <v/>
      </c>
    </row>
    <row r="713" spans="1:24" ht="16" x14ac:dyDescent="0.25">
      <c r="A713" s="399" t="str">
        <f>IF(B713="","",CONCATENATE("GBL",B713," - ",Mantenedor!E717))</f>
        <v/>
      </c>
      <c r="P713" s="399" t="str">
        <f t="shared" si="44"/>
        <v/>
      </c>
      <c r="Q713" s="405" t="str" cm="1">
        <f t="array" ref="Q713">+_xlfn.IFS(O713="Nacional","CLP",O713="Extranjero","USD",O713="","")</f>
        <v/>
      </c>
      <c r="R713" s="406" t="str">
        <f>IFERROR(IF(O713="Nacional",VLOOKUP(P713,PRICING!$D$4:$E$59,2,FALSE),VLOOKUP(P713,PRICING!$J$4:$K$59,2,FALSE)),"")</f>
        <v/>
      </c>
      <c r="S713"/>
      <c r="U713" s="406" t="str">
        <f t="shared" si="45"/>
        <v/>
      </c>
      <c r="W713" s="408" t="str">
        <f t="shared" si="46"/>
        <v/>
      </c>
      <c r="X713" s="409" t="str">
        <f t="shared" si="47"/>
        <v/>
      </c>
    </row>
    <row r="714" spans="1:24" ht="16" x14ac:dyDescent="0.25">
      <c r="A714" s="399" t="str">
        <f>IF(B714="","",CONCATENATE("GBL",B714," - ",Mantenedor!E718))</f>
        <v/>
      </c>
      <c r="P714" s="399" t="str">
        <f t="shared" si="44"/>
        <v/>
      </c>
      <c r="Q714" s="405" t="str" cm="1">
        <f t="array" ref="Q714">+_xlfn.IFS(O714="Nacional","CLP",O714="Extranjero","USD",O714="","")</f>
        <v/>
      </c>
      <c r="R714" s="406" t="str">
        <f>IFERROR(IF(O714="Nacional",VLOOKUP(P714,PRICING!$D$4:$E$59,2,FALSE),VLOOKUP(P714,PRICING!$J$4:$K$59,2,FALSE)),"")</f>
        <v/>
      </c>
      <c r="S714"/>
      <c r="U714" s="406" t="str">
        <f t="shared" si="45"/>
        <v/>
      </c>
      <c r="W714" s="408" t="str">
        <f t="shared" si="46"/>
        <v/>
      </c>
      <c r="X714" s="409" t="str">
        <f t="shared" si="47"/>
        <v/>
      </c>
    </row>
    <row r="715" spans="1:24" ht="16" x14ac:dyDescent="0.25">
      <c r="A715" s="399" t="str">
        <f>IF(B715="","",CONCATENATE("GBL",B715," - ",Mantenedor!E719))</f>
        <v/>
      </c>
      <c r="P715" s="399" t="str">
        <f t="shared" si="44"/>
        <v/>
      </c>
      <c r="Q715" s="405" t="str" cm="1">
        <f t="array" ref="Q715">+_xlfn.IFS(O715="Nacional","CLP",O715="Extranjero","USD",O715="","")</f>
        <v/>
      </c>
      <c r="R715" s="406" t="str">
        <f>IFERROR(IF(O715="Nacional",VLOOKUP(P715,PRICING!$D$4:$E$59,2,FALSE),VLOOKUP(P715,PRICING!$J$4:$K$59,2,FALSE)),"")</f>
        <v/>
      </c>
      <c r="S715"/>
      <c r="U715" s="406" t="str">
        <f t="shared" si="45"/>
        <v/>
      </c>
      <c r="W715" s="408" t="str">
        <f t="shared" si="46"/>
        <v/>
      </c>
      <c r="X715" s="409" t="str">
        <f t="shared" si="47"/>
        <v/>
      </c>
    </row>
    <row r="716" spans="1:24" ht="16" x14ac:dyDescent="0.25">
      <c r="A716" s="399" t="str">
        <f>IF(B716="","",CONCATENATE("GBL",B716," - ",Mantenedor!E720))</f>
        <v/>
      </c>
      <c r="P716" s="399" t="str">
        <f t="shared" si="44"/>
        <v/>
      </c>
      <c r="Q716" s="405" t="str" cm="1">
        <f t="array" ref="Q716">+_xlfn.IFS(O716="Nacional","CLP",O716="Extranjero","USD",O716="","")</f>
        <v/>
      </c>
      <c r="R716" s="406" t="str">
        <f>IFERROR(IF(O716="Nacional",VLOOKUP(P716,PRICING!$D$4:$E$59,2,FALSE),VLOOKUP(P716,PRICING!$J$4:$K$59,2,FALSE)),"")</f>
        <v/>
      </c>
      <c r="S716"/>
      <c r="U716" s="406" t="str">
        <f t="shared" si="45"/>
        <v/>
      </c>
      <c r="W716" s="408" t="str">
        <f t="shared" si="46"/>
        <v/>
      </c>
      <c r="X716" s="409" t="str">
        <f t="shared" si="47"/>
        <v/>
      </c>
    </row>
    <row r="717" spans="1:24" ht="16" x14ac:dyDescent="0.25">
      <c r="A717" s="399" t="str">
        <f>IF(B717="","",CONCATENATE("GBL",B717," - ",Mantenedor!E721))</f>
        <v/>
      </c>
      <c r="P717" s="399" t="str">
        <f t="shared" si="44"/>
        <v/>
      </c>
      <c r="Q717" s="405" t="str" cm="1">
        <f t="array" ref="Q717">+_xlfn.IFS(O717="Nacional","CLP",O717="Extranjero","USD",O717="","")</f>
        <v/>
      </c>
      <c r="R717" s="406" t="str">
        <f>IFERROR(IF(O717="Nacional",VLOOKUP(P717,PRICING!$D$4:$E$59,2,FALSE),VLOOKUP(P717,PRICING!$J$4:$K$59,2,FALSE)),"")</f>
        <v/>
      </c>
      <c r="S717"/>
      <c r="U717" s="406" t="str">
        <f t="shared" si="45"/>
        <v/>
      </c>
      <c r="W717" s="408" t="str">
        <f t="shared" si="46"/>
        <v/>
      </c>
      <c r="X717" s="409" t="str">
        <f t="shared" si="47"/>
        <v/>
      </c>
    </row>
    <row r="718" spans="1:24" ht="16" x14ac:dyDescent="0.25">
      <c r="A718" s="399" t="str">
        <f>IF(B718="","",CONCATENATE("GBL",B718," - ",Mantenedor!E722))</f>
        <v/>
      </c>
      <c r="P718" s="399" t="str">
        <f t="shared" si="44"/>
        <v/>
      </c>
      <c r="Q718" s="405" t="str" cm="1">
        <f t="array" ref="Q718">+_xlfn.IFS(O718="Nacional","CLP",O718="Extranjero","USD",O718="","")</f>
        <v/>
      </c>
      <c r="R718" s="406" t="str">
        <f>IFERROR(IF(O718="Nacional",VLOOKUP(P718,PRICING!$D$4:$E$59,2,FALSE),VLOOKUP(P718,PRICING!$J$4:$K$59,2,FALSE)),"")</f>
        <v/>
      </c>
      <c r="S718"/>
      <c r="U718" s="406" t="str">
        <f t="shared" si="45"/>
        <v/>
      </c>
      <c r="W718" s="408" t="str">
        <f t="shared" si="46"/>
        <v/>
      </c>
      <c r="X718" s="409" t="str">
        <f t="shared" si="47"/>
        <v/>
      </c>
    </row>
    <row r="719" spans="1:24" ht="16" x14ac:dyDescent="0.25">
      <c r="A719" s="399" t="str">
        <f>IF(B719="","",CONCATENATE("GBL",B719," - ",Mantenedor!E723))</f>
        <v/>
      </c>
      <c r="P719" s="399" t="str">
        <f t="shared" si="44"/>
        <v/>
      </c>
      <c r="Q719" s="405" t="str" cm="1">
        <f t="array" ref="Q719">+_xlfn.IFS(O719="Nacional","CLP",O719="Extranjero","USD",O719="","")</f>
        <v/>
      </c>
      <c r="R719" s="406" t="str">
        <f>IFERROR(IF(O719="Nacional",VLOOKUP(P719,PRICING!$D$4:$E$59,2,FALSE),VLOOKUP(P719,PRICING!$J$4:$K$59,2,FALSE)),"")</f>
        <v/>
      </c>
      <c r="S719"/>
      <c r="U719" s="406" t="str">
        <f t="shared" si="45"/>
        <v/>
      </c>
      <c r="W719" s="408" t="str">
        <f t="shared" si="46"/>
        <v/>
      </c>
      <c r="X719" s="409" t="str">
        <f t="shared" si="47"/>
        <v/>
      </c>
    </row>
    <row r="720" spans="1:24" ht="16" x14ac:dyDescent="0.25">
      <c r="A720" s="399" t="str">
        <f>IF(B720="","",CONCATENATE("GBL",B720," - ",Mantenedor!E724))</f>
        <v/>
      </c>
      <c r="P720" s="399" t="str">
        <f t="shared" si="44"/>
        <v/>
      </c>
      <c r="Q720" s="405" t="str" cm="1">
        <f t="array" ref="Q720">+_xlfn.IFS(O720="Nacional","CLP",O720="Extranjero","USD",O720="","")</f>
        <v/>
      </c>
      <c r="R720" s="406" t="str">
        <f>IFERROR(IF(O720="Nacional",VLOOKUP(P720,PRICING!$D$4:$E$59,2,FALSE),VLOOKUP(P720,PRICING!$J$4:$K$59,2,FALSE)),"")</f>
        <v/>
      </c>
      <c r="S720"/>
      <c r="U720" s="406" t="str">
        <f t="shared" si="45"/>
        <v/>
      </c>
      <c r="W720" s="408" t="str">
        <f t="shared" si="46"/>
        <v/>
      </c>
      <c r="X720" s="409" t="str">
        <f t="shared" si="47"/>
        <v/>
      </c>
    </row>
    <row r="721" spans="1:24" ht="16" x14ac:dyDescent="0.25">
      <c r="A721" s="399" t="str">
        <f>IF(B721="","",CONCATENATE("GBL",B721," - ",Mantenedor!E725))</f>
        <v/>
      </c>
      <c r="P721" s="399" t="str">
        <f t="shared" si="44"/>
        <v/>
      </c>
      <c r="Q721" s="405" t="str" cm="1">
        <f t="array" ref="Q721">+_xlfn.IFS(O721="Nacional","CLP",O721="Extranjero","USD",O721="","")</f>
        <v/>
      </c>
      <c r="R721" s="406" t="str">
        <f>IFERROR(IF(O721="Nacional",VLOOKUP(P721,PRICING!$D$4:$E$59,2,FALSE),VLOOKUP(P721,PRICING!$J$4:$K$59,2,FALSE)),"")</f>
        <v/>
      </c>
      <c r="S721"/>
      <c r="U721" s="406" t="str">
        <f t="shared" si="45"/>
        <v/>
      </c>
      <c r="W721" s="408" t="str">
        <f t="shared" si="46"/>
        <v/>
      </c>
      <c r="X721" s="409" t="str">
        <f t="shared" si="47"/>
        <v/>
      </c>
    </row>
    <row r="722" spans="1:24" ht="16" x14ac:dyDescent="0.25">
      <c r="A722" s="399" t="str">
        <f>IF(B722="","",CONCATENATE("GBL",B722," - ",Mantenedor!E726))</f>
        <v/>
      </c>
      <c r="P722" s="399" t="str">
        <f t="shared" si="44"/>
        <v/>
      </c>
      <c r="Q722" s="405" t="str" cm="1">
        <f t="array" ref="Q722">+_xlfn.IFS(O722="Nacional","CLP",O722="Extranjero","USD",O722="","")</f>
        <v/>
      </c>
      <c r="R722" s="406" t="str">
        <f>IFERROR(IF(O722="Nacional",VLOOKUP(P722,PRICING!$D$4:$E$59,2,FALSE),VLOOKUP(P722,PRICING!$J$4:$K$59,2,FALSE)),"")</f>
        <v/>
      </c>
      <c r="S722"/>
      <c r="U722" s="406" t="str">
        <f t="shared" si="45"/>
        <v/>
      </c>
      <c r="W722" s="408" t="str">
        <f t="shared" si="46"/>
        <v/>
      </c>
      <c r="X722" s="409" t="str">
        <f t="shared" si="47"/>
        <v/>
      </c>
    </row>
    <row r="723" spans="1:24" ht="16" x14ac:dyDescent="0.25">
      <c r="A723" s="399" t="str">
        <f>IF(B723="","",CONCATENATE("GBL",B723," - ",Mantenedor!E727))</f>
        <v/>
      </c>
      <c r="P723" s="399" t="str">
        <f t="shared" si="44"/>
        <v/>
      </c>
      <c r="Q723" s="405" t="str" cm="1">
        <f t="array" ref="Q723">+_xlfn.IFS(O723="Nacional","CLP",O723="Extranjero","USD",O723="","")</f>
        <v/>
      </c>
      <c r="R723" s="406" t="str">
        <f>IFERROR(IF(O723="Nacional",VLOOKUP(P723,PRICING!$D$4:$E$59,2,FALSE),VLOOKUP(P723,PRICING!$J$4:$K$59,2,FALSE)),"")</f>
        <v/>
      </c>
      <c r="S723"/>
      <c r="U723" s="406" t="str">
        <f t="shared" si="45"/>
        <v/>
      </c>
      <c r="W723" s="408" t="str">
        <f t="shared" si="46"/>
        <v/>
      </c>
      <c r="X723" s="409" t="str">
        <f t="shared" si="47"/>
        <v/>
      </c>
    </row>
    <row r="724" spans="1:24" ht="16" x14ac:dyDescent="0.25">
      <c r="A724" s="399" t="str">
        <f>IF(B724="","",CONCATENATE("GBL",B724," - ",Mantenedor!E728))</f>
        <v/>
      </c>
      <c r="P724" s="399" t="str">
        <f t="shared" si="44"/>
        <v/>
      </c>
      <c r="Q724" s="405" t="str" cm="1">
        <f t="array" ref="Q724">+_xlfn.IFS(O724="Nacional","CLP",O724="Extranjero","USD",O724="","")</f>
        <v/>
      </c>
      <c r="R724" s="406" t="str">
        <f>IFERROR(IF(O724="Nacional",VLOOKUP(P724,PRICING!$D$4:$E$59,2,FALSE),VLOOKUP(P724,PRICING!$J$4:$K$59,2,FALSE)),"")</f>
        <v/>
      </c>
      <c r="S724"/>
      <c r="U724" s="406" t="str">
        <f t="shared" si="45"/>
        <v/>
      </c>
      <c r="W724" s="408" t="str">
        <f t="shared" si="46"/>
        <v/>
      </c>
      <c r="X724" s="409" t="str">
        <f t="shared" si="47"/>
        <v/>
      </c>
    </row>
    <row r="725" spans="1:24" ht="16" x14ac:dyDescent="0.25">
      <c r="A725" s="399" t="str">
        <f>IF(B725="","",CONCATENATE("GBL",B725," - ",Mantenedor!E729))</f>
        <v/>
      </c>
      <c r="P725" s="399" t="str">
        <f t="shared" si="44"/>
        <v/>
      </c>
      <c r="Q725" s="405" t="str" cm="1">
        <f t="array" ref="Q725">+_xlfn.IFS(O725="Nacional","CLP",O725="Extranjero","USD",O725="","")</f>
        <v/>
      </c>
      <c r="R725" s="406" t="str">
        <f>IFERROR(IF(O725="Nacional",VLOOKUP(P725,PRICING!$D$4:$E$59,2,FALSE),VLOOKUP(P725,PRICING!$J$4:$K$59,2,FALSE)),"")</f>
        <v/>
      </c>
      <c r="S725"/>
      <c r="U725" s="406" t="str">
        <f t="shared" si="45"/>
        <v/>
      </c>
      <c r="W725" s="408" t="str">
        <f t="shared" si="46"/>
        <v/>
      </c>
      <c r="X725" s="409" t="str">
        <f t="shared" si="47"/>
        <v/>
      </c>
    </row>
    <row r="726" spans="1:24" ht="16" x14ac:dyDescent="0.25">
      <c r="A726" s="399" t="str">
        <f>IF(B726="","",CONCATENATE("GBL",B726," - ",Mantenedor!E730))</f>
        <v/>
      </c>
      <c r="P726" s="399" t="str">
        <f t="shared" si="44"/>
        <v/>
      </c>
      <c r="Q726" s="405" t="str" cm="1">
        <f t="array" ref="Q726">+_xlfn.IFS(O726="Nacional","CLP",O726="Extranjero","USD",O726="","")</f>
        <v/>
      </c>
      <c r="R726" s="406" t="str">
        <f>IFERROR(IF(O726="Nacional",VLOOKUP(P726,PRICING!$D$4:$E$59,2,FALSE),VLOOKUP(P726,PRICING!$J$4:$K$59,2,FALSE)),"")</f>
        <v/>
      </c>
      <c r="S726"/>
      <c r="U726" s="406" t="str">
        <f t="shared" si="45"/>
        <v/>
      </c>
      <c r="W726" s="408" t="str">
        <f t="shared" si="46"/>
        <v/>
      </c>
      <c r="X726" s="409" t="str">
        <f t="shared" si="47"/>
        <v/>
      </c>
    </row>
    <row r="727" spans="1:24" ht="16" x14ac:dyDescent="0.25">
      <c r="A727" s="399" t="str">
        <f>IF(B727="","",CONCATENATE("GBL",B727," - ",Mantenedor!E731))</f>
        <v/>
      </c>
      <c r="P727" s="399" t="str">
        <f t="shared" si="44"/>
        <v/>
      </c>
      <c r="Q727" s="405" t="str" cm="1">
        <f t="array" ref="Q727">+_xlfn.IFS(O727="Nacional","CLP",O727="Extranjero","USD",O727="","")</f>
        <v/>
      </c>
      <c r="R727" s="406" t="str">
        <f>IFERROR(IF(O727="Nacional",VLOOKUP(P727,PRICING!$D$4:$E$59,2,FALSE),VLOOKUP(P727,PRICING!$J$4:$K$59,2,FALSE)),"")</f>
        <v/>
      </c>
      <c r="S727"/>
      <c r="U727" s="406" t="str">
        <f t="shared" si="45"/>
        <v/>
      </c>
      <c r="W727" s="408" t="str">
        <f t="shared" si="46"/>
        <v/>
      </c>
      <c r="X727" s="409" t="str">
        <f t="shared" si="47"/>
        <v/>
      </c>
    </row>
    <row r="728" spans="1:24" ht="16" x14ac:dyDescent="0.25">
      <c r="A728" s="399" t="str">
        <f>IF(B728="","",CONCATENATE("GBL",B728," - ",Mantenedor!E732))</f>
        <v/>
      </c>
      <c r="P728" s="399" t="str">
        <f t="shared" si="44"/>
        <v/>
      </c>
      <c r="Q728" s="405" t="str" cm="1">
        <f t="array" ref="Q728">+_xlfn.IFS(O728="Nacional","CLP",O728="Extranjero","USD",O728="","")</f>
        <v/>
      </c>
      <c r="R728" s="406" t="str">
        <f>IFERROR(IF(O728="Nacional",VLOOKUP(P728,PRICING!$D$4:$E$59,2,FALSE),VLOOKUP(P728,PRICING!$J$4:$K$59,2,FALSE)),"")</f>
        <v/>
      </c>
      <c r="S728"/>
      <c r="U728" s="406" t="str">
        <f t="shared" si="45"/>
        <v/>
      </c>
      <c r="W728" s="408" t="str">
        <f t="shared" si="46"/>
        <v/>
      </c>
      <c r="X728" s="409" t="str">
        <f t="shared" si="47"/>
        <v/>
      </c>
    </row>
    <row r="729" spans="1:24" ht="16" x14ac:dyDescent="0.25">
      <c r="A729" s="399" t="str">
        <f>IF(B729="","",CONCATENATE("GBL",B729," - ",Mantenedor!E733))</f>
        <v/>
      </c>
      <c r="P729" s="399" t="str">
        <f t="shared" si="44"/>
        <v/>
      </c>
      <c r="Q729" s="405" t="str" cm="1">
        <f t="array" ref="Q729">+_xlfn.IFS(O729="Nacional","CLP",O729="Extranjero","USD",O729="","")</f>
        <v/>
      </c>
      <c r="R729" s="406" t="str">
        <f>IFERROR(IF(O729="Nacional",VLOOKUP(P729,PRICING!$D$4:$E$59,2,FALSE),VLOOKUP(P729,PRICING!$J$4:$K$59,2,FALSE)),"")</f>
        <v/>
      </c>
      <c r="S729"/>
      <c r="U729" s="406" t="str">
        <f t="shared" si="45"/>
        <v/>
      </c>
      <c r="W729" s="408" t="str">
        <f t="shared" si="46"/>
        <v/>
      </c>
      <c r="X729" s="409" t="str">
        <f t="shared" si="47"/>
        <v/>
      </c>
    </row>
    <row r="730" spans="1:24" ht="16" x14ac:dyDescent="0.25">
      <c r="A730" s="399" t="str">
        <f>IF(B730="","",CONCATENATE("GBL",B730," - ",Mantenedor!E734))</f>
        <v/>
      </c>
      <c r="P730" s="399" t="str">
        <f t="shared" si="44"/>
        <v/>
      </c>
      <c r="Q730" s="405" t="str" cm="1">
        <f t="array" ref="Q730">+_xlfn.IFS(O730="Nacional","CLP",O730="Extranjero","USD",O730="","")</f>
        <v/>
      </c>
      <c r="R730" s="406" t="str">
        <f>IFERROR(IF(O730="Nacional",VLOOKUP(P730,PRICING!$D$4:$E$59,2,FALSE),VLOOKUP(P730,PRICING!$J$4:$K$59,2,FALSE)),"")</f>
        <v/>
      </c>
      <c r="S730"/>
      <c r="U730" s="406" t="str">
        <f t="shared" si="45"/>
        <v/>
      </c>
      <c r="W730" s="408" t="str">
        <f t="shared" si="46"/>
        <v/>
      </c>
      <c r="X730" s="409" t="str">
        <f t="shared" si="47"/>
        <v/>
      </c>
    </row>
    <row r="731" spans="1:24" ht="16" x14ac:dyDescent="0.25">
      <c r="A731" s="399" t="str">
        <f>IF(B731="","",CONCATENATE("GBL",B731," - ",Mantenedor!E735))</f>
        <v/>
      </c>
      <c r="P731" s="399" t="str">
        <f t="shared" si="44"/>
        <v/>
      </c>
      <c r="Q731" s="405" t="str" cm="1">
        <f t="array" ref="Q731">+_xlfn.IFS(O731="Nacional","CLP",O731="Extranjero","USD",O731="","")</f>
        <v/>
      </c>
      <c r="R731" s="406" t="str">
        <f>IFERROR(IF(O731="Nacional",VLOOKUP(P731,PRICING!$D$4:$E$59,2,FALSE),VLOOKUP(P731,PRICING!$J$4:$K$59,2,FALSE)),"")</f>
        <v/>
      </c>
      <c r="S731"/>
      <c r="U731" s="406" t="str">
        <f t="shared" si="45"/>
        <v/>
      </c>
      <c r="W731" s="408" t="str">
        <f t="shared" si="46"/>
        <v/>
      </c>
      <c r="X731" s="409" t="str">
        <f t="shared" si="47"/>
        <v/>
      </c>
    </row>
    <row r="732" spans="1:24" ht="16" x14ac:dyDescent="0.25">
      <c r="A732" s="399" t="str">
        <f>IF(B732="","",CONCATENATE("GBL",B732," - ",Mantenedor!E736))</f>
        <v/>
      </c>
      <c r="P732" s="399" t="str">
        <f t="shared" si="44"/>
        <v/>
      </c>
      <c r="Q732" s="405" t="str" cm="1">
        <f t="array" ref="Q732">+_xlfn.IFS(O732="Nacional","CLP",O732="Extranjero","USD",O732="","")</f>
        <v/>
      </c>
      <c r="R732" s="406" t="str">
        <f>IFERROR(IF(O732="Nacional",VLOOKUP(P732,PRICING!$D$4:$E$59,2,FALSE),VLOOKUP(P732,PRICING!$J$4:$K$59,2,FALSE)),"")</f>
        <v/>
      </c>
      <c r="S732"/>
      <c r="U732" s="406" t="str">
        <f t="shared" si="45"/>
        <v/>
      </c>
      <c r="W732" s="408" t="str">
        <f t="shared" si="46"/>
        <v/>
      </c>
      <c r="X732" s="409" t="str">
        <f t="shared" si="47"/>
        <v/>
      </c>
    </row>
    <row r="733" spans="1:24" ht="16" x14ac:dyDescent="0.25">
      <c r="A733" s="399" t="str">
        <f>IF(B733="","",CONCATENATE("GBL",B733," - ",Mantenedor!E737))</f>
        <v/>
      </c>
      <c r="P733" s="399" t="str">
        <f t="shared" si="44"/>
        <v/>
      </c>
      <c r="Q733" s="405" t="str" cm="1">
        <f t="array" ref="Q733">+_xlfn.IFS(O733="Nacional","CLP",O733="Extranjero","USD",O733="","")</f>
        <v/>
      </c>
      <c r="R733" s="406" t="str">
        <f>IFERROR(IF(O733="Nacional",VLOOKUP(P733,PRICING!$D$4:$E$59,2,FALSE),VLOOKUP(P733,PRICING!$J$4:$K$59,2,FALSE)),"")</f>
        <v/>
      </c>
      <c r="S733"/>
      <c r="U733" s="406" t="str">
        <f t="shared" si="45"/>
        <v/>
      </c>
      <c r="W733" s="408" t="str">
        <f t="shared" si="46"/>
        <v/>
      </c>
      <c r="X733" s="409" t="str">
        <f t="shared" si="47"/>
        <v/>
      </c>
    </row>
    <row r="734" spans="1:24" ht="16" x14ac:dyDescent="0.25">
      <c r="A734" s="399" t="str">
        <f>IF(B734="","",CONCATENATE("GBL",B734," - ",Mantenedor!E738))</f>
        <v/>
      </c>
      <c r="P734" s="399" t="str">
        <f t="shared" si="44"/>
        <v/>
      </c>
      <c r="Q734" s="405" t="str" cm="1">
        <f t="array" ref="Q734">+_xlfn.IFS(O734="Nacional","CLP",O734="Extranjero","USD",O734="","")</f>
        <v/>
      </c>
      <c r="R734" s="406" t="str">
        <f>IFERROR(IF(O734="Nacional",VLOOKUP(P734,PRICING!$D$4:$E$59,2,FALSE),VLOOKUP(P734,PRICING!$J$4:$K$59,2,FALSE)),"")</f>
        <v/>
      </c>
      <c r="S734"/>
      <c r="U734" s="406" t="str">
        <f t="shared" si="45"/>
        <v/>
      </c>
      <c r="W734" s="408" t="str">
        <f t="shared" si="46"/>
        <v/>
      </c>
      <c r="X734" s="409" t="str">
        <f t="shared" si="47"/>
        <v/>
      </c>
    </row>
    <row r="735" spans="1:24" ht="16" x14ac:dyDescent="0.25">
      <c r="A735" s="399" t="str">
        <f>IF(B735="","",CONCATENATE("GBL",B735," - ",Mantenedor!E739))</f>
        <v/>
      </c>
      <c r="P735" s="399" t="str">
        <f t="shared" si="44"/>
        <v/>
      </c>
      <c r="Q735" s="405" t="str" cm="1">
        <f t="array" ref="Q735">+_xlfn.IFS(O735="Nacional","CLP",O735="Extranjero","USD",O735="","")</f>
        <v/>
      </c>
      <c r="R735" s="406" t="str">
        <f>IFERROR(IF(O735="Nacional",VLOOKUP(P735,PRICING!$D$4:$E$59,2,FALSE),VLOOKUP(P735,PRICING!$J$4:$K$59,2,FALSE)),"")</f>
        <v/>
      </c>
      <c r="S735"/>
      <c r="U735" s="406" t="str">
        <f t="shared" si="45"/>
        <v/>
      </c>
      <c r="W735" s="408" t="str">
        <f t="shared" si="46"/>
        <v/>
      </c>
      <c r="X735" s="409" t="str">
        <f t="shared" si="47"/>
        <v/>
      </c>
    </row>
    <row r="736" spans="1:24" ht="16" x14ac:dyDescent="0.25">
      <c r="A736" s="399" t="str">
        <f>IF(B736="","",CONCATENATE("GBL",B736," - ",Mantenedor!E740))</f>
        <v/>
      </c>
      <c r="P736" s="399" t="str">
        <f t="shared" si="44"/>
        <v/>
      </c>
      <c r="Q736" s="405" t="str" cm="1">
        <f t="array" ref="Q736">+_xlfn.IFS(O736="Nacional","CLP",O736="Extranjero","USD",O736="","")</f>
        <v/>
      </c>
      <c r="R736" s="406" t="str">
        <f>IFERROR(IF(O736="Nacional",VLOOKUP(P736,PRICING!$D$4:$E$59,2,FALSE),VLOOKUP(P736,PRICING!$J$4:$K$59,2,FALSE)),"")</f>
        <v/>
      </c>
      <c r="S736"/>
      <c r="U736" s="406" t="str">
        <f t="shared" si="45"/>
        <v/>
      </c>
      <c r="W736" s="408" t="str">
        <f t="shared" si="46"/>
        <v/>
      </c>
      <c r="X736" s="409" t="str">
        <f t="shared" si="47"/>
        <v/>
      </c>
    </row>
    <row r="737" spans="1:24" ht="16" x14ac:dyDescent="0.25">
      <c r="A737" s="399" t="str">
        <f>IF(B737="","",CONCATENATE("GBL",B737," - ",Mantenedor!E741))</f>
        <v/>
      </c>
      <c r="P737" s="399" t="str">
        <f t="shared" si="44"/>
        <v/>
      </c>
      <c r="Q737" s="405" t="str" cm="1">
        <f t="array" ref="Q737">+_xlfn.IFS(O737="Nacional","CLP",O737="Extranjero","USD",O737="","")</f>
        <v/>
      </c>
      <c r="R737" s="406" t="str">
        <f>IFERROR(IF(O737="Nacional",VLOOKUP(P737,PRICING!$D$4:$E$59,2,FALSE),VLOOKUP(P737,PRICING!$J$4:$K$59,2,FALSE)),"")</f>
        <v/>
      </c>
      <c r="S737"/>
      <c r="U737" s="406" t="str">
        <f t="shared" si="45"/>
        <v/>
      </c>
      <c r="W737" s="408" t="str">
        <f t="shared" si="46"/>
        <v/>
      </c>
      <c r="X737" s="409" t="str">
        <f t="shared" si="47"/>
        <v/>
      </c>
    </row>
    <row r="738" spans="1:24" ht="16" x14ac:dyDescent="0.25">
      <c r="A738" s="399" t="str">
        <f>IF(B738="","",CONCATENATE("GBL",B738," - ",Mantenedor!E742))</f>
        <v/>
      </c>
      <c r="P738" s="399" t="str">
        <f t="shared" si="44"/>
        <v/>
      </c>
      <c r="Q738" s="405" t="str" cm="1">
        <f t="array" ref="Q738">+_xlfn.IFS(O738="Nacional","CLP",O738="Extranjero","USD",O738="","")</f>
        <v/>
      </c>
      <c r="R738" s="406" t="str">
        <f>IFERROR(IF(O738="Nacional",VLOOKUP(P738,PRICING!$D$4:$E$59,2,FALSE),VLOOKUP(P738,PRICING!$J$4:$K$59,2,FALSE)),"")</f>
        <v/>
      </c>
      <c r="S738"/>
      <c r="U738" s="406" t="str">
        <f t="shared" si="45"/>
        <v/>
      </c>
      <c r="W738" s="408" t="str">
        <f t="shared" si="46"/>
        <v/>
      </c>
      <c r="X738" s="409" t="str">
        <f t="shared" si="47"/>
        <v/>
      </c>
    </row>
    <row r="739" spans="1:24" ht="16" x14ac:dyDescent="0.25">
      <c r="A739" s="399" t="str">
        <f>IF(B739="","",CONCATENATE("GBL",B739," - ",Mantenedor!E743))</f>
        <v/>
      </c>
      <c r="P739" s="399" t="str">
        <f t="shared" si="44"/>
        <v/>
      </c>
      <c r="Q739" s="405" t="str" cm="1">
        <f t="array" ref="Q739">+_xlfn.IFS(O739="Nacional","CLP",O739="Extranjero","USD",O739="","")</f>
        <v/>
      </c>
      <c r="R739" s="406" t="str">
        <f>IFERROR(IF(O739="Nacional",VLOOKUP(P739,PRICING!$D$4:$E$59,2,FALSE),VLOOKUP(P739,PRICING!$J$4:$K$59,2,FALSE)),"")</f>
        <v/>
      </c>
      <c r="S739"/>
      <c r="U739" s="406" t="str">
        <f t="shared" si="45"/>
        <v/>
      </c>
      <c r="W739" s="408" t="str">
        <f t="shared" si="46"/>
        <v/>
      </c>
      <c r="X739" s="409" t="str">
        <f t="shared" si="47"/>
        <v/>
      </c>
    </row>
    <row r="740" spans="1:24" ht="16" x14ac:dyDescent="0.25">
      <c r="A740" s="399" t="str">
        <f>IF(B740="","",CONCATENATE("GBL",B740," - ",Mantenedor!E744))</f>
        <v/>
      </c>
      <c r="P740" s="399" t="str">
        <f t="shared" si="44"/>
        <v/>
      </c>
      <c r="Q740" s="405" t="str" cm="1">
        <f t="array" ref="Q740">+_xlfn.IFS(O740="Nacional","CLP",O740="Extranjero","USD",O740="","")</f>
        <v/>
      </c>
      <c r="R740" s="406" t="str">
        <f>IFERROR(IF(O740="Nacional",VLOOKUP(P740,PRICING!$D$4:$E$59,2,FALSE),VLOOKUP(P740,PRICING!$J$4:$K$59,2,FALSE)),"")</f>
        <v/>
      </c>
      <c r="S740"/>
      <c r="U740" s="406" t="str">
        <f t="shared" si="45"/>
        <v/>
      </c>
      <c r="W740" s="408" t="str">
        <f t="shared" si="46"/>
        <v/>
      </c>
      <c r="X740" s="409" t="str">
        <f t="shared" si="47"/>
        <v/>
      </c>
    </row>
    <row r="741" spans="1:24" ht="16" x14ac:dyDescent="0.25">
      <c r="A741" s="399" t="str">
        <f>IF(B741="","",CONCATENATE("GBL",B741," - ",Mantenedor!E745))</f>
        <v/>
      </c>
      <c r="P741" s="399" t="str">
        <f t="shared" si="44"/>
        <v/>
      </c>
      <c r="Q741" s="405" t="str" cm="1">
        <f t="array" ref="Q741">+_xlfn.IFS(O741="Nacional","CLP",O741="Extranjero","USD",O741="","")</f>
        <v/>
      </c>
      <c r="R741" s="406" t="str">
        <f>IFERROR(IF(O741="Nacional",VLOOKUP(P741,PRICING!$D$4:$E$59,2,FALSE),VLOOKUP(P741,PRICING!$J$4:$K$59,2,FALSE)),"")</f>
        <v/>
      </c>
      <c r="S741"/>
      <c r="U741" s="406" t="str">
        <f t="shared" si="45"/>
        <v/>
      </c>
      <c r="W741" s="408" t="str">
        <f t="shared" si="46"/>
        <v/>
      </c>
      <c r="X741" s="409" t="str">
        <f t="shared" si="47"/>
        <v/>
      </c>
    </row>
    <row r="742" spans="1:24" ht="16" x14ac:dyDescent="0.25">
      <c r="A742" s="399" t="str">
        <f>IF(B742="","",CONCATENATE("GBL",B742," - ",Mantenedor!E746))</f>
        <v/>
      </c>
      <c r="P742" s="399" t="str">
        <f t="shared" si="44"/>
        <v/>
      </c>
      <c r="Q742" s="405" t="str" cm="1">
        <f t="array" ref="Q742">+_xlfn.IFS(O742="Nacional","CLP",O742="Extranjero","USD",O742="","")</f>
        <v/>
      </c>
      <c r="R742" s="406" t="str">
        <f>IFERROR(IF(O742="Nacional",VLOOKUP(P742,PRICING!$D$4:$E$59,2,FALSE),VLOOKUP(P742,PRICING!$J$4:$K$59,2,FALSE)),"")</f>
        <v/>
      </c>
      <c r="S742"/>
      <c r="U742" s="406" t="str">
        <f t="shared" si="45"/>
        <v/>
      </c>
      <c r="W742" s="408" t="str">
        <f t="shared" si="46"/>
        <v/>
      </c>
      <c r="X742" s="409" t="str">
        <f t="shared" si="47"/>
        <v/>
      </c>
    </row>
    <row r="743" spans="1:24" ht="16" x14ac:dyDescent="0.25">
      <c r="A743" s="399" t="str">
        <f>IF(B743="","",CONCATENATE("GBL",B743," - ",Mantenedor!E747))</f>
        <v/>
      </c>
      <c r="P743" s="399" t="str">
        <f t="shared" si="44"/>
        <v/>
      </c>
      <c r="Q743" s="405" t="str" cm="1">
        <f t="array" ref="Q743">+_xlfn.IFS(O743="Nacional","CLP",O743="Extranjero","USD",O743="","")</f>
        <v/>
      </c>
      <c r="R743" s="406" t="str">
        <f>IFERROR(IF(O743="Nacional",VLOOKUP(P743,PRICING!$D$4:$E$59,2,FALSE),VLOOKUP(P743,PRICING!$J$4:$K$59,2,FALSE)),"")</f>
        <v/>
      </c>
      <c r="S743"/>
      <c r="U743" s="406" t="str">
        <f t="shared" si="45"/>
        <v/>
      </c>
      <c r="W743" s="408" t="str">
        <f t="shared" si="46"/>
        <v/>
      </c>
      <c r="X743" s="409" t="str">
        <f t="shared" si="47"/>
        <v/>
      </c>
    </row>
    <row r="744" spans="1:24" ht="16" x14ac:dyDescent="0.25">
      <c r="A744" s="399" t="str">
        <f>IF(B744="","",CONCATENATE("GBL",B744," - ",Mantenedor!E748))</f>
        <v/>
      </c>
      <c r="P744" s="399" t="str">
        <f t="shared" si="44"/>
        <v/>
      </c>
      <c r="Q744" s="405" t="str" cm="1">
        <f t="array" ref="Q744">+_xlfn.IFS(O744="Nacional","CLP",O744="Extranjero","USD",O744="","")</f>
        <v/>
      </c>
      <c r="R744" s="406" t="str">
        <f>IFERROR(IF(O744="Nacional",VLOOKUP(P744,PRICING!$D$4:$E$59,2,FALSE),VLOOKUP(P744,PRICING!$J$4:$K$59,2,FALSE)),"")</f>
        <v/>
      </c>
      <c r="S744"/>
      <c r="U744" s="406" t="str">
        <f t="shared" si="45"/>
        <v/>
      </c>
      <c r="W744" s="408" t="str">
        <f t="shared" si="46"/>
        <v/>
      </c>
      <c r="X744" s="409" t="str">
        <f t="shared" si="47"/>
        <v/>
      </c>
    </row>
    <row r="745" spans="1:24" ht="16" x14ac:dyDescent="0.25">
      <c r="A745" s="399" t="str">
        <f>IF(B745="","",CONCATENATE("GBL",B745," - ",Mantenedor!E749))</f>
        <v/>
      </c>
      <c r="P745" s="399" t="str">
        <f t="shared" si="44"/>
        <v/>
      </c>
      <c r="Q745" s="405" t="str" cm="1">
        <f t="array" ref="Q745">+_xlfn.IFS(O745="Nacional","CLP",O745="Extranjero","USD",O745="","")</f>
        <v/>
      </c>
      <c r="R745" s="406" t="str">
        <f>IFERROR(IF(O745="Nacional",VLOOKUP(P745,PRICING!$D$4:$E$59,2,FALSE),VLOOKUP(P745,PRICING!$J$4:$K$59,2,FALSE)),"")</f>
        <v/>
      </c>
      <c r="S745"/>
      <c r="U745" s="406" t="str">
        <f t="shared" si="45"/>
        <v/>
      </c>
      <c r="W745" s="408" t="str">
        <f t="shared" si="46"/>
        <v/>
      </c>
      <c r="X745" s="409" t="str">
        <f t="shared" si="47"/>
        <v/>
      </c>
    </row>
    <row r="746" spans="1:24" ht="16" x14ac:dyDescent="0.25">
      <c r="A746" s="399" t="str">
        <f>IF(B746="","",CONCATENATE("GBL",B746," - ",Mantenedor!E750))</f>
        <v/>
      </c>
      <c r="P746" s="399" t="str">
        <f t="shared" si="44"/>
        <v/>
      </c>
      <c r="Q746" s="405" t="str" cm="1">
        <f t="array" ref="Q746">+_xlfn.IFS(O746="Nacional","CLP",O746="Extranjero","USD",O746="","")</f>
        <v/>
      </c>
      <c r="R746" s="406" t="str">
        <f>IFERROR(IF(O746="Nacional",VLOOKUP(P746,PRICING!$D$4:$E$59,2,FALSE),VLOOKUP(P746,PRICING!$J$4:$K$59,2,FALSE)),"")</f>
        <v/>
      </c>
      <c r="S746"/>
      <c r="U746" s="406" t="str">
        <f t="shared" si="45"/>
        <v/>
      </c>
      <c r="W746" s="408" t="str">
        <f t="shared" si="46"/>
        <v/>
      </c>
      <c r="X746" s="409" t="str">
        <f t="shared" si="47"/>
        <v/>
      </c>
    </row>
    <row r="747" spans="1:24" ht="16" x14ac:dyDescent="0.25">
      <c r="A747" s="399" t="str">
        <f>IF(B747="","",CONCATENATE("GBL",B747," - ",Mantenedor!E751))</f>
        <v/>
      </c>
      <c r="P747" s="399" t="str">
        <f t="shared" si="44"/>
        <v/>
      </c>
      <c r="Q747" s="405" t="str" cm="1">
        <f t="array" ref="Q747">+_xlfn.IFS(O747="Nacional","CLP",O747="Extranjero","USD",O747="","")</f>
        <v/>
      </c>
      <c r="R747" s="406" t="str">
        <f>IFERROR(IF(O747="Nacional",VLOOKUP(P747,PRICING!$D$4:$E$59,2,FALSE),VLOOKUP(P747,PRICING!$J$4:$K$59,2,FALSE)),"")</f>
        <v/>
      </c>
      <c r="S747"/>
      <c r="U747" s="406" t="str">
        <f t="shared" si="45"/>
        <v/>
      </c>
      <c r="W747" s="408" t="str">
        <f t="shared" si="46"/>
        <v/>
      </c>
      <c r="X747" s="409" t="str">
        <f t="shared" si="47"/>
        <v/>
      </c>
    </row>
    <row r="748" spans="1:24" ht="16" x14ac:dyDescent="0.25">
      <c r="A748" s="399" t="str">
        <f>IF(B748="","",CONCATENATE("GBL",B748," - ",Mantenedor!E752))</f>
        <v/>
      </c>
      <c r="P748" s="399" t="str">
        <f t="shared" si="44"/>
        <v/>
      </c>
      <c r="Q748" s="405" t="str" cm="1">
        <f t="array" ref="Q748">+_xlfn.IFS(O748="Nacional","CLP",O748="Extranjero","USD",O748="","")</f>
        <v/>
      </c>
      <c r="R748" s="406" t="str">
        <f>IFERROR(IF(O748="Nacional",VLOOKUP(P748,PRICING!$D$4:$E$59,2,FALSE),VLOOKUP(P748,PRICING!$J$4:$K$59,2,FALSE)),"")</f>
        <v/>
      </c>
      <c r="S748"/>
      <c r="U748" s="406" t="str">
        <f t="shared" si="45"/>
        <v/>
      </c>
      <c r="W748" s="408" t="str">
        <f t="shared" si="46"/>
        <v/>
      </c>
      <c r="X748" s="409" t="str">
        <f t="shared" si="47"/>
        <v/>
      </c>
    </row>
    <row r="749" spans="1:24" ht="16" x14ac:dyDescent="0.25">
      <c r="A749" s="399" t="str">
        <f>IF(B749="","",CONCATENATE("GBL",B749," - ",Mantenedor!E753))</f>
        <v/>
      </c>
      <c r="P749" s="399" t="str">
        <f t="shared" si="44"/>
        <v/>
      </c>
      <c r="Q749" s="405" t="str" cm="1">
        <f t="array" ref="Q749">+_xlfn.IFS(O749="Nacional","CLP",O749="Extranjero","USD",O749="","")</f>
        <v/>
      </c>
      <c r="R749" s="406" t="str">
        <f>IFERROR(IF(O749="Nacional",VLOOKUP(P749,PRICING!$D$4:$E$59,2,FALSE),VLOOKUP(P749,PRICING!$J$4:$K$59,2,FALSE)),"")</f>
        <v/>
      </c>
      <c r="S749"/>
      <c r="U749" s="406" t="str">
        <f t="shared" si="45"/>
        <v/>
      </c>
      <c r="W749" s="408" t="str">
        <f t="shared" si="46"/>
        <v/>
      </c>
      <c r="X749" s="409" t="str">
        <f t="shared" si="47"/>
        <v/>
      </c>
    </row>
    <row r="750" spans="1:24" ht="16" x14ac:dyDescent="0.25">
      <c r="A750" s="399" t="str">
        <f>IF(B750="","",CONCATENATE("GBL",B750," - ",Mantenedor!E754))</f>
        <v/>
      </c>
      <c r="P750" s="399" t="str">
        <f t="shared" si="44"/>
        <v/>
      </c>
      <c r="Q750" s="405" t="str" cm="1">
        <f t="array" ref="Q750">+_xlfn.IFS(O750="Nacional","CLP",O750="Extranjero","USD",O750="","")</f>
        <v/>
      </c>
      <c r="R750" s="406" t="str">
        <f>IFERROR(IF(O750="Nacional",VLOOKUP(P750,PRICING!$D$4:$E$59,2,FALSE),VLOOKUP(P750,PRICING!$J$4:$K$59,2,FALSE)),"")</f>
        <v/>
      </c>
      <c r="S750"/>
      <c r="U750" s="406" t="str">
        <f t="shared" si="45"/>
        <v/>
      </c>
      <c r="W750" s="408" t="str">
        <f t="shared" si="46"/>
        <v/>
      </c>
      <c r="X750" s="409" t="str">
        <f t="shared" si="47"/>
        <v/>
      </c>
    </row>
    <row r="751" spans="1:24" ht="16" x14ac:dyDescent="0.25">
      <c r="A751" s="399" t="str">
        <f>IF(B751="","",CONCATENATE("GBL",B751," - ",Mantenedor!E755))</f>
        <v/>
      </c>
      <c r="P751" s="399" t="str">
        <f t="shared" si="44"/>
        <v/>
      </c>
      <c r="Q751" s="405" t="str" cm="1">
        <f t="array" ref="Q751">+_xlfn.IFS(O751="Nacional","CLP",O751="Extranjero","USD",O751="","")</f>
        <v/>
      </c>
      <c r="R751" s="406" t="str">
        <f>IFERROR(IF(O751="Nacional",VLOOKUP(P751,PRICING!$D$4:$E$59,2,FALSE),VLOOKUP(P751,PRICING!$J$4:$K$59,2,FALSE)),"")</f>
        <v/>
      </c>
      <c r="S751"/>
      <c r="U751" s="406" t="str">
        <f t="shared" si="45"/>
        <v/>
      </c>
      <c r="W751" s="408" t="str">
        <f t="shared" si="46"/>
        <v/>
      </c>
      <c r="X751" s="409" t="str">
        <f t="shared" si="47"/>
        <v/>
      </c>
    </row>
    <row r="752" spans="1:24" ht="16" x14ac:dyDescent="0.25">
      <c r="A752" s="399" t="str">
        <f>IF(B752="","",CONCATENATE("GBL",B752," - ",Mantenedor!E756))</f>
        <v/>
      </c>
      <c r="P752" s="399" t="str">
        <f t="shared" si="44"/>
        <v/>
      </c>
      <c r="Q752" s="405" t="str" cm="1">
        <f t="array" ref="Q752">+_xlfn.IFS(O752="Nacional","CLP",O752="Extranjero","USD",O752="","")</f>
        <v/>
      </c>
      <c r="R752" s="406" t="str">
        <f>IFERROR(IF(O752="Nacional",VLOOKUP(P752,PRICING!$D$4:$E$59,2,FALSE),VLOOKUP(P752,PRICING!$J$4:$K$59,2,FALSE)),"")</f>
        <v/>
      </c>
      <c r="S752"/>
      <c r="U752" s="406" t="str">
        <f t="shared" si="45"/>
        <v/>
      </c>
      <c r="W752" s="408" t="str">
        <f t="shared" si="46"/>
        <v/>
      </c>
      <c r="X752" s="409" t="str">
        <f t="shared" si="47"/>
        <v/>
      </c>
    </row>
    <row r="753" spans="1:24" ht="16" x14ac:dyDescent="0.25">
      <c r="A753" s="399" t="str">
        <f>IF(B753="","",CONCATENATE("GBL",B753," - ",Mantenedor!E757))</f>
        <v/>
      </c>
      <c r="P753" s="399" t="str">
        <f t="shared" si="44"/>
        <v/>
      </c>
      <c r="Q753" s="405" t="str" cm="1">
        <f t="array" ref="Q753">+_xlfn.IFS(O753="Nacional","CLP",O753="Extranjero","USD",O753="","")</f>
        <v/>
      </c>
      <c r="R753" s="406" t="str">
        <f>IFERROR(IF(O753="Nacional",VLOOKUP(P753,PRICING!$D$4:$E$59,2,FALSE),VLOOKUP(P753,PRICING!$J$4:$K$59,2,FALSE)),"")</f>
        <v/>
      </c>
      <c r="S753"/>
      <c r="U753" s="406" t="str">
        <f t="shared" si="45"/>
        <v/>
      </c>
      <c r="W753" s="408" t="str">
        <f t="shared" si="46"/>
        <v/>
      </c>
      <c r="X753" s="409" t="str">
        <f t="shared" si="47"/>
        <v/>
      </c>
    </row>
    <row r="754" spans="1:24" ht="16" x14ac:dyDescent="0.25">
      <c r="A754" s="399" t="str">
        <f>IF(B754="","",CONCATENATE("GBL",B754," - ",Mantenedor!E758))</f>
        <v/>
      </c>
      <c r="P754" s="399" t="str">
        <f t="shared" si="44"/>
        <v/>
      </c>
      <c r="Q754" s="405" t="str" cm="1">
        <f t="array" ref="Q754">+_xlfn.IFS(O754="Nacional","CLP",O754="Extranjero","USD",O754="","")</f>
        <v/>
      </c>
      <c r="R754" s="406" t="str">
        <f>IFERROR(IF(O754="Nacional",VLOOKUP(P754,PRICING!$D$4:$E$59,2,FALSE),VLOOKUP(P754,PRICING!$J$4:$K$59,2,FALSE)),"")</f>
        <v/>
      </c>
      <c r="S754"/>
      <c r="U754" s="406" t="str">
        <f t="shared" si="45"/>
        <v/>
      </c>
      <c r="W754" s="408" t="str">
        <f t="shared" si="46"/>
        <v/>
      </c>
      <c r="X754" s="409" t="str">
        <f t="shared" si="47"/>
        <v/>
      </c>
    </row>
    <row r="755" spans="1:24" ht="16" x14ac:dyDescent="0.25">
      <c r="A755" s="399" t="str">
        <f>IF(B755="","",CONCATENATE("GBL",B755," - ",Mantenedor!E759))</f>
        <v/>
      </c>
      <c r="P755" s="399" t="str">
        <f t="shared" si="44"/>
        <v/>
      </c>
      <c r="Q755" s="405" t="str" cm="1">
        <f t="array" ref="Q755">+_xlfn.IFS(O755="Nacional","CLP",O755="Extranjero","USD",O755="","")</f>
        <v/>
      </c>
      <c r="R755" s="406" t="str">
        <f>IFERROR(IF(O755="Nacional",VLOOKUP(P755,PRICING!$D$4:$E$59,2,FALSE),VLOOKUP(P755,PRICING!$J$4:$K$59,2,FALSE)),"")</f>
        <v/>
      </c>
      <c r="S755"/>
      <c r="U755" s="406" t="str">
        <f t="shared" si="45"/>
        <v/>
      </c>
      <c r="W755" s="408" t="str">
        <f t="shared" si="46"/>
        <v/>
      </c>
      <c r="X755" s="409" t="str">
        <f t="shared" si="47"/>
        <v/>
      </c>
    </row>
    <row r="756" spans="1:24" ht="16" x14ac:dyDescent="0.25">
      <c r="A756" s="399" t="str">
        <f>IF(B756="","",CONCATENATE("GBL",B756," - ",Mantenedor!E760))</f>
        <v/>
      </c>
      <c r="P756" s="399" t="str">
        <f t="shared" si="44"/>
        <v/>
      </c>
      <c r="Q756" s="405" t="str" cm="1">
        <f t="array" ref="Q756">+_xlfn.IFS(O756="Nacional","CLP",O756="Extranjero","USD",O756="","")</f>
        <v/>
      </c>
      <c r="R756" s="406" t="str">
        <f>IFERROR(IF(O756="Nacional",VLOOKUP(P756,PRICING!$D$4:$E$59,2,FALSE),VLOOKUP(P756,PRICING!$J$4:$K$59,2,FALSE)),"")</f>
        <v/>
      </c>
      <c r="S756"/>
      <c r="U756" s="406" t="str">
        <f t="shared" si="45"/>
        <v/>
      </c>
      <c r="W756" s="408" t="str">
        <f t="shared" si="46"/>
        <v/>
      </c>
      <c r="X756" s="409" t="str">
        <f t="shared" si="47"/>
        <v/>
      </c>
    </row>
    <row r="757" spans="1:24" ht="16" x14ac:dyDescent="0.25">
      <c r="A757" s="399" t="str">
        <f>IF(B757="","",CONCATENATE("GBL",B757," - ",Mantenedor!E761))</f>
        <v/>
      </c>
      <c r="P757" s="399" t="str">
        <f t="shared" si="44"/>
        <v/>
      </c>
      <c r="Q757" s="405" t="str" cm="1">
        <f t="array" ref="Q757">+_xlfn.IFS(O757="Nacional","CLP",O757="Extranjero","USD",O757="","")</f>
        <v/>
      </c>
      <c r="R757" s="406" t="str">
        <f>IFERROR(IF(O757="Nacional",VLOOKUP(P757,PRICING!$D$4:$E$59,2,FALSE),VLOOKUP(P757,PRICING!$J$4:$K$59,2,FALSE)),"")</f>
        <v/>
      </c>
      <c r="S757"/>
      <c r="U757" s="406" t="str">
        <f t="shared" si="45"/>
        <v/>
      </c>
      <c r="W757" s="408" t="str">
        <f t="shared" si="46"/>
        <v/>
      </c>
      <c r="X757" s="409" t="str">
        <f t="shared" si="47"/>
        <v/>
      </c>
    </row>
    <row r="758" spans="1:24" ht="16" x14ac:dyDescent="0.25">
      <c r="A758" s="399" t="str">
        <f>IF(B758="","",CONCATENATE("GBL",B758," - ",Mantenedor!E762))</f>
        <v/>
      </c>
      <c r="P758" s="399" t="str">
        <f t="shared" si="44"/>
        <v/>
      </c>
      <c r="Q758" s="405" t="str" cm="1">
        <f t="array" ref="Q758">+_xlfn.IFS(O758="Nacional","CLP",O758="Extranjero","USD",O758="","")</f>
        <v/>
      </c>
      <c r="R758" s="406" t="str">
        <f>IFERROR(IF(O758="Nacional",VLOOKUP(P758,PRICING!$D$4:$E$59,2,FALSE),VLOOKUP(P758,PRICING!$J$4:$K$59,2,FALSE)),"")</f>
        <v/>
      </c>
      <c r="S758"/>
      <c r="U758" s="406" t="str">
        <f t="shared" si="45"/>
        <v/>
      </c>
      <c r="W758" s="408" t="str">
        <f t="shared" si="46"/>
        <v/>
      </c>
      <c r="X758" s="409" t="str">
        <f t="shared" si="47"/>
        <v/>
      </c>
    </row>
    <row r="759" spans="1:24" ht="16" x14ac:dyDescent="0.25">
      <c r="A759" s="399" t="str">
        <f>IF(B759="","",CONCATENATE("GBL",B759," - ",Mantenedor!E763))</f>
        <v/>
      </c>
      <c r="P759" s="399" t="str">
        <f t="shared" si="44"/>
        <v/>
      </c>
      <c r="Q759" s="405" t="str" cm="1">
        <f t="array" ref="Q759">+_xlfn.IFS(O759="Nacional","CLP",O759="Extranjero","USD",O759="","")</f>
        <v/>
      </c>
      <c r="R759" s="406" t="str">
        <f>IFERROR(IF(O759="Nacional",VLOOKUP(P759,PRICING!$D$4:$E$59,2,FALSE),VLOOKUP(P759,PRICING!$J$4:$K$59,2,FALSE)),"")</f>
        <v/>
      </c>
      <c r="S759"/>
      <c r="U759" s="406" t="str">
        <f t="shared" si="45"/>
        <v/>
      </c>
      <c r="W759" s="408" t="str">
        <f t="shared" si="46"/>
        <v/>
      </c>
      <c r="X759" s="409" t="str">
        <f t="shared" si="47"/>
        <v/>
      </c>
    </row>
    <row r="760" spans="1:24" ht="16" x14ac:dyDescent="0.25">
      <c r="A760" s="399" t="str">
        <f>IF(B760="","",CONCATENATE("GBL",B760," - ",Mantenedor!E764))</f>
        <v/>
      </c>
      <c r="P760" s="399" t="str">
        <f t="shared" si="44"/>
        <v/>
      </c>
      <c r="Q760" s="405" t="str" cm="1">
        <f t="array" ref="Q760">+_xlfn.IFS(O760="Nacional","CLP",O760="Extranjero","USD",O760="","")</f>
        <v/>
      </c>
      <c r="R760" s="406" t="str">
        <f>IFERROR(IF(O760="Nacional",VLOOKUP(P760,PRICING!$D$4:$E$59,2,FALSE),VLOOKUP(P760,PRICING!$J$4:$K$59,2,FALSE)),"")</f>
        <v/>
      </c>
      <c r="S760"/>
      <c r="U760" s="406" t="str">
        <f t="shared" si="45"/>
        <v/>
      </c>
      <c r="W760" s="408" t="str">
        <f t="shared" si="46"/>
        <v/>
      </c>
      <c r="X760" s="409" t="str">
        <f t="shared" si="47"/>
        <v/>
      </c>
    </row>
    <row r="761" spans="1:24" ht="16" x14ac:dyDescent="0.25">
      <c r="A761" s="399" t="str">
        <f>IF(B761="","",CONCATENATE("GBL",B761," - ",Mantenedor!E765))</f>
        <v/>
      </c>
      <c r="P761" s="399" t="str">
        <f t="shared" si="44"/>
        <v/>
      </c>
      <c r="Q761" s="405" t="str" cm="1">
        <f t="array" ref="Q761">+_xlfn.IFS(O761="Nacional","CLP",O761="Extranjero","USD",O761="","")</f>
        <v/>
      </c>
      <c r="R761" s="406" t="str">
        <f>IFERROR(IF(O761="Nacional",VLOOKUP(P761,PRICING!$D$4:$E$59,2,FALSE),VLOOKUP(P761,PRICING!$J$4:$K$59,2,FALSE)),"")</f>
        <v/>
      </c>
      <c r="S761"/>
      <c r="U761" s="406" t="str">
        <f t="shared" si="45"/>
        <v/>
      </c>
      <c r="W761" s="408" t="str">
        <f t="shared" si="46"/>
        <v/>
      </c>
      <c r="X761" s="409" t="str">
        <f t="shared" si="47"/>
        <v/>
      </c>
    </row>
    <row r="762" spans="1:24" ht="16" x14ac:dyDescent="0.25">
      <c r="A762" s="399" t="str">
        <f>IF(B762="","",CONCATENATE("GBL",B762," - ",Mantenedor!E766))</f>
        <v/>
      </c>
      <c r="P762" s="399" t="str">
        <f t="shared" si="44"/>
        <v/>
      </c>
      <c r="Q762" s="405" t="str" cm="1">
        <f t="array" ref="Q762">+_xlfn.IFS(O762="Nacional","CLP",O762="Extranjero","USD",O762="","")</f>
        <v/>
      </c>
      <c r="R762" s="406" t="str">
        <f>IFERROR(IF(O762="Nacional",VLOOKUP(P762,PRICING!$D$4:$E$59,2,FALSE),VLOOKUP(P762,PRICING!$J$4:$K$59,2,FALSE)),"")</f>
        <v/>
      </c>
      <c r="S762"/>
      <c r="U762" s="406" t="str">
        <f t="shared" si="45"/>
        <v/>
      </c>
      <c r="W762" s="408" t="str">
        <f t="shared" si="46"/>
        <v/>
      </c>
      <c r="X762" s="409" t="str">
        <f t="shared" si="47"/>
        <v/>
      </c>
    </row>
    <row r="763" spans="1:24" ht="16" x14ac:dyDescent="0.25">
      <c r="A763" s="399" t="str">
        <f>IF(B763="","",CONCATENATE("GBL",B763," - ",Mantenedor!E767))</f>
        <v/>
      </c>
      <c r="P763" s="399" t="str">
        <f t="shared" si="44"/>
        <v/>
      </c>
      <c r="Q763" s="405" t="str" cm="1">
        <f t="array" ref="Q763">+_xlfn.IFS(O763="Nacional","CLP",O763="Extranjero","USD",O763="","")</f>
        <v/>
      </c>
      <c r="R763" s="406" t="str">
        <f>IFERROR(IF(O763="Nacional",VLOOKUP(P763,PRICING!$D$4:$E$59,2,FALSE),VLOOKUP(P763,PRICING!$J$4:$K$59,2,FALSE)),"")</f>
        <v/>
      </c>
      <c r="S763"/>
      <c r="U763" s="406" t="str">
        <f t="shared" si="45"/>
        <v/>
      </c>
      <c r="W763" s="408" t="str">
        <f t="shared" si="46"/>
        <v/>
      </c>
      <c r="X763" s="409" t="str">
        <f t="shared" si="47"/>
        <v/>
      </c>
    </row>
    <row r="764" spans="1:24" ht="16" x14ac:dyDescent="0.25">
      <c r="A764" s="399" t="str">
        <f>IF(B764="","",CONCATENATE("GBL",B764," - ",Mantenedor!E768))</f>
        <v/>
      </c>
      <c r="P764" s="399" t="str">
        <f t="shared" si="44"/>
        <v/>
      </c>
      <c r="Q764" s="405" t="str" cm="1">
        <f t="array" ref="Q764">+_xlfn.IFS(O764="Nacional","CLP",O764="Extranjero","USD",O764="","")</f>
        <v/>
      </c>
      <c r="R764" s="406" t="str">
        <f>IFERROR(IF(O764="Nacional",VLOOKUP(P764,PRICING!$D$4:$E$59,2,FALSE),VLOOKUP(P764,PRICING!$J$4:$K$59,2,FALSE)),"")</f>
        <v/>
      </c>
      <c r="S764"/>
      <c r="U764" s="406" t="str">
        <f t="shared" si="45"/>
        <v/>
      </c>
      <c r="W764" s="408" t="str">
        <f t="shared" si="46"/>
        <v/>
      </c>
      <c r="X764" s="409" t="str">
        <f t="shared" si="47"/>
        <v/>
      </c>
    </row>
    <row r="765" spans="1:24" ht="16" x14ac:dyDescent="0.25">
      <c r="A765" s="399" t="str">
        <f>IF(B765="","",CONCATENATE("GBL",B765," - ",Mantenedor!E769))</f>
        <v/>
      </c>
      <c r="P765" s="399" t="str">
        <f t="shared" si="44"/>
        <v/>
      </c>
      <c r="Q765" s="405" t="str" cm="1">
        <f t="array" ref="Q765">+_xlfn.IFS(O765="Nacional","CLP",O765="Extranjero","USD",O765="","")</f>
        <v/>
      </c>
      <c r="R765" s="406" t="str">
        <f>IFERROR(IF(O765="Nacional",VLOOKUP(P765,PRICING!$D$4:$E$59,2,FALSE),VLOOKUP(P765,PRICING!$J$4:$K$59,2,FALSE)),"")</f>
        <v/>
      </c>
      <c r="S765"/>
      <c r="U765" s="406" t="str">
        <f t="shared" si="45"/>
        <v/>
      </c>
      <c r="W765" s="408" t="str">
        <f t="shared" si="46"/>
        <v/>
      </c>
      <c r="X765" s="409" t="str">
        <f t="shared" si="47"/>
        <v/>
      </c>
    </row>
    <row r="766" spans="1:24" ht="16" x14ac:dyDescent="0.25">
      <c r="A766" s="399" t="str">
        <f>IF(B766="","",CONCATENATE("GBL",B766," - ",Mantenedor!E770))</f>
        <v/>
      </c>
      <c r="P766" s="399" t="str">
        <f t="shared" si="44"/>
        <v/>
      </c>
      <c r="Q766" s="405" t="str" cm="1">
        <f t="array" ref="Q766">+_xlfn.IFS(O766="Nacional","CLP",O766="Extranjero","USD",O766="","")</f>
        <v/>
      </c>
      <c r="R766" s="406" t="str">
        <f>IFERROR(IF(O766="Nacional",VLOOKUP(P766,PRICING!$D$4:$E$59,2,FALSE),VLOOKUP(P766,PRICING!$J$4:$K$59,2,FALSE)),"")</f>
        <v/>
      </c>
      <c r="S766"/>
      <c r="U766" s="406" t="str">
        <f t="shared" si="45"/>
        <v/>
      </c>
      <c r="W766" s="408" t="str">
        <f t="shared" si="46"/>
        <v/>
      </c>
      <c r="X766" s="409" t="str">
        <f t="shared" si="47"/>
        <v/>
      </c>
    </row>
    <row r="767" spans="1:24" ht="16" x14ac:dyDescent="0.25">
      <c r="A767" s="399" t="str">
        <f>IF(B767="","",CONCATENATE("GBL",B767," - ",Mantenedor!E771))</f>
        <v/>
      </c>
      <c r="P767" s="399" t="str">
        <f t="shared" ref="P767:P830" si="48">IF(N767="","",(IF(L767=1,(CONCATENATE("Base ",N767," ",L767," noche")),(CONCATENATE("Base ",N767," ",L767," noches")))))</f>
        <v/>
      </c>
      <c r="Q767" s="405" t="str" cm="1">
        <f t="array" ref="Q767">+_xlfn.IFS(O767="Nacional","CLP",O767="Extranjero","USD",O767="","")</f>
        <v/>
      </c>
      <c r="R767" s="406" t="str">
        <f>IFERROR(IF(O767="Nacional",VLOOKUP(P767,PRICING!$D$4:$E$59,2,FALSE),VLOOKUP(P767,PRICING!$J$4:$K$59,2,FALSE)),"")</f>
        <v/>
      </c>
      <c r="S767"/>
      <c r="U767" s="406" t="str">
        <f t="shared" ref="U767:U830" si="49">IFERROR(+R767*(1-S767),"")</f>
        <v/>
      </c>
      <c r="W767" s="408" t="str">
        <f t="shared" ref="W767:W830" si="50">+IF(U767="","","50"%)</f>
        <v/>
      </c>
      <c r="X767" s="409" t="str">
        <f t="shared" si="47"/>
        <v/>
      </c>
    </row>
    <row r="768" spans="1:24" ht="16" x14ac:dyDescent="0.25">
      <c r="A768" s="399" t="str">
        <f>IF(B768="","",CONCATENATE("GBL",B768," - ",Mantenedor!E772))</f>
        <v/>
      </c>
      <c r="P768" s="399" t="str">
        <f t="shared" si="48"/>
        <v/>
      </c>
      <c r="Q768" s="405" t="str" cm="1">
        <f t="array" ref="Q768">+_xlfn.IFS(O768="Nacional","CLP",O768="Extranjero","USD",O768="","")</f>
        <v/>
      </c>
      <c r="R768" s="406" t="str">
        <f>IFERROR(IF(O768="Nacional",VLOOKUP(P768,PRICING!$D$4:$E$59,2,FALSE),VLOOKUP(P768,PRICING!$J$4:$K$59,2,FALSE)),"")</f>
        <v/>
      </c>
      <c r="S768"/>
      <c r="U768" s="406" t="str">
        <f t="shared" si="49"/>
        <v/>
      </c>
      <c r="W768" s="408" t="str">
        <f t="shared" si="50"/>
        <v/>
      </c>
      <c r="X768" s="409" t="str">
        <f t="shared" ref="X768:X831" si="51">+IF(W768="","",(1-W768))</f>
        <v/>
      </c>
    </row>
    <row r="769" spans="1:24" ht="16" x14ac:dyDescent="0.25">
      <c r="A769" s="399" t="str">
        <f>IF(B769="","",CONCATENATE("GBL",B769," - ",Mantenedor!E773))</f>
        <v/>
      </c>
      <c r="P769" s="399" t="str">
        <f t="shared" si="48"/>
        <v/>
      </c>
      <c r="Q769" s="405" t="str" cm="1">
        <f t="array" ref="Q769">+_xlfn.IFS(O769="Nacional","CLP",O769="Extranjero","USD",O769="","")</f>
        <v/>
      </c>
      <c r="R769" s="406" t="str">
        <f>IFERROR(IF(O769="Nacional",VLOOKUP(P769,PRICING!$D$4:$E$59,2,FALSE),VLOOKUP(P769,PRICING!$J$4:$K$59,2,FALSE)),"")</f>
        <v/>
      </c>
      <c r="S769"/>
      <c r="U769" s="406" t="str">
        <f t="shared" si="49"/>
        <v/>
      </c>
      <c r="W769" s="408" t="str">
        <f t="shared" si="50"/>
        <v/>
      </c>
      <c r="X769" s="409" t="str">
        <f t="shared" si="51"/>
        <v/>
      </c>
    </row>
    <row r="770" spans="1:24" ht="16" x14ac:dyDescent="0.25">
      <c r="A770" s="399" t="str">
        <f>IF(B770="","",CONCATENATE("GBL",B770," - ",Mantenedor!E774))</f>
        <v/>
      </c>
      <c r="P770" s="399" t="str">
        <f t="shared" si="48"/>
        <v/>
      </c>
      <c r="Q770" s="405" t="str" cm="1">
        <f t="array" ref="Q770">+_xlfn.IFS(O770="Nacional","CLP",O770="Extranjero","USD",O770="","")</f>
        <v/>
      </c>
      <c r="R770" s="406" t="str">
        <f>IFERROR(IF(O770="Nacional",VLOOKUP(P770,PRICING!$D$4:$E$59,2,FALSE),VLOOKUP(P770,PRICING!$J$4:$K$59,2,FALSE)),"")</f>
        <v/>
      </c>
      <c r="S770"/>
      <c r="U770" s="406" t="str">
        <f t="shared" si="49"/>
        <v/>
      </c>
      <c r="W770" s="408" t="str">
        <f t="shared" si="50"/>
        <v/>
      </c>
      <c r="X770" s="409" t="str">
        <f t="shared" si="51"/>
        <v/>
      </c>
    </row>
    <row r="771" spans="1:24" ht="16" x14ac:dyDescent="0.25">
      <c r="A771" s="399" t="str">
        <f>IF(B771="","",CONCATENATE("GBL",B771," - ",Mantenedor!E775))</f>
        <v/>
      </c>
      <c r="P771" s="399" t="str">
        <f t="shared" si="48"/>
        <v/>
      </c>
      <c r="Q771" s="405" t="str" cm="1">
        <f t="array" ref="Q771">+_xlfn.IFS(O771="Nacional","CLP",O771="Extranjero","USD",O771="","")</f>
        <v/>
      </c>
      <c r="R771" s="406" t="str">
        <f>IFERROR(IF(O771="Nacional",VLOOKUP(P771,PRICING!$D$4:$E$59,2,FALSE),VLOOKUP(P771,PRICING!$J$4:$K$59,2,FALSE)),"")</f>
        <v/>
      </c>
      <c r="S771"/>
      <c r="U771" s="406" t="str">
        <f t="shared" si="49"/>
        <v/>
      </c>
      <c r="W771" s="408" t="str">
        <f t="shared" si="50"/>
        <v/>
      </c>
      <c r="X771" s="409" t="str">
        <f t="shared" si="51"/>
        <v/>
      </c>
    </row>
    <row r="772" spans="1:24" ht="16" x14ac:dyDescent="0.25">
      <c r="A772" s="399" t="str">
        <f>IF(B772="","",CONCATENATE("GBL",B772," - ",Mantenedor!E776))</f>
        <v/>
      </c>
      <c r="P772" s="399" t="str">
        <f t="shared" si="48"/>
        <v/>
      </c>
      <c r="Q772" s="405" t="str" cm="1">
        <f t="array" ref="Q772">+_xlfn.IFS(O772="Nacional","CLP",O772="Extranjero","USD",O772="","")</f>
        <v/>
      </c>
      <c r="R772" s="406" t="str">
        <f>IFERROR(IF(O772="Nacional",VLOOKUP(P772,PRICING!$D$4:$E$59,2,FALSE),VLOOKUP(P772,PRICING!$J$4:$K$59,2,FALSE)),"")</f>
        <v/>
      </c>
      <c r="S772"/>
      <c r="U772" s="406" t="str">
        <f t="shared" si="49"/>
        <v/>
      </c>
      <c r="W772" s="408" t="str">
        <f t="shared" si="50"/>
        <v/>
      </c>
      <c r="X772" s="409" t="str">
        <f t="shared" si="51"/>
        <v/>
      </c>
    </row>
    <row r="773" spans="1:24" ht="16" x14ac:dyDescent="0.25">
      <c r="A773" s="399" t="str">
        <f>IF(B773="","",CONCATENATE("GBL",B773," - ",Mantenedor!E777))</f>
        <v/>
      </c>
      <c r="P773" s="399" t="str">
        <f t="shared" si="48"/>
        <v/>
      </c>
      <c r="Q773" s="405" t="str" cm="1">
        <f t="array" ref="Q773">+_xlfn.IFS(O773="Nacional","CLP",O773="Extranjero","USD",O773="","")</f>
        <v/>
      </c>
      <c r="R773" s="406" t="str">
        <f>IFERROR(IF(O773="Nacional",VLOOKUP(P773,PRICING!$D$4:$E$59,2,FALSE),VLOOKUP(P773,PRICING!$J$4:$K$59,2,FALSE)),"")</f>
        <v/>
      </c>
      <c r="S773"/>
      <c r="U773" s="406" t="str">
        <f t="shared" si="49"/>
        <v/>
      </c>
      <c r="W773" s="408" t="str">
        <f t="shared" si="50"/>
        <v/>
      </c>
      <c r="X773" s="409" t="str">
        <f t="shared" si="51"/>
        <v/>
      </c>
    </row>
    <row r="774" spans="1:24" ht="16" x14ac:dyDescent="0.25">
      <c r="A774" s="399" t="str">
        <f>IF(B774="","",CONCATENATE("GBL",B774," - ",Mantenedor!E778))</f>
        <v/>
      </c>
      <c r="P774" s="399" t="str">
        <f t="shared" si="48"/>
        <v/>
      </c>
      <c r="Q774" s="405" t="str" cm="1">
        <f t="array" ref="Q774">+_xlfn.IFS(O774="Nacional","CLP",O774="Extranjero","USD",O774="","")</f>
        <v/>
      </c>
      <c r="R774" s="406" t="str">
        <f>IFERROR(IF(O774="Nacional",VLOOKUP(P774,PRICING!$D$4:$E$59,2,FALSE),VLOOKUP(P774,PRICING!$J$4:$K$59,2,FALSE)),"")</f>
        <v/>
      </c>
      <c r="S774"/>
      <c r="U774" s="406" t="str">
        <f t="shared" si="49"/>
        <v/>
      </c>
      <c r="W774" s="408" t="str">
        <f t="shared" si="50"/>
        <v/>
      </c>
      <c r="X774" s="409" t="str">
        <f t="shared" si="51"/>
        <v/>
      </c>
    </row>
    <row r="775" spans="1:24" ht="16" x14ac:dyDescent="0.25">
      <c r="A775" s="399" t="str">
        <f>IF(B775="","",CONCATENATE("GBL",B775," - ",Mantenedor!E779))</f>
        <v/>
      </c>
      <c r="P775" s="399" t="str">
        <f t="shared" si="48"/>
        <v/>
      </c>
      <c r="Q775" s="405" t="str" cm="1">
        <f t="array" ref="Q775">+_xlfn.IFS(O775="Nacional","CLP",O775="Extranjero","USD",O775="","")</f>
        <v/>
      </c>
      <c r="R775" s="406" t="str">
        <f>IFERROR(IF(O775="Nacional",VLOOKUP(P775,PRICING!$D$4:$E$59,2,FALSE),VLOOKUP(P775,PRICING!$J$4:$K$59,2,FALSE)),"")</f>
        <v/>
      </c>
      <c r="S775"/>
      <c r="U775" s="406" t="str">
        <f t="shared" si="49"/>
        <v/>
      </c>
      <c r="W775" s="408" t="str">
        <f t="shared" si="50"/>
        <v/>
      </c>
      <c r="X775" s="409" t="str">
        <f t="shared" si="51"/>
        <v/>
      </c>
    </row>
    <row r="776" spans="1:24" ht="16" x14ac:dyDescent="0.25">
      <c r="A776" s="399" t="str">
        <f>IF(B776="","",CONCATENATE("GBL",B776," - ",Mantenedor!E780))</f>
        <v/>
      </c>
      <c r="P776" s="399" t="str">
        <f t="shared" si="48"/>
        <v/>
      </c>
      <c r="Q776" s="405" t="str" cm="1">
        <f t="array" ref="Q776">+_xlfn.IFS(O776="Nacional","CLP",O776="Extranjero","USD",O776="","")</f>
        <v/>
      </c>
      <c r="R776" s="406" t="str">
        <f>IFERROR(IF(O776="Nacional",VLOOKUP(P776,PRICING!$D$4:$E$59,2,FALSE),VLOOKUP(P776,PRICING!$J$4:$K$59,2,FALSE)),"")</f>
        <v/>
      </c>
      <c r="S776"/>
      <c r="U776" s="406" t="str">
        <f t="shared" si="49"/>
        <v/>
      </c>
      <c r="W776" s="408" t="str">
        <f t="shared" si="50"/>
        <v/>
      </c>
      <c r="X776" s="409" t="str">
        <f t="shared" si="51"/>
        <v/>
      </c>
    </row>
    <row r="777" spans="1:24" ht="16" x14ac:dyDescent="0.25">
      <c r="A777" s="399" t="str">
        <f>IF(B777="","",CONCATENATE("GBL",B777," - ",Mantenedor!E781))</f>
        <v/>
      </c>
      <c r="P777" s="399" t="str">
        <f t="shared" si="48"/>
        <v/>
      </c>
      <c r="Q777" s="405" t="str" cm="1">
        <f t="array" ref="Q777">+_xlfn.IFS(O777="Nacional","CLP",O777="Extranjero","USD",O777="","")</f>
        <v/>
      </c>
      <c r="R777" s="406" t="str">
        <f>IFERROR(IF(O777="Nacional",VLOOKUP(P777,PRICING!$D$4:$E$59,2,FALSE),VLOOKUP(P777,PRICING!$J$4:$K$59,2,FALSE)),"")</f>
        <v/>
      </c>
      <c r="S777"/>
      <c r="U777" s="406" t="str">
        <f t="shared" si="49"/>
        <v/>
      </c>
      <c r="W777" s="408" t="str">
        <f t="shared" si="50"/>
        <v/>
      </c>
      <c r="X777" s="409" t="str">
        <f t="shared" si="51"/>
        <v/>
      </c>
    </row>
    <row r="778" spans="1:24" ht="16" x14ac:dyDescent="0.25">
      <c r="A778" s="399" t="str">
        <f>IF(B778="","",CONCATENATE("GBL",B778," - ",Mantenedor!E782))</f>
        <v/>
      </c>
      <c r="P778" s="399" t="str">
        <f t="shared" si="48"/>
        <v/>
      </c>
      <c r="Q778" s="405" t="str" cm="1">
        <f t="array" ref="Q778">+_xlfn.IFS(O778="Nacional","CLP",O778="Extranjero","USD",O778="","")</f>
        <v/>
      </c>
      <c r="R778" s="406" t="str">
        <f>IFERROR(IF(O778="Nacional",VLOOKUP(P778,PRICING!$D$4:$E$59,2,FALSE),VLOOKUP(P778,PRICING!$J$4:$K$59,2,FALSE)),"")</f>
        <v/>
      </c>
      <c r="S778"/>
      <c r="U778" s="406" t="str">
        <f t="shared" si="49"/>
        <v/>
      </c>
      <c r="W778" s="408" t="str">
        <f t="shared" si="50"/>
        <v/>
      </c>
      <c r="X778" s="409" t="str">
        <f t="shared" si="51"/>
        <v/>
      </c>
    </row>
    <row r="779" spans="1:24" ht="16" x14ac:dyDescent="0.25">
      <c r="A779" s="399" t="str">
        <f>IF(B779="","",CONCATENATE("GBL",B779," - ",Mantenedor!E783))</f>
        <v/>
      </c>
      <c r="P779" s="399" t="str">
        <f t="shared" si="48"/>
        <v/>
      </c>
      <c r="Q779" s="405" t="str" cm="1">
        <f t="array" ref="Q779">+_xlfn.IFS(O779="Nacional","CLP",O779="Extranjero","USD",O779="","")</f>
        <v/>
      </c>
      <c r="R779" s="406" t="str">
        <f>IFERROR(IF(O779="Nacional",VLOOKUP(P779,PRICING!$D$4:$E$59,2,FALSE),VLOOKUP(P779,PRICING!$J$4:$K$59,2,FALSE)),"")</f>
        <v/>
      </c>
      <c r="S779"/>
      <c r="U779" s="406" t="str">
        <f t="shared" si="49"/>
        <v/>
      </c>
      <c r="W779" s="408" t="str">
        <f t="shared" si="50"/>
        <v/>
      </c>
      <c r="X779" s="409" t="str">
        <f t="shared" si="51"/>
        <v/>
      </c>
    </row>
    <row r="780" spans="1:24" ht="16" x14ac:dyDescent="0.25">
      <c r="A780" s="399" t="str">
        <f>IF(B780="","",CONCATENATE("GBL",B780," - ",Mantenedor!E784))</f>
        <v/>
      </c>
      <c r="P780" s="399" t="str">
        <f t="shared" si="48"/>
        <v/>
      </c>
      <c r="Q780" s="405" t="str" cm="1">
        <f t="array" ref="Q780">+_xlfn.IFS(O780="Nacional","CLP",O780="Extranjero","USD",O780="","")</f>
        <v/>
      </c>
      <c r="R780" s="406" t="str">
        <f>IFERROR(IF(O780="Nacional",VLOOKUP(P780,PRICING!$D$4:$E$59,2,FALSE),VLOOKUP(P780,PRICING!$J$4:$K$59,2,FALSE)),"")</f>
        <v/>
      </c>
      <c r="S780"/>
      <c r="U780" s="406" t="str">
        <f t="shared" si="49"/>
        <v/>
      </c>
      <c r="W780" s="408" t="str">
        <f t="shared" si="50"/>
        <v/>
      </c>
      <c r="X780" s="409" t="str">
        <f t="shared" si="51"/>
        <v/>
      </c>
    </row>
    <row r="781" spans="1:24" ht="16" x14ac:dyDescent="0.25">
      <c r="A781" s="399" t="str">
        <f>IF(B781="","",CONCATENATE("GBL",B781," - ",Mantenedor!E785))</f>
        <v/>
      </c>
      <c r="P781" s="399" t="str">
        <f t="shared" si="48"/>
        <v/>
      </c>
      <c r="Q781" s="405" t="str" cm="1">
        <f t="array" ref="Q781">+_xlfn.IFS(O781="Nacional","CLP",O781="Extranjero","USD",O781="","")</f>
        <v/>
      </c>
      <c r="R781" s="406" t="str">
        <f>IFERROR(IF(O781="Nacional",VLOOKUP(P781,PRICING!$D$4:$E$59,2,FALSE),VLOOKUP(P781,PRICING!$J$4:$K$59,2,FALSE)),"")</f>
        <v/>
      </c>
      <c r="S781"/>
      <c r="U781" s="406" t="str">
        <f t="shared" si="49"/>
        <v/>
      </c>
      <c r="W781" s="408" t="str">
        <f t="shared" si="50"/>
        <v/>
      </c>
      <c r="X781" s="409" t="str">
        <f t="shared" si="51"/>
        <v/>
      </c>
    </row>
    <row r="782" spans="1:24" ht="16" x14ac:dyDescent="0.25">
      <c r="A782" s="399" t="str">
        <f>IF(B782="","",CONCATENATE("GBL",B782," - ",Mantenedor!E786))</f>
        <v/>
      </c>
      <c r="P782" s="399" t="str">
        <f t="shared" si="48"/>
        <v/>
      </c>
      <c r="Q782" s="405" t="str" cm="1">
        <f t="array" ref="Q782">+_xlfn.IFS(O782="Nacional","CLP",O782="Extranjero","USD",O782="","")</f>
        <v/>
      </c>
      <c r="R782" s="406" t="str">
        <f>IFERROR(IF(O782="Nacional",VLOOKUP(P782,PRICING!$D$4:$E$59,2,FALSE),VLOOKUP(P782,PRICING!$J$4:$K$59,2,FALSE)),"")</f>
        <v/>
      </c>
      <c r="S782"/>
      <c r="U782" s="406" t="str">
        <f t="shared" si="49"/>
        <v/>
      </c>
      <c r="W782" s="408" t="str">
        <f t="shared" si="50"/>
        <v/>
      </c>
      <c r="X782" s="409" t="str">
        <f t="shared" si="51"/>
        <v/>
      </c>
    </row>
    <row r="783" spans="1:24" ht="16" x14ac:dyDescent="0.25">
      <c r="A783" s="399" t="str">
        <f>IF(B783="","",CONCATENATE("GBL",B783," - ",Mantenedor!E787))</f>
        <v/>
      </c>
      <c r="P783" s="399" t="str">
        <f t="shared" si="48"/>
        <v/>
      </c>
      <c r="Q783" s="405" t="str" cm="1">
        <f t="array" ref="Q783">+_xlfn.IFS(O783="Nacional","CLP",O783="Extranjero","USD",O783="","")</f>
        <v/>
      </c>
      <c r="R783" s="406" t="str">
        <f>IFERROR(IF(O783="Nacional",VLOOKUP(P783,PRICING!$D$4:$E$59,2,FALSE),VLOOKUP(P783,PRICING!$J$4:$K$59,2,FALSE)),"")</f>
        <v/>
      </c>
      <c r="S783"/>
      <c r="U783" s="406" t="str">
        <f t="shared" si="49"/>
        <v/>
      </c>
      <c r="W783" s="408" t="str">
        <f t="shared" si="50"/>
        <v/>
      </c>
      <c r="X783" s="409" t="str">
        <f t="shared" si="51"/>
        <v/>
      </c>
    </row>
    <row r="784" spans="1:24" ht="16" x14ac:dyDescent="0.25">
      <c r="A784" s="399" t="str">
        <f>IF(B784="","",CONCATENATE("GBL",B784," - ",Mantenedor!E788))</f>
        <v/>
      </c>
      <c r="P784" s="399" t="str">
        <f t="shared" si="48"/>
        <v/>
      </c>
      <c r="Q784" s="405" t="str" cm="1">
        <f t="array" ref="Q784">+_xlfn.IFS(O784="Nacional","CLP",O784="Extranjero","USD",O784="","")</f>
        <v/>
      </c>
      <c r="R784" s="406" t="str">
        <f>IFERROR(IF(O784="Nacional",VLOOKUP(P784,PRICING!$D$4:$E$59,2,FALSE),VLOOKUP(P784,PRICING!$J$4:$K$59,2,FALSE)),"")</f>
        <v/>
      </c>
      <c r="S784"/>
      <c r="U784" s="406" t="str">
        <f t="shared" si="49"/>
        <v/>
      </c>
      <c r="W784" s="408" t="str">
        <f t="shared" si="50"/>
        <v/>
      </c>
      <c r="X784" s="409" t="str">
        <f t="shared" si="51"/>
        <v/>
      </c>
    </row>
    <row r="785" spans="1:24" ht="16" x14ac:dyDescent="0.25">
      <c r="A785" s="399" t="str">
        <f>IF(B785="","",CONCATENATE("GBL",B785," - ",Mantenedor!E789))</f>
        <v/>
      </c>
      <c r="P785" s="399" t="str">
        <f t="shared" si="48"/>
        <v/>
      </c>
      <c r="Q785" s="405" t="str" cm="1">
        <f t="array" ref="Q785">+_xlfn.IFS(O785="Nacional","CLP",O785="Extranjero","USD",O785="","")</f>
        <v/>
      </c>
      <c r="R785" s="406" t="str">
        <f>IFERROR(IF(O785="Nacional",VLOOKUP(P785,PRICING!$D$4:$E$59,2,FALSE),VLOOKUP(P785,PRICING!$J$4:$K$59,2,FALSE)),"")</f>
        <v/>
      </c>
      <c r="S785"/>
      <c r="U785" s="406" t="str">
        <f t="shared" si="49"/>
        <v/>
      </c>
      <c r="W785" s="408" t="str">
        <f t="shared" si="50"/>
        <v/>
      </c>
      <c r="X785" s="409" t="str">
        <f t="shared" si="51"/>
        <v/>
      </c>
    </row>
    <row r="786" spans="1:24" ht="16" x14ac:dyDescent="0.25">
      <c r="A786" s="399" t="str">
        <f>IF(B786="","",CONCATENATE("GBL",B786," - ",Mantenedor!E790))</f>
        <v/>
      </c>
      <c r="P786" s="399" t="str">
        <f t="shared" si="48"/>
        <v/>
      </c>
      <c r="Q786" s="405" t="str" cm="1">
        <f t="array" ref="Q786">+_xlfn.IFS(O786="Nacional","CLP",O786="Extranjero","USD",O786="","")</f>
        <v/>
      </c>
      <c r="R786" s="406" t="str">
        <f>IFERROR(IF(O786="Nacional",VLOOKUP(P786,PRICING!$D$4:$E$59,2,FALSE),VLOOKUP(P786,PRICING!$J$4:$K$59,2,FALSE)),"")</f>
        <v/>
      </c>
      <c r="S786"/>
      <c r="U786" s="406" t="str">
        <f t="shared" si="49"/>
        <v/>
      </c>
      <c r="W786" s="408" t="str">
        <f t="shared" si="50"/>
        <v/>
      </c>
      <c r="X786" s="409" t="str">
        <f t="shared" si="51"/>
        <v/>
      </c>
    </row>
    <row r="787" spans="1:24" ht="16" x14ac:dyDescent="0.25">
      <c r="A787" s="399" t="str">
        <f>IF(B787="","",CONCATENATE("GBL",B787," - ",Mantenedor!E791))</f>
        <v/>
      </c>
      <c r="P787" s="399" t="str">
        <f t="shared" si="48"/>
        <v/>
      </c>
      <c r="Q787" s="405" t="str" cm="1">
        <f t="array" ref="Q787">+_xlfn.IFS(O787="Nacional","CLP",O787="Extranjero","USD",O787="","")</f>
        <v/>
      </c>
      <c r="R787" s="406" t="str">
        <f>IFERROR(IF(O787="Nacional",VLOOKUP(P787,PRICING!$D$4:$E$59,2,FALSE),VLOOKUP(P787,PRICING!$J$4:$K$59,2,FALSE)),"")</f>
        <v/>
      </c>
      <c r="S787"/>
      <c r="U787" s="406" t="str">
        <f t="shared" si="49"/>
        <v/>
      </c>
      <c r="W787" s="408" t="str">
        <f t="shared" si="50"/>
        <v/>
      </c>
      <c r="X787" s="409" t="str">
        <f t="shared" si="51"/>
        <v/>
      </c>
    </row>
    <row r="788" spans="1:24" ht="16" x14ac:dyDescent="0.25">
      <c r="A788" s="399" t="str">
        <f>IF(B788="","",CONCATENATE("GBL",B788," - ",Mantenedor!E792))</f>
        <v/>
      </c>
      <c r="P788" s="399" t="str">
        <f t="shared" si="48"/>
        <v/>
      </c>
      <c r="Q788" s="405" t="str" cm="1">
        <f t="array" ref="Q788">+_xlfn.IFS(O788="Nacional","CLP",O788="Extranjero","USD",O788="","")</f>
        <v/>
      </c>
      <c r="R788" s="406" t="str">
        <f>IFERROR(IF(O788="Nacional",VLOOKUP(P788,PRICING!$D$4:$E$59,2,FALSE),VLOOKUP(P788,PRICING!$J$4:$K$59,2,FALSE)),"")</f>
        <v/>
      </c>
      <c r="S788"/>
      <c r="U788" s="406" t="str">
        <f t="shared" si="49"/>
        <v/>
      </c>
      <c r="W788" s="408" t="str">
        <f t="shared" si="50"/>
        <v/>
      </c>
      <c r="X788" s="409" t="str">
        <f t="shared" si="51"/>
        <v/>
      </c>
    </row>
    <row r="789" spans="1:24" ht="16" x14ac:dyDescent="0.25">
      <c r="A789" s="399" t="str">
        <f>IF(B789="","",CONCATENATE("GBL",B789," - ",Mantenedor!E793))</f>
        <v/>
      </c>
      <c r="P789" s="399" t="str">
        <f t="shared" si="48"/>
        <v/>
      </c>
      <c r="Q789" s="405" t="str" cm="1">
        <f t="array" ref="Q789">+_xlfn.IFS(O789="Nacional","CLP",O789="Extranjero","USD",O789="","")</f>
        <v/>
      </c>
      <c r="R789" s="406" t="str">
        <f>IFERROR(IF(O789="Nacional",VLOOKUP(P789,PRICING!$D$4:$E$59,2,FALSE),VLOOKUP(P789,PRICING!$J$4:$K$59,2,FALSE)),"")</f>
        <v/>
      </c>
      <c r="S789"/>
      <c r="U789" s="406" t="str">
        <f t="shared" si="49"/>
        <v/>
      </c>
      <c r="W789" s="408" t="str">
        <f t="shared" si="50"/>
        <v/>
      </c>
      <c r="X789" s="409" t="str">
        <f t="shared" si="51"/>
        <v/>
      </c>
    </row>
    <row r="790" spans="1:24" ht="16" x14ac:dyDescent="0.25">
      <c r="A790" s="399" t="str">
        <f>IF(B790="","",CONCATENATE("GBL",B790," - ",Mantenedor!E794))</f>
        <v/>
      </c>
      <c r="P790" s="399" t="str">
        <f t="shared" si="48"/>
        <v/>
      </c>
      <c r="Q790" s="405" t="str" cm="1">
        <f t="array" ref="Q790">+_xlfn.IFS(O790="Nacional","CLP",O790="Extranjero","USD",O790="","")</f>
        <v/>
      </c>
      <c r="R790" s="406" t="str">
        <f>IFERROR(IF(O790="Nacional",VLOOKUP(P790,PRICING!$D$4:$E$59,2,FALSE),VLOOKUP(P790,PRICING!$J$4:$K$59,2,FALSE)),"")</f>
        <v/>
      </c>
      <c r="S790"/>
      <c r="U790" s="406" t="str">
        <f t="shared" si="49"/>
        <v/>
      </c>
      <c r="W790" s="408" t="str">
        <f t="shared" si="50"/>
        <v/>
      </c>
      <c r="X790" s="409" t="str">
        <f t="shared" si="51"/>
        <v/>
      </c>
    </row>
    <row r="791" spans="1:24" ht="16" x14ac:dyDescent="0.25">
      <c r="A791" s="399" t="str">
        <f>IF(B791="","",CONCATENATE("GBL",B791," - ",Mantenedor!E795))</f>
        <v/>
      </c>
      <c r="P791" s="399" t="str">
        <f t="shared" si="48"/>
        <v/>
      </c>
      <c r="Q791" s="405" t="str" cm="1">
        <f t="array" ref="Q791">+_xlfn.IFS(O791="Nacional","CLP",O791="Extranjero","USD",O791="","")</f>
        <v/>
      </c>
      <c r="R791" s="406" t="str">
        <f>IFERROR(IF(O791="Nacional",VLOOKUP(P791,PRICING!$D$4:$E$59,2,FALSE),VLOOKUP(P791,PRICING!$J$4:$K$59,2,FALSE)),"")</f>
        <v/>
      </c>
      <c r="S791"/>
      <c r="U791" s="406" t="str">
        <f t="shared" si="49"/>
        <v/>
      </c>
      <c r="W791" s="408" t="str">
        <f t="shared" si="50"/>
        <v/>
      </c>
      <c r="X791" s="409" t="str">
        <f t="shared" si="51"/>
        <v/>
      </c>
    </row>
    <row r="792" spans="1:24" ht="16" x14ac:dyDescent="0.25">
      <c r="A792" s="399" t="str">
        <f>IF(B792="","",CONCATENATE("GBL",B792," - ",Mantenedor!E796))</f>
        <v/>
      </c>
      <c r="P792" s="399" t="str">
        <f t="shared" si="48"/>
        <v/>
      </c>
      <c r="Q792" s="405" t="str" cm="1">
        <f t="array" ref="Q792">+_xlfn.IFS(O792="Nacional","CLP",O792="Extranjero","USD",O792="","")</f>
        <v/>
      </c>
      <c r="R792" s="406" t="str">
        <f>IFERROR(IF(O792="Nacional",VLOOKUP(P792,PRICING!$D$4:$E$59,2,FALSE),VLOOKUP(P792,PRICING!$J$4:$K$59,2,FALSE)),"")</f>
        <v/>
      </c>
      <c r="S792"/>
      <c r="U792" s="406" t="str">
        <f t="shared" si="49"/>
        <v/>
      </c>
      <c r="W792" s="408" t="str">
        <f t="shared" si="50"/>
        <v/>
      </c>
      <c r="X792" s="409" t="str">
        <f t="shared" si="51"/>
        <v/>
      </c>
    </row>
    <row r="793" spans="1:24" ht="16" x14ac:dyDescent="0.25">
      <c r="A793" s="399" t="str">
        <f>IF(B793="","",CONCATENATE("GBL",B793," - ",Mantenedor!E797))</f>
        <v/>
      </c>
      <c r="P793" s="399" t="str">
        <f t="shared" si="48"/>
        <v/>
      </c>
      <c r="Q793" s="405" t="str" cm="1">
        <f t="array" ref="Q793">+_xlfn.IFS(O793="Nacional","CLP",O793="Extranjero","USD",O793="","")</f>
        <v/>
      </c>
      <c r="R793" s="406" t="str">
        <f>IFERROR(IF(O793="Nacional",VLOOKUP(P793,PRICING!$D$4:$E$59,2,FALSE),VLOOKUP(P793,PRICING!$J$4:$K$59,2,FALSE)),"")</f>
        <v/>
      </c>
      <c r="S793"/>
      <c r="U793" s="406" t="str">
        <f t="shared" si="49"/>
        <v/>
      </c>
      <c r="W793" s="408" t="str">
        <f t="shared" si="50"/>
        <v/>
      </c>
      <c r="X793" s="409" t="str">
        <f t="shared" si="51"/>
        <v/>
      </c>
    </row>
    <row r="794" spans="1:24" ht="16" x14ac:dyDescent="0.25">
      <c r="A794" s="399" t="str">
        <f>IF(B794="","",CONCATENATE("GBL",B794," - ",Mantenedor!E798))</f>
        <v/>
      </c>
      <c r="P794" s="399" t="str">
        <f t="shared" si="48"/>
        <v/>
      </c>
      <c r="Q794" s="405" t="str" cm="1">
        <f t="array" ref="Q794">+_xlfn.IFS(O794="Nacional","CLP",O794="Extranjero","USD",O794="","")</f>
        <v/>
      </c>
      <c r="R794" s="406" t="str">
        <f>IFERROR(IF(O794="Nacional",VLOOKUP(P794,PRICING!$D$4:$E$59,2,FALSE),VLOOKUP(P794,PRICING!$J$4:$K$59,2,FALSE)),"")</f>
        <v/>
      </c>
      <c r="S794"/>
      <c r="U794" s="406" t="str">
        <f t="shared" si="49"/>
        <v/>
      </c>
      <c r="W794" s="408" t="str">
        <f t="shared" si="50"/>
        <v/>
      </c>
      <c r="X794" s="409" t="str">
        <f t="shared" si="51"/>
        <v/>
      </c>
    </row>
    <row r="795" spans="1:24" ht="16" x14ac:dyDescent="0.25">
      <c r="A795" s="399" t="str">
        <f>IF(B795="","",CONCATENATE("GBL",B795," - ",Mantenedor!E799))</f>
        <v/>
      </c>
      <c r="P795" s="399" t="str">
        <f t="shared" si="48"/>
        <v/>
      </c>
      <c r="Q795" s="405" t="str" cm="1">
        <f t="array" ref="Q795">+_xlfn.IFS(O795="Nacional","CLP",O795="Extranjero","USD",O795="","")</f>
        <v/>
      </c>
      <c r="R795" s="406" t="str">
        <f>IFERROR(IF(O795="Nacional",VLOOKUP(P795,PRICING!$D$4:$E$59,2,FALSE),VLOOKUP(P795,PRICING!$J$4:$K$59,2,FALSE)),"")</f>
        <v/>
      </c>
      <c r="S795"/>
      <c r="U795" s="406" t="str">
        <f t="shared" si="49"/>
        <v/>
      </c>
      <c r="W795" s="408" t="str">
        <f t="shared" si="50"/>
        <v/>
      </c>
      <c r="X795" s="409" t="str">
        <f t="shared" si="51"/>
        <v/>
      </c>
    </row>
    <row r="796" spans="1:24" ht="16" x14ac:dyDescent="0.25">
      <c r="A796" s="399" t="str">
        <f>IF(B796="","",CONCATENATE("GBL",B796," - ",Mantenedor!E800))</f>
        <v/>
      </c>
      <c r="P796" s="399" t="str">
        <f t="shared" si="48"/>
        <v/>
      </c>
      <c r="Q796" s="405" t="str" cm="1">
        <f t="array" ref="Q796">+_xlfn.IFS(O796="Nacional","CLP",O796="Extranjero","USD",O796="","")</f>
        <v/>
      </c>
      <c r="R796" s="406" t="str">
        <f>IFERROR(IF(O796="Nacional",VLOOKUP(P796,PRICING!$D$4:$E$59,2,FALSE),VLOOKUP(P796,PRICING!$J$4:$K$59,2,FALSE)),"")</f>
        <v/>
      </c>
      <c r="S796"/>
      <c r="U796" s="406" t="str">
        <f t="shared" si="49"/>
        <v/>
      </c>
      <c r="W796" s="408" t="str">
        <f t="shared" si="50"/>
        <v/>
      </c>
      <c r="X796" s="409" t="str">
        <f t="shared" si="51"/>
        <v/>
      </c>
    </row>
    <row r="797" spans="1:24" ht="16" x14ac:dyDescent="0.25">
      <c r="A797" s="399" t="str">
        <f>IF(B797="","",CONCATENATE("GBL",B797," - ",Mantenedor!E801))</f>
        <v/>
      </c>
      <c r="P797" s="399" t="str">
        <f t="shared" si="48"/>
        <v/>
      </c>
      <c r="Q797" s="405" t="str" cm="1">
        <f t="array" ref="Q797">+_xlfn.IFS(O797="Nacional","CLP",O797="Extranjero","USD",O797="","")</f>
        <v/>
      </c>
      <c r="R797" s="406" t="str">
        <f>IFERROR(IF(O797="Nacional",VLOOKUP(P797,PRICING!$D$4:$E$59,2,FALSE),VLOOKUP(P797,PRICING!$J$4:$K$59,2,FALSE)),"")</f>
        <v/>
      </c>
      <c r="S797"/>
      <c r="U797" s="406" t="str">
        <f t="shared" si="49"/>
        <v/>
      </c>
      <c r="W797" s="408" t="str">
        <f t="shared" si="50"/>
        <v/>
      </c>
      <c r="X797" s="409" t="str">
        <f t="shared" si="51"/>
        <v/>
      </c>
    </row>
    <row r="798" spans="1:24" ht="16" x14ac:dyDescent="0.25">
      <c r="A798" s="399" t="str">
        <f>IF(B798="","",CONCATENATE("GBL",B798," - ",Mantenedor!E802))</f>
        <v/>
      </c>
      <c r="P798" s="399" t="str">
        <f t="shared" si="48"/>
        <v/>
      </c>
      <c r="Q798" s="405" t="str" cm="1">
        <f t="array" ref="Q798">+_xlfn.IFS(O798="Nacional","CLP",O798="Extranjero","USD",O798="","")</f>
        <v/>
      </c>
      <c r="R798" s="406" t="str">
        <f>IFERROR(IF(O798="Nacional",VLOOKUP(P798,PRICING!$D$4:$E$59,2,FALSE),VLOOKUP(P798,PRICING!$J$4:$K$59,2,FALSE)),"")</f>
        <v/>
      </c>
      <c r="S798"/>
      <c r="U798" s="406" t="str">
        <f t="shared" si="49"/>
        <v/>
      </c>
      <c r="W798" s="408" t="str">
        <f t="shared" si="50"/>
        <v/>
      </c>
      <c r="X798" s="409" t="str">
        <f t="shared" si="51"/>
        <v/>
      </c>
    </row>
    <row r="799" spans="1:24" ht="16" x14ac:dyDescent="0.25">
      <c r="A799" s="399" t="str">
        <f>IF(B799="","",CONCATENATE("GBL",B799," - ",Mantenedor!E803))</f>
        <v/>
      </c>
      <c r="P799" s="399" t="str">
        <f t="shared" si="48"/>
        <v/>
      </c>
      <c r="Q799" s="405" t="str" cm="1">
        <f t="array" ref="Q799">+_xlfn.IFS(O799="Nacional","CLP",O799="Extranjero","USD",O799="","")</f>
        <v/>
      </c>
      <c r="R799" s="406" t="str">
        <f>IFERROR(IF(O799="Nacional",VLOOKUP(P799,PRICING!$D$4:$E$59,2,FALSE),VLOOKUP(P799,PRICING!$J$4:$K$59,2,FALSE)),"")</f>
        <v/>
      </c>
      <c r="S799"/>
      <c r="U799" s="406" t="str">
        <f t="shared" si="49"/>
        <v/>
      </c>
      <c r="W799" s="408" t="str">
        <f t="shared" si="50"/>
        <v/>
      </c>
      <c r="X799" s="409" t="str">
        <f t="shared" si="51"/>
        <v/>
      </c>
    </row>
    <row r="800" spans="1:24" ht="16" x14ac:dyDescent="0.25">
      <c r="A800" s="399" t="str">
        <f>IF(B800="","",CONCATENATE("GBL",B800," - ",Mantenedor!E804))</f>
        <v/>
      </c>
      <c r="P800" s="399" t="str">
        <f t="shared" si="48"/>
        <v/>
      </c>
      <c r="Q800" s="405" t="str" cm="1">
        <f t="array" ref="Q800">+_xlfn.IFS(O800="Nacional","CLP",O800="Extranjero","USD",O800="","")</f>
        <v/>
      </c>
      <c r="R800" s="406" t="str">
        <f>IFERROR(IF(O800="Nacional",VLOOKUP(P800,PRICING!$D$4:$E$59,2,FALSE),VLOOKUP(P800,PRICING!$J$4:$K$59,2,FALSE)),"")</f>
        <v/>
      </c>
      <c r="S800"/>
      <c r="U800" s="406" t="str">
        <f t="shared" si="49"/>
        <v/>
      </c>
      <c r="W800" s="408" t="str">
        <f t="shared" si="50"/>
        <v/>
      </c>
      <c r="X800" s="409" t="str">
        <f t="shared" si="51"/>
        <v/>
      </c>
    </row>
    <row r="801" spans="1:24" ht="16" x14ac:dyDescent="0.25">
      <c r="A801" s="399" t="str">
        <f>IF(B801="","",CONCATENATE("GBL",B801," - ",Mantenedor!E805))</f>
        <v/>
      </c>
      <c r="P801" s="399" t="str">
        <f t="shared" si="48"/>
        <v/>
      </c>
      <c r="Q801" s="405" t="str" cm="1">
        <f t="array" ref="Q801">+_xlfn.IFS(O801="Nacional","CLP",O801="Extranjero","USD",O801="","")</f>
        <v/>
      </c>
      <c r="R801" s="406" t="str">
        <f>IFERROR(IF(O801="Nacional",VLOOKUP(P801,PRICING!$D$4:$E$59,2,FALSE),VLOOKUP(P801,PRICING!$J$4:$K$59,2,FALSE)),"")</f>
        <v/>
      </c>
      <c r="S801"/>
      <c r="U801" s="406" t="str">
        <f t="shared" si="49"/>
        <v/>
      </c>
      <c r="W801" s="408" t="str">
        <f t="shared" si="50"/>
        <v/>
      </c>
      <c r="X801" s="409" t="str">
        <f t="shared" si="51"/>
        <v/>
      </c>
    </row>
    <row r="802" spans="1:24" ht="16" x14ac:dyDescent="0.25">
      <c r="A802" s="399" t="str">
        <f>IF(B802="","",CONCATENATE("GBL",B802," - ",Mantenedor!E806))</f>
        <v/>
      </c>
      <c r="P802" s="399" t="str">
        <f t="shared" si="48"/>
        <v/>
      </c>
      <c r="Q802" s="405" t="str" cm="1">
        <f t="array" ref="Q802">+_xlfn.IFS(O802="Nacional","CLP",O802="Extranjero","USD",O802="","")</f>
        <v/>
      </c>
      <c r="R802" s="406" t="str">
        <f>IFERROR(IF(O802="Nacional",VLOOKUP(P802,PRICING!$D$4:$E$59,2,FALSE),VLOOKUP(P802,PRICING!$J$4:$K$59,2,FALSE)),"")</f>
        <v/>
      </c>
      <c r="S802"/>
      <c r="U802" s="406" t="str">
        <f t="shared" si="49"/>
        <v/>
      </c>
      <c r="W802" s="408" t="str">
        <f t="shared" si="50"/>
        <v/>
      </c>
      <c r="X802" s="409" t="str">
        <f t="shared" si="51"/>
        <v/>
      </c>
    </row>
    <row r="803" spans="1:24" ht="16" x14ac:dyDescent="0.25">
      <c r="A803" s="399" t="str">
        <f>IF(B803="","",CONCATENATE("GBL",B803," - ",Mantenedor!E807))</f>
        <v/>
      </c>
      <c r="P803" s="399" t="str">
        <f t="shared" si="48"/>
        <v/>
      </c>
      <c r="Q803" s="405" t="str" cm="1">
        <f t="array" ref="Q803">+_xlfn.IFS(O803="Nacional","CLP",O803="Extranjero","USD",O803="","")</f>
        <v/>
      </c>
      <c r="R803" s="406" t="str">
        <f>IFERROR(IF(O803="Nacional",VLOOKUP(P803,PRICING!$D$4:$E$59,2,FALSE),VLOOKUP(P803,PRICING!$J$4:$K$59,2,FALSE)),"")</f>
        <v/>
      </c>
      <c r="S803"/>
      <c r="U803" s="406" t="str">
        <f t="shared" si="49"/>
        <v/>
      </c>
      <c r="W803" s="408" t="str">
        <f t="shared" si="50"/>
        <v/>
      </c>
      <c r="X803" s="409" t="str">
        <f t="shared" si="51"/>
        <v/>
      </c>
    </row>
    <row r="804" spans="1:24" ht="16" x14ac:dyDescent="0.25">
      <c r="A804" s="399" t="str">
        <f>IF(B804="","",CONCATENATE("GBL",B804," - ",Mantenedor!E808))</f>
        <v/>
      </c>
      <c r="P804" s="399" t="str">
        <f t="shared" si="48"/>
        <v/>
      </c>
      <c r="Q804" s="405" t="str" cm="1">
        <f t="array" ref="Q804">+_xlfn.IFS(O804="Nacional","CLP",O804="Extranjero","USD",O804="","")</f>
        <v/>
      </c>
      <c r="R804" s="406" t="str">
        <f>IFERROR(IF(O804="Nacional",VLOOKUP(P804,PRICING!$D$4:$E$59,2,FALSE),VLOOKUP(P804,PRICING!$J$4:$K$59,2,FALSE)),"")</f>
        <v/>
      </c>
      <c r="S804"/>
      <c r="U804" s="406" t="str">
        <f t="shared" si="49"/>
        <v/>
      </c>
      <c r="W804" s="408" t="str">
        <f t="shared" si="50"/>
        <v/>
      </c>
      <c r="X804" s="409" t="str">
        <f t="shared" si="51"/>
        <v/>
      </c>
    </row>
    <row r="805" spans="1:24" ht="16" x14ac:dyDescent="0.25">
      <c r="A805" s="399" t="str">
        <f>IF(B805="","",CONCATENATE("GBL",B805," - ",Mantenedor!E809))</f>
        <v/>
      </c>
      <c r="P805" s="399" t="str">
        <f t="shared" si="48"/>
        <v/>
      </c>
      <c r="Q805" s="405" t="str" cm="1">
        <f t="array" ref="Q805">+_xlfn.IFS(O805="Nacional","CLP",O805="Extranjero","USD",O805="","")</f>
        <v/>
      </c>
      <c r="R805" s="406" t="str">
        <f>IFERROR(IF(O805="Nacional",VLOOKUP(P805,PRICING!$D$4:$E$59,2,FALSE),VLOOKUP(P805,PRICING!$J$4:$K$59,2,FALSE)),"")</f>
        <v/>
      </c>
      <c r="S805"/>
      <c r="U805" s="406" t="str">
        <f t="shared" si="49"/>
        <v/>
      </c>
      <c r="W805" s="408" t="str">
        <f t="shared" si="50"/>
        <v/>
      </c>
      <c r="X805" s="409" t="str">
        <f t="shared" si="51"/>
        <v/>
      </c>
    </row>
    <row r="806" spans="1:24" ht="16" x14ac:dyDescent="0.25">
      <c r="A806" s="399" t="str">
        <f>IF(B806="","",CONCATENATE("GBL",B806," - ",Mantenedor!E810))</f>
        <v/>
      </c>
      <c r="P806" s="399" t="str">
        <f t="shared" si="48"/>
        <v/>
      </c>
      <c r="Q806" s="405" t="str" cm="1">
        <f t="array" ref="Q806">+_xlfn.IFS(O806="Nacional","CLP",O806="Extranjero","USD",O806="","")</f>
        <v/>
      </c>
      <c r="R806" s="406" t="str">
        <f>IFERROR(IF(O806="Nacional",VLOOKUP(P806,PRICING!$D$4:$E$59,2,FALSE),VLOOKUP(P806,PRICING!$J$4:$K$59,2,FALSE)),"")</f>
        <v/>
      </c>
      <c r="S806"/>
      <c r="U806" s="406" t="str">
        <f t="shared" si="49"/>
        <v/>
      </c>
      <c r="W806" s="408" t="str">
        <f t="shared" si="50"/>
        <v/>
      </c>
      <c r="X806" s="409" t="str">
        <f t="shared" si="51"/>
        <v/>
      </c>
    </row>
    <row r="807" spans="1:24" ht="16" x14ac:dyDescent="0.25">
      <c r="A807" s="399" t="str">
        <f>IF(B807="","",CONCATENATE("GBL",B807," - ",Mantenedor!E811))</f>
        <v/>
      </c>
      <c r="P807" s="399" t="str">
        <f t="shared" si="48"/>
        <v/>
      </c>
      <c r="Q807" s="405" t="str" cm="1">
        <f t="array" ref="Q807">+_xlfn.IFS(O807="Nacional","CLP",O807="Extranjero","USD",O807="","")</f>
        <v/>
      </c>
      <c r="R807" s="406" t="str">
        <f>IFERROR(IF(O807="Nacional",VLOOKUP(P807,PRICING!$D$4:$E$59,2,FALSE),VLOOKUP(P807,PRICING!$J$4:$K$59,2,FALSE)),"")</f>
        <v/>
      </c>
      <c r="S807"/>
      <c r="U807" s="406" t="str">
        <f t="shared" si="49"/>
        <v/>
      </c>
      <c r="W807" s="408" t="str">
        <f t="shared" si="50"/>
        <v/>
      </c>
      <c r="X807" s="409" t="str">
        <f t="shared" si="51"/>
        <v/>
      </c>
    </row>
    <row r="808" spans="1:24" ht="16" x14ac:dyDescent="0.25">
      <c r="A808" s="399" t="str">
        <f>IF(B808="","",CONCATENATE("GBL",B808," - ",Mantenedor!E812))</f>
        <v/>
      </c>
      <c r="P808" s="399" t="str">
        <f t="shared" si="48"/>
        <v/>
      </c>
      <c r="Q808" s="405" t="str" cm="1">
        <f t="array" ref="Q808">+_xlfn.IFS(O808="Nacional","CLP",O808="Extranjero","USD",O808="","")</f>
        <v/>
      </c>
      <c r="R808" s="406" t="str">
        <f>IFERROR(IF(O808="Nacional",VLOOKUP(P808,PRICING!$D$4:$E$59,2,FALSE),VLOOKUP(P808,PRICING!$J$4:$K$59,2,FALSE)),"")</f>
        <v/>
      </c>
      <c r="S808"/>
      <c r="U808" s="406" t="str">
        <f t="shared" si="49"/>
        <v/>
      </c>
      <c r="W808" s="408" t="str">
        <f t="shared" si="50"/>
        <v/>
      </c>
      <c r="X808" s="409" t="str">
        <f t="shared" si="51"/>
        <v/>
      </c>
    </row>
    <row r="809" spans="1:24" ht="16" x14ac:dyDescent="0.25">
      <c r="A809" s="399" t="str">
        <f>IF(B809="","",CONCATENATE("GBL",B809," - ",Mantenedor!E813))</f>
        <v/>
      </c>
      <c r="P809" s="399" t="str">
        <f t="shared" si="48"/>
        <v/>
      </c>
      <c r="Q809" s="405" t="str" cm="1">
        <f t="array" ref="Q809">+_xlfn.IFS(O809="Nacional","CLP",O809="Extranjero","USD",O809="","")</f>
        <v/>
      </c>
      <c r="R809" s="406" t="str">
        <f>IFERROR(IF(O809="Nacional",VLOOKUP(P809,PRICING!$D$4:$E$59,2,FALSE),VLOOKUP(P809,PRICING!$J$4:$K$59,2,FALSE)),"")</f>
        <v/>
      </c>
      <c r="S809"/>
      <c r="U809" s="406" t="str">
        <f t="shared" si="49"/>
        <v/>
      </c>
      <c r="W809" s="408" t="str">
        <f t="shared" si="50"/>
        <v/>
      </c>
      <c r="X809" s="409" t="str">
        <f t="shared" si="51"/>
        <v/>
      </c>
    </row>
    <row r="810" spans="1:24" ht="16" x14ac:dyDescent="0.25">
      <c r="A810" s="399" t="str">
        <f>IF(B810="","",CONCATENATE("GBL",B810," - ",Mantenedor!E814))</f>
        <v/>
      </c>
      <c r="P810" s="399" t="str">
        <f t="shared" si="48"/>
        <v/>
      </c>
      <c r="Q810" s="405" t="str" cm="1">
        <f t="array" ref="Q810">+_xlfn.IFS(O810="Nacional","CLP",O810="Extranjero","USD",O810="","")</f>
        <v/>
      </c>
      <c r="R810" s="406" t="str">
        <f>IFERROR(IF(O810="Nacional",VLOOKUP(P810,PRICING!$D$4:$E$59,2,FALSE),VLOOKUP(P810,PRICING!$J$4:$K$59,2,FALSE)),"")</f>
        <v/>
      </c>
      <c r="S810"/>
      <c r="U810" s="406" t="str">
        <f t="shared" si="49"/>
        <v/>
      </c>
      <c r="W810" s="408" t="str">
        <f t="shared" si="50"/>
        <v/>
      </c>
      <c r="X810" s="409" t="str">
        <f t="shared" si="51"/>
        <v/>
      </c>
    </row>
    <row r="811" spans="1:24" ht="16" x14ac:dyDescent="0.25">
      <c r="A811" s="399" t="str">
        <f>IF(B811="","",CONCATENATE("GBL",B811," - ",Mantenedor!E815))</f>
        <v/>
      </c>
      <c r="P811" s="399" t="str">
        <f t="shared" si="48"/>
        <v/>
      </c>
      <c r="Q811" s="405" t="str" cm="1">
        <f t="array" ref="Q811">+_xlfn.IFS(O811="Nacional","CLP",O811="Extranjero","USD",O811="","")</f>
        <v/>
      </c>
      <c r="R811" s="406" t="str">
        <f>IFERROR(IF(O811="Nacional",VLOOKUP(P811,PRICING!$D$4:$E$59,2,FALSE),VLOOKUP(P811,PRICING!$J$4:$K$59,2,FALSE)),"")</f>
        <v/>
      </c>
      <c r="S811"/>
      <c r="U811" s="406" t="str">
        <f t="shared" si="49"/>
        <v/>
      </c>
      <c r="W811" s="408" t="str">
        <f t="shared" si="50"/>
        <v/>
      </c>
      <c r="X811" s="409" t="str">
        <f t="shared" si="51"/>
        <v/>
      </c>
    </row>
    <row r="812" spans="1:24" ht="16" x14ac:dyDescent="0.25">
      <c r="A812" s="399" t="str">
        <f>IF(B812="","",CONCATENATE("GBL",B812," - ",Mantenedor!E816))</f>
        <v/>
      </c>
      <c r="P812" s="399" t="str">
        <f t="shared" si="48"/>
        <v/>
      </c>
      <c r="Q812" s="405" t="str" cm="1">
        <f t="array" ref="Q812">+_xlfn.IFS(O812="Nacional","CLP",O812="Extranjero","USD",O812="","")</f>
        <v/>
      </c>
      <c r="R812" s="406" t="str">
        <f>IFERROR(IF(O812="Nacional",VLOOKUP(P812,PRICING!$D$4:$E$59,2,FALSE),VLOOKUP(P812,PRICING!$J$4:$K$59,2,FALSE)),"")</f>
        <v/>
      </c>
      <c r="S812"/>
      <c r="U812" s="406" t="str">
        <f t="shared" si="49"/>
        <v/>
      </c>
      <c r="W812" s="408" t="str">
        <f t="shared" si="50"/>
        <v/>
      </c>
      <c r="X812" s="409" t="str">
        <f t="shared" si="51"/>
        <v/>
      </c>
    </row>
    <row r="813" spans="1:24" ht="16" x14ac:dyDescent="0.25">
      <c r="A813" s="399" t="str">
        <f>IF(B813="","",CONCATENATE("GBL",B813," - ",Mantenedor!E817))</f>
        <v/>
      </c>
      <c r="P813" s="399" t="str">
        <f t="shared" si="48"/>
        <v/>
      </c>
      <c r="Q813" s="405" t="str" cm="1">
        <f t="array" ref="Q813">+_xlfn.IFS(O813="Nacional","CLP",O813="Extranjero","USD",O813="","")</f>
        <v/>
      </c>
      <c r="R813" s="406" t="str">
        <f>IFERROR(IF(O813="Nacional",VLOOKUP(P813,PRICING!$D$4:$E$59,2,FALSE),VLOOKUP(P813,PRICING!$J$4:$K$59,2,FALSE)),"")</f>
        <v/>
      </c>
      <c r="S813"/>
      <c r="U813" s="406" t="str">
        <f t="shared" si="49"/>
        <v/>
      </c>
      <c r="W813" s="408" t="str">
        <f t="shared" si="50"/>
        <v/>
      </c>
      <c r="X813" s="409" t="str">
        <f t="shared" si="51"/>
        <v/>
      </c>
    </row>
    <row r="814" spans="1:24" ht="16" x14ac:dyDescent="0.25">
      <c r="A814" s="399" t="str">
        <f>IF(B814="","",CONCATENATE("GBL",B814," - ",Mantenedor!E818))</f>
        <v/>
      </c>
      <c r="P814" s="399" t="str">
        <f t="shared" si="48"/>
        <v/>
      </c>
      <c r="Q814" s="405" t="str" cm="1">
        <f t="array" ref="Q814">+_xlfn.IFS(O814="Nacional","CLP",O814="Extranjero","USD",O814="","")</f>
        <v/>
      </c>
      <c r="R814" s="406" t="str">
        <f>IFERROR(IF(O814="Nacional",VLOOKUP(P814,PRICING!$D$4:$E$59,2,FALSE),VLOOKUP(P814,PRICING!$J$4:$K$59,2,FALSE)),"")</f>
        <v/>
      </c>
      <c r="S814"/>
      <c r="U814" s="406" t="str">
        <f t="shared" si="49"/>
        <v/>
      </c>
      <c r="W814" s="408" t="str">
        <f t="shared" si="50"/>
        <v/>
      </c>
      <c r="X814" s="409" t="str">
        <f t="shared" si="51"/>
        <v/>
      </c>
    </row>
    <row r="815" spans="1:24" ht="16" x14ac:dyDescent="0.25">
      <c r="A815" s="399" t="str">
        <f>IF(B815="","",CONCATENATE("GBL",B815," - ",Mantenedor!E819))</f>
        <v/>
      </c>
      <c r="P815" s="399" t="str">
        <f t="shared" si="48"/>
        <v/>
      </c>
      <c r="Q815" s="405" t="str" cm="1">
        <f t="array" ref="Q815">+_xlfn.IFS(O815="Nacional","CLP",O815="Extranjero","USD",O815="","")</f>
        <v/>
      </c>
      <c r="R815" s="406" t="str">
        <f>IFERROR(IF(O815="Nacional",VLOOKUP(P815,PRICING!$D$4:$E$59,2,FALSE),VLOOKUP(P815,PRICING!$J$4:$K$59,2,FALSE)),"")</f>
        <v/>
      </c>
      <c r="S815"/>
      <c r="U815" s="406" t="str">
        <f t="shared" si="49"/>
        <v/>
      </c>
      <c r="W815" s="408" t="str">
        <f t="shared" si="50"/>
        <v/>
      </c>
      <c r="X815" s="409" t="str">
        <f t="shared" si="51"/>
        <v/>
      </c>
    </row>
    <row r="816" spans="1:24" ht="16" x14ac:dyDescent="0.25">
      <c r="A816" s="399" t="str">
        <f>IF(B816="","",CONCATENATE("GBL",B816," - ",Mantenedor!E820))</f>
        <v/>
      </c>
      <c r="P816" s="399" t="str">
        <f t="shared" si="48"/>
        <v/>
      </c>
      <c r="Q816" s="405" t="str" cm="1">
        <f t="array" ref="Q816">+_xlfn.IFS(O816="Nacional","CLP",O816="Extranjero","USD",O816="","")</f>
        <v/>
      </c>
      <c r="R816" s="406" t="str">
        <f>IFERROR(IF(O816="Nacional",VLOOKUP(P816,PRICING!$D$4:$E$59,2,FALSE),VLOOKUP(P816,PRICING!$J$4:$K$59,2,FALSE)),"")</f>
        <v/>
      </c>
      <c r="S816"/>
      <c r="U816" s="406" t="str">
        <f t="shared" si="49"/>
        <v/>
      </c>
      <c r="W816" s="408" t="str">
        <f t="shared" si="50"/>
        <v/>
      </c>
      <c r="X816" s="409" t="str">
        <f t="shared" si="51"/>
        <v/>
      </c>
    </row>
    <row r="817" spans="1:24" ht="16" x14ac:dyDescent="0.25">
      <c r="A817" s="399" t="str">
        <f>IF(B817="","",CONCATENATE("GBL",B817," - ",Mantenedor!E821))</f>
        <v/>
      </c>
      <c r="P817" s="399" t="str">
        <f t="shared" si="48"/>
        <v/>
      </c>
      <c r="Q817" s="405" t="str" cm="1">
        <f t="array" ref="Q817">+_xlfn.IFS(O817="Nacional","CLP",O817="Extranjero","USD",O817="","")</f>
        <v/>
      </c>
      <c r="R817" s="406" t="str">
        <f>IFERROR(IF(O817="Nacional",VLOOKUP(P817,PRICING!$D$4:$E$59,2,FALSE),VLOOKUP(P817,PRICING!$J$4:$K$59,2,FALSE)),"")</f>
        <v/>
      </c>
      <c r="S817"/>
      <c r="U817" s="406" t="str">
        <f t="shared" si="49"/>
        <v/>
      </c>
      <c r="W817" s="408" t="str">
        <f t="shared" si="50"/>
        <v/>
      </c>
      <c r="X817" s="409" t="str">
        <f t="shared" si="51"/>
        <v/>
      </c>
    </row>
    <row r="818" spans="1:24" ht="16" x14ac:dyDescent="0.25">
      <c r="A818" s="399" t="str">
        <f>IF(B818="","",CONCATENATE("GBL",B818," - ",Mantenedor!E822))</f>
        <v/>
      </c>
      <c r="P818" s="399" t="str">
        <f t="shared" si="48"/>
        <v/>
      </c>
      <c r="Q818" s="405" t="str" cm="1">
        <f t="array" ref="Q818">+_xlfn.IFS(O818="Nacional","CLP",O818="Extranjero","USD",O818="","")</f>
        <v/>
      </c>
      <c r="R818" s="406" t="str">
        <f>IFERROR(IF(O818="Nacional",VLOOKUP(P818,PRICING!$D$4:$E$59,2,FALSE),VLOOKUP(P818,PRICING!$J$4:$K$59,2,FALSE)),"")</f>
        <v/>
      </c>
      <c r="S818"/>
      <c r="U818" s="406" t="str">
        <f t="shared" si="49"/>
        <v/>
      </c>
      <c r="W818" s="408" t="str">
        <f t="shared" si="50"/>
        <v/>
      </c>
      <c r="X818" s="409" t="str">
        <f t="shared" si="51"/>
        <v/>
      </c>
    </row>
    <row r="819" spans="1:24" ht="16" x14ac:dyDescent="0.25">
      <c r="A819" s="399" t="str">
        <f>IF(B819="","",CONCATENATE("GBL",B819," - ",Mantenedor!E823))</f>
        <v/>
      </c>
      <c r="P819" s="399" t="str">
        <f t="shared" si="48"/>
        <v/>
      </c>
      <c r="Q819" s="405" t="str" cm="1">
        <f t="array" ref="Q819">+_xlfn.IFS(O819="Nacional","CLP",O819="Extranjero","USD",O819="","")</f>
        <v/>
      </c>
      <c r="R819" s="406" t="str">
        <f>IFERROR(IF(O819="Nacional",VLOOKUP(P819,PRICING!$D$4:$E$59,2,FALSE),VLOOKUP(P819,PRICING!$J$4:$K$59,2,FALSE)),"")</f>
        <v/>
      </c>
      <c r="S819"/>
      <c r="U819" s="406" t="str">
        <f t="shared" si="49"/>
        <v/>
      </c>
      <c r="W819" s="408" t="str">
        <f t="shared" si="50"/>
        <v/>
      </c>
      <c r="X819" s="409" t="str">
        <f t="shared" si="51"/>
        <v/>
      </c>
    </row>
    <row r="820" spans="1:24" ht="16" x14ac:dyDescent="0.25">
      <c r="A820" s="399" t="str">
        <f>IF(B820="","",CONCATENATE("GBL",B820," - ",Mantenedor!E824))</f>
        <v/>
      </c>
      <c r="P820" s="399" t="str">
        <f t="shared" si="48"/>
        <v/>
      </c>
      <c r="Q820" s="405" t="str" cm="1">
        <f t="array" ref="Q820">+_xlfn.IFS(O820="Nacional","CLP",O820="Extranjero","USD",O820="","")</f>
        <v/>
      </c>
      <c r="R820" s="406" t="str">
        <f>IFERROR(IF(O820="Nacional",VLOOKUP(P820,PRICING!$D$4:$E$59,2,FALSE),VLOOKUP(P820,PRICING!$J$4:$K$59,2,FALSE)),"")</f>
        <v/>
      </c>
      <c r="S820"/>
      <c r="U820" s="406" t="str">
        <f t="shared" si="49"/>
        <v/>
      </c>
      <c r="W820" s="408" t="str">
        <f t="shared" si="50"/>
        <v/>
      </c>
      <c r="X820" s="409" t="str">
        <f t="shared" si="51"/>
        <v/>
      </c>
    </row>
    <row r="821" spans="1:24" ht="16" x14ac:dyDescent="0.25">
      <c r="A821" s="399" t="str">
        <f>IF(B821="","",CONCATENATE("GBL",B821," - ",Mantenedor!E825))</f>
        <v/>
      </c>
      <c r="P821" s="399" t="str">
        <f t="shared" si="48"/>
        <v/>
      </c>
      <c r="Q821" s="405" t="str" cm="1">
        <f t="array" ref="Q821">+_xlfn.IFS(O821="Nacional","CLP",O821="Extranjero","USD",O821="","")</f>
        <v/>
      </c>
      <c r="R821" s="406" t="str">
        <f>IFERROR(IF(O821="Nacional",VLOOKUP(P821,PRICING!$D$4:$E$59,2,FALSE),VLOOKUP(P821,PRICING!$J$4:$K$59,2,FALSE)),"")</f>
        <v/>
      </c>
      <c r="S821"/>
      <c r="U821" s="406" t="str">
        <f t="shared" si="49"/>
        <v/>
      </c>
      <c r="W821" s="408" t="str">
        <f t="shared" si="50"/>
        <v/>
      </c>
      <c r="X821" s="409" t="str">
        <f t="shared" si="51"/>
        <v/>
      </c>
    </row>
    <row r="822" spans="1:24" ht="16" x14ac:dyDescent="0.25">
      <c r="A822" s="399" t="str">
        <f>IF(B822="","",CONCATENATE("GBL",B822," - ",Mantenedor!E826))</f>
        <v/>
      </c>
      <c r="P822" s="399" t="str">
        <f t="shared" si="48"/>
        <v/>
      </c>
      <c r="Q822" s="405" t="str" cm="1">
        <f t="array" ref="Q822">+_xlfn.IFS(O822="Nacional","CLP",O822="Extranjero","USD",O822="","")</f>
        <v/>
      </c>
      <c r="R822" s="406" t="str">
        <f>IFERROR(IF(O822="Nacional",VLOOKUP(P822,PRICING!$D$4:$E$59,2,FALSE),VLOOKUP(P822,PRICING!$J$4:$K$59,2,FALSE)),"")</f>
        <v/>
      </c>
      <c r="S822"/>
      <c r="U822" s="406" t="str">
        <f t="shared" si="49"/>
        <v/>
      </c>
      <c r="W822" s="408" t="str">
        <f t="shared" si="50"/>
        <v/>
      </c>
      <c r="X822" s="409" t="str">
        <f t="shared" si="51"/>
        <v/>
      </c>
    </row>
    <row r="823" spans="1:24" ht="16" x14ac:dyDescent="0.25">
      <c r="A823" s="399" t="str">
        <f>IF(B823="","",CONCATENATE("GBL",B823," - ",Mantenedor!E827))</f>
        <v/>
      </c>
      <c r="P823" s="399" t="str">
        <f t="shared" si="48"/>
        <v/>
      </c>
      <c r="Q823" s="405" t="str" cm="1">
        <f t="array" ref="Q823">+_xlfn.IFS(O823="Nacional","CLP",O823="Extranjero","USD",O823="","")</f>
        <v/>
      </c>
      <c r="R823" s="406" t="str">
        <f>IFERROR(IF(O823="Nacional",VLOOKUP(P823,PRICING!$D$4:$E$59,2,FALSE),VLOOKUP(P823,PRICING!$J$4:$K$59,2,FALSE)),"")</f>
        <v/>
      </c>
      <c r="S823"/>
      <c r="U823" s="406" t="str">
        <f t="shared" si="49"/>
        <v/>
      </c>
      <c r="W823" s="408" t="str">
        <f t="shared" si="50"/>
        <v/>
      </c>
      <c r="X823" s="409" t="str">
        <f t="shared" si="51"/>
        <v/>
      </c>
    </row>
    <row r="824" spans="1:24" ht="16" x14ac:dyDescent="0.25">
      <c r="A824" s="399" t="str">
        <f>IF(B824="","",CONCATENATE("GBL",B824," - ",Mantenedor!E828))</f>
        <v/>
      </c>
      <c r="P824" s="399" t="str">
        <f t="shared" si="48"/>
        <v/>
      </c>
      <c r="Q824" s="405" t="str" cm="1">
        <f t="array" ref="Q824">+_xlfn.IFS(O824="Nacional","CLP",O824="Extranjero","USD",O824="","")</f>
        <v/>
      </c>
      <c r="R824" s="406" t="str">
        <f>IFERROR(IF(O824="Nacional",VLOOKUP(P824,PRICING!$D$4:$E$59,2,FALSE),VLOOKUP(P824,PRICING!$J$4:$K$59,2,FALSE)),"")</f>
        <v/>
      </c>
      <c r="S824"/>
      <c r="U824" s="406" t="str">
        <f t="shared" si="49"/>
        <v/>
      </c>
      <c r="W824" s="408" t="str">
        <f t="shared" si="50"/>
        <v/>
      </c>
      <c r="X824" s="409" t="str">
        <f t="shared" si="51"/>
        <v/>
      </c>
    </row>
    <row r="825" spans="1:24" ht="16" x14ac:dyDescent="0.25">
      <c r="A825" s="399" t="str">
        <f>IF(B825="","",CONCATENATE("GBL",B825," - ",Mantenedor!E829))</f>
        <v/>
      </c>
      <c r="P825" s="399" t="str">
        <f t="shared" si="48"/>
        <v/>
      </c>
      <c r="Q825" s="405" t="str" cm="1">
        <f t="array" ref="Q825">+_xlfn.IFS(O825="Nacional","CLP",O825="Extranjero","USD",O825="","")</f>
        <v/>
      </c>
      <c r="R825" s="406" t="str">
        <f>IFERROR(IF(O825="Nacional",VLOOKUP(P825,PRICING!$D$4:$E$59,2,FALSE),VLOOKUP(P825,PRICING!$J$4:$K$59,2,FALSE)),"")</f>
        <v/>
      </c>
      <c r="S825"/>
      <c r="U825" s="406" t="str">
        <f t="shared" si="49"/>
        <v/>
      </c>
      <c r="W825" s="408" t="str">
        <f t="shared" si="50"/>
        <v/>
      </c>
      <c r="X825" s="409" t="str">
        <f t="shared" si="51"/>
        <v/>
      </c>
    </row>
    <row r="826" spans="1:24" ht="16" x14ac:dyDescent="0.25">
      <c r="A826" s="399" t="str">
        <f>IF(B826="","",CONCATENATE("GBL",B826," - ",Mantenedor!E830))</f>
        <v/>
      </c>
      <c r="P826" s="399" t="str">
        <f t="shared" si="48"/>
        <v/>
      </c>
      <c r="Q826" s="405" t="str" cm="1">
        <f t="array" ref="Q826">+_xlfn.IFS(O826="Nacional","CLP",O826="Extranjero","USD",O826="","")</f>
        <v/>
      </c>
      <c r="R826" s="406" t="str">
        <f>IFERROR(IF(O826="Nacional",VLOOKUP(P826,PRICING!$D$4:$E$59,2,FALSE),VLOOKUP(P826,PRICING!$J$4:$K$59,2,FALSE)),"")</f>
        <v/>
      </c>
      <c r="S826"/>
      <c r="U826" s="406" t="str">
        <f t="shared" si="49"/>
        <v/>
      </c>
      <c r="W826" s="408" t="str">
        <f t="shared" si="50"/>
        <v/>
      </c>
      <c r="X826" s="409" t="str">
        <f t="shared" si="51"/>
        <v/>
      </c>
    </row>
    <row r="827" spans="1:24" ht="16" x14ac:dyDescent="0.25">
      <c r="A827" s="399" t="str">
        <f>IF(B827="","",CONCATENATE("GBL",B827," - ",Mantenedor!E831))</f>
        <v/>
      </c>
      <c r="P827" s="399" t="str">
        <f t="shared" si="48"/>
        <v/>
      </c>
      <c r="Q827" s="405" t="str" cm="1">
        <f t="array" ref="Q827">+_xlfn.IFS(O827="Nacional","CLP",O827="Extranjero","USD",O827="","")</f>
        <v/>
      </c>
      <c r="R827" s="406" t="str">
        <f>IFERROR(IF(O827="Nacional",VLOOKUP(P827,PRICING!$D$4:$E$59,2,FALSE),VLOOKUP(P827,PRICING!$J$4:$K$59,2,FALSE)),"")</f>
        <v/>
      </c>
      <c r="S827"/>
      <c r="U827" s="406" t="str">
        <f t="shared" si="49"/>
        <v/>
      </c>
      <c r="W827" s="408" t="str">
        <f t="shared" si="50"/>
        <v/>
      </c>
      <c r="X827" s="409" t="str">
        <f t="shared" si="51"/>
        <v/>
      </c>
    </row>
    <row r="828" spans="1:24" ht="16" x14ac:dyDescent="0.25">
      <c r="A828" s="399" t="str">
        <f>IF(B828="","",CONCATENATE("GBL",B828," - ",Mantenedor!E832))</f>
        <v/>
      </c>
      <c r="P828" s="399" t="str">
        <f t="shared" si="48"/>
        <v/>
      </c>
      <c r="Q828" s="405" t="str" cm="1">
        <f t="array" ref="Q828">+_xlfn.IFS(O828="Nacional","CLP",O828="Extranjero","USD",O828="","")</f>
        <v/>
      </c>
      <c r="R828" s="406" t="str">
        <f>IFERROR(IF(O828="Nacional",VLOOKUP(P828,PRICING!$D$4:$E$59,2,FALSE),VLOOKUP(P828,PRICING!$J$4:$K$59,2,FALSE)),"")</f>
        <v/>
      </c>
      <c r="S828"/>
      <c r="U828" s="406" t="str">
        <f t="shared" si="49"/>
        <v/>
      </c>
      <c r="W828" s="408" t="str">
        <f t="shared" si="50"/>
        <v/>
      </c>
      <c r="X828" s="409" t="str">
        <f t="shared" si="51"/>
        <v/>
      </c>
    </row>
    <row r="829" spans="1:24" ht="16" x14ac:dyDescent="0.25">
      <c r="A829" s="399" t="str">
        <f>IF(B829="","",CONCATENATE("GBL",B829," - ",Mantenedor!E833))</f>
        <v/>
      </c>
      <c r="P829" s="399" t="str">
        <f t="shared" si="48"/>
        <v/>
      </c>
      <c r="Q829" s="405" t="str" cm="1">
        <f t="array" ref="Q829">+_xlfn.IFS(O829="Nacional","CLP",O829="Extranjero","USD",O829="","")</f>
        <v/>
      </c>
      <c r="R829" s="406" t="str">
        <f>IFERROR(IF(O829="Nacional",VLOOKUP(P829,PRICING!$D$4:$E$59,2,FALSE),VLOOKUP(P829,PRICING!$J$4:$K$59,2,FALSE)),"")</f>
        <v/>
      </c>
      <c r="S829"/>
      <c r="U829" s="406" t="str">
        <f t="shared" si="49"/>
        <v/>
      </c>
      <c r="W829" s="408" t="str">
        <f t="shared" si="50"/>
        <v/>
      </c>
      <c r="X829" s="409" t="str">
        <f t="shared" si="51"/>
        <v/>
      </c>
    </row>
    <row r="830" spans="1:24" ht="16" x14ac:dyDescent="0.25">
      <c r="A830" s="399" t="str">
        <f>IF(B830="","",CONCATENATE("GBL",B830," - ",Mantenedor!E834))</f>
        <v/>
      </c>
      <c r="P830" s="399" t="str">
        <f t="shared" si="48"/>
        <v/>
      </c>
      <c r="Q830" s="405" t="str" cm="1">
        <f t="array" ref="Q830">+_xlfn.IFS(O830="Nacional","CLP",O830="Extranjero","USD",O830="","")</f>
        <v/>
      </c>
      <c r="R830" s="406" t="str">
        <f>IFERROR(IF(O830="Nacional",VLOOKUP(P830,PRICING!$D$4:$E$59,2,FALSE),VLOOKUP(P830,PRICING!$J$4:$K$59,2,FALSE)),"")</f>
        <v/>
      </c>
      <c r="S830"/>
      <c r="U830" s="406" t="str">
        <f t="shared" si="49"/>
        <v/>
      </c>
      <c r="W830" s="408" t="str">
        <f t="shared" si="50"/>
        <v/>
      </c>
      <c r="X830" s="409" t="str">
        <f t="shared" si="51"/>
        <v/>
      </c>
    </row>
    <row r="831" spans="1:24" ht="16" x14ac:dyDescent="0.25">
      <c r="A831" s="399" t="str">
        <f>IF(B831="","",CONCATENATE("GBL",B831," - ",Mantenedor!E835))</f>
        <v/>
      </c>
      <c r="P831" s="399" t="str">
        <f t="shared" ref="P831:P894" si="52">IF(N831="","",(IF(L831=1,(CONCATENATE("Base ",N831," ",L831," noche")),(CONCATENATE("Base ",N831," ",L831," noches")))))</f>
        <v/>
      </c>
      <c r="Q831" s="405" t="str" cm="1">
        <f t="array" ref="Q831">+_xlfn.IFS(O831="Nacional","CLP",O831="Extranjero","USD",O831="","")</f>
        <v/>
      </c>
      <c r="R831" s="406" t="str">
        <f>IFERROR(IF(O831="Nacional",VLOOKUP(P831,PRICING!$D$4:$E$59,2,FALSE),VLOOKUP(P831,PRICING!$J$4:$K$59,2,FALSE)),"")</f>
        <v/>
      </c>
      <c r="S831"/>
      <c r="U831" s="406" t="str">
        <f t="shared" ref="U831:U894" si="53">IFERROR(+R831*(1-S831),"")</f>
        <v/>
      </c>
      <c r="W831" s="408" t="str">
        <f t="shared" ref="W831:W894" si="54">+IF(U831="","","50"%)</f>
        <v/>
      </c>
      <c r="X831" s="409" t="str">
        <f t="shared" si="51"/>
        <v/>
      </c>
    </row>
    <row r="832" spans="1:24" ht="16" x14ac:dyDescent="0.25">
      <c r="A832" s="399" t="str">
        <f>IF(B832="","",CONCATENATE("GBL",B832," - ",Mantenedor!E836))</f>
        <v/>
      </c>
      <c r="P832" s="399" t="str">
        <f t="shared" si="52"/>
        <v/>
      </c>
      <c r="Q832" s="405" t="str" cm="1">
        <f t="array" ref="Q832">+_xlfn.IFS(O832="Nacional","CLP",O832="Extranjero","USD",O832="","")</f>
        <v/>
      </c>
      <c r="R832" s="406" t="str">
        <f>IFERROR(IF(O832="Nacional",VLOOKUP(P832,PRICING!$D$4:$E$59,2,FALSE),VLOOKUP(P832,PRICING!$J$4:$K$59,2,FALSE)),"")</f>
        <v/>
      </c>
      <c r="S832"/>
      <c r="U832" s="406" t="str">
        <f t="shared" si="53"/>
        <v/>
      </c>
      <c r="W832" s="408" t="str">
        <f t="shared" si="54"/>
        <v/>
      </c>
      <c r="X832" s="409" t="str">
        <f t="shared" ref="X832:X895" si="55">+IF(W832="","",(1-W832))</f>
        <v/>
      </c>
    </row>
    <row r="833" spans="1:24" ht="16" x14ac:dyDescent="0.25">
      <c r="A833" s="399" t="str">
        <f>IF(B833="","",CONCATENATE("GBL",B833," - ",Mantenedor!E837))</f>
        <v/>
      </c>
      <c r="P833" s="399" t="str">
        <f t="shared" si="52"/>
        <v/>
      </c>
      <c r="Q833" s="405" t="str" cm="1">
        <f t="array" ref="Q833">+_xlfn.IFS(O833="Nacional","CLP",O833="Extranjero","USD",O833="","")</f>
        <v/>
      </c>
      <c r="R833" s="406" t="str">
        <f>IFERROR(IF(O833="Nacional",VLOOKUP(P833,PRICING!$D$4:$E$59,2,FALSE),VLOOKUP(P833,PRICING!$J$4:$K$59,2,FALSE)),"")</f>
        <v/>
      </c>
      <c r="S833"/>
      <c r="U833" s="406" t="str">
        <f t="shared" si="53"/>
        <v/>
      </c>
      <c r="W833" s="408" t="str">
        <f t="shared" si="54"/>
        <v/>
      </c>
      <c r="X833" s="409" t="str">
        <f t="shared" si="55"/>
        <v/>
      </c>
    </row>
    <row r="834" spans="1:24" ht="16" x14ac:dyDescent="0.25">
      <c r="A834" s="399" t="str">
        <f>IF(B834="","",CONCATENATE("GBL",B834," - ",Mantenedor!E838))</f>
        <v/>
      </c>
      <c r="P834" s="399" t="str">
        <f t="shared" si="52"/>
        <v/>
      </c>
      <c r="Q834" s="405" t="str" cm="1">
        <f t="array" ref="Q834">+_xlfn.IFS(O834="Nacional","CLP",O834="Extranjero","USD",O834="","")</f>
        <v/>
      </c>
      <c r="R834" s="406" t="str">
        <f>IFERROR(IF(O834="Nacional",VLOOKUP(P834,PRICING!$D$4:$E$59,2,FALSE),VLOOKUP(P834,PRICING!$J$4:$K$59,2,FALSE)),"")</f>
        <v/>
      </c>
      <c r="S834"/>
      <c r="U834" s="406" t="str">
        <f t="shared" si="53"/>
        <v/>
      </c>
      <c r="W834" s="408" t="str">
        <f t="shared" si="54"/>
        <v/>
      </c>
      <c r="X834" s="409" t="str">
        <f t="shared" si="55"/>
        <v/>
      </c>
    </row>
    <row r="835" spans="1:24" ht="16" x14ac:dyDescent="0.25">
      <c r="A835" s="399" t="str">
        <f>IF(B835="","",CONCATENATE("GBL",B835," - ",Mantenedor!E839))</f>
        <v/>
      </c>
      <c r="P835" s="399" t="str">
        <f t="shared" si="52"/>
        <v/>
      </c>
      <c r="Q835" s="405" t="str" cm="1">
        <f t="array" ref="Q835">+_xlfn.IFS(O835="Nacional","CLP",O835="Extranjero","USD",O835="","")</f>
        <v/>
      </c>
      <c r="R835" s="406" t="str">
        <f>IFERROR(IF(O835="Nacional",VLOOKUP(P835,PRICING!$D$4:$E$59,2,FALSE),VLOOKUP(P835,PRICING!$J$4:$K$59,2,FALSE)),"")</f>
        <v/>
      </c>
      <c r="S835"/>
      <c r="U835" s="406" t="str">
        <f t="shared" si="53"/>
        <v/>
      </c>
      <c r="W835" s="408" t="str">
        <f t="shared" si="54"/>
        <v/>
      </c>
      <c r="X835" s="409" t="str">
        <f t="shared" si="55"/>
        <v/>
      </c>
    </row>
    <row r="836" spans="1:24" ht="16" x14ac:dyDescent="0.25">
      <c r="A836" s="399" t="str">
        <f>IF(B836="","",CONCATENATE("GBL",B836," - ",Mantenedor!E840))</f>
        <v/>
      </c>
      <c r="P836" s="399" t="str">
        <f t="shared" si="52"/>
        <v/>
      </c>
      <c r="Q836" s="405" t="str" cm="1">
        <f t="array" ref="Q836">+_xlfn.IFS(O836="Nacional","CLP",O836="Extranjero","USD",O836="","")</f>
        <v/>
      </c>
      <c r="R836" s="406" t="str">
        <f>IFERROR(IF(O836="Nacional",VLOOKUP(P836,PRICING!$D$4:$E$59,2,FALSE),VLOOKUP(P836,PRICING!$J$4:$K$59,2,FALSE)),"")</f>
        <v/>
      </c>
      <c r="S836"/>
      <c r="U836" s="406" t="str">
        <f t="shared" si="53"/>
        <v/>
      </c>
      <c r="W836" s="408" t="str">
        <f t="shared" si="54"/>
        <v/>
      </c>
      <c r="X836" s="409" t="str">
        <f t="shared" si="55"/>
        <v/>
      </c>
    </row>
    <row r="837" spans="1:24" ht="16" x14ac:dyDescent="0.25">
      <c r="A837" s="399" t="str">
        <f>IF(B837="","",CONCATENATE("GBL",B837," - ",Mantenedor!E841))</f>
        <v/>
      </c>
      <c r="P837" s="399" t="str">
        <f t="shared" si="52"/>
        <v/>
      </c>
      <c r="Q837" s="405" t="str" cm="1">
        <f t="array" ref="Q837">+_xlfn.IFS(O837="Nacional","CLP",O837="Extranjero","USD",O837="","")</f>
        <v/>
      </c>
      <c r="R837" s="406" t="str">
        <f>IFERROR(IF(O837="Nacional",VLOOKUP(P837,PRICING!$D$4:$E$59,2,FALSE),VLOOKUP(P837,PRICING!$J$4:$K$59,2,FALSE)),"")</f>
        <v/>
      </c>
      <c r="S837"/>
      <c r="U837" s="406" t="str">
        <f t="shared" si="53"/>
        <v/>
      </c>
      <c r="W837" s="408" t="str">
        <f t="shared" si="54"/>
        <v/>
      </c>
      <c r="X837" s="409" t="str">
        <f t="shared" si="55"/>
        <v/>
      </c>
    </row>
    <row r="838" spans="1:24" ht="16" x14ac:dyDescent="0.25">
      <c r="A838" s="399" t="str">
        <f>IF(B838="","",CONCATENATE("GBL",B838," - ",Mantenedor!E842))</f>
        <v/>
      </c>
      <c r="P838" s="399" t="str">
        <f t="shared" si="52"/>
        <v/>
      </c>
      <c r="Q838" s="405" t="str" cm="1">
        <f t="array" ref="Q838">+_xlfn.IFS(O838="Nacional","CLP",O838="Extranjero","USD",O838="","")</f>
        <v/>
      </c>
      <c r="R838" s="406" t="str">
        <f>IFERROR(IF(O838="Nacional",VLOOKUP(P838,PRICING!$D$4:$E$59,2,FALSE),VLOOKUP(P838,PRICING!$J$4:$K$59,2,FALSE)),"")</f>
        <v/>
      </c>
      <c r="S838"/>
      <c r="U838" s="406" t="str">
        <f t="shared" si="53"/>
        <v/>
      </c>
      <c r="W838" s="408" t="str">
        <f t="shared" si="54"/>
        <v/>
      </c>
      <c r="X838" s="409" t="str">
        <f t="shared" si="55"/>
        <v/>
      </c>
    </row>
    <row r="839" spans="1:24" ht="16" x14ac:dyDescent="0.25">
      <c r="A839" s="399" t="str">
        <f>IF(B839="","",CONCATENATE("GBL",B839," - ",Mantenedor!E843))</f>
        <v/>
      </c>
      <c r="P839" s="399" t="str">
        <f t="shared" si="52"/>
        <v/>
      </c>
      <c r="Q839" s="405" t="str" cm="1">
        <f t="array" ref="Q839">+_xlfn.IFS(O839="Nacional","CLP",O839="Extranjero","USD",O839="","")</f>
        <v/>
      </c>
      <c r="R839" s="406" t="str">
        <f>IFERROR(IF(O839="Nacional",VLOOKUP(P839,PRICING!$D$4:$E$59,2,FALSE),VLOOKUP(P839,PRICING!$J$4:$K$59,2,FALSE)),"")</f>
        <v/>
      </c>
      <c r="S839"/>
      <c r="U839" s="406" t="str">
        <f t="shared" si="53"/>
        <v/>
      </c>
      <c r="W839" s="408" t="str">
        <f t="shared" si="54"/>
        <v/>
      </c>
      <c r="X839" s="409" t="str">
        <f t="shared" si="55"/>
        <v/>
      </c>
    </row>
    <row r="840" spans="1:24" ht="16" x14ac:dyDescent="0.25">
      <c r="A840" s="399" t="str">
        <f>IF(B840="","",CONCATENATE("GBL",B840," - ",Mantenedor!E844))</f>
        <v/>
      </c>
      <c r="P840" s="399" t="str">
        <f t="shared" si="52"/>
        <v/>
      </c>
      <c r="Q840" s="405" t="str" cm="1">
        <f t="array" ref="Q840">+_xlfn.IFS(O840="Nacional","CLP",O840="Extranjero","USD",O840="","")</f>
        <v/>
      </c>
      <c r="R840" s="406" t="str">
        <f>IFERROR(IF(O840="Nacional",VLOOKUP(P840,PRICING!$D$4:$E$59,2,FALSE),VLOOKUP(P840,PRICING!$J$4:$K$59,2,FALSE)),"")</f>
        <v/>
      </c>
      <c r="S840"/>
      <c r="U840" s="406" t="str">
        <f t="shared" si="53"/>
        <v/>
      </c>
      <c r="W840" s="408" t="str">
        <f t="shared" si="54"/>
        <v/>
      </c>
      <c r="X840" s="409" t="str">
        <f t="shared" si="55"/>
        <v/>
      </c>
    </row>
    <row r="841" spans="1:24" ht="16" x14ac:dyDescent="0.25">
      <c r="A841" s="399" t="str">
        <f>IF(B841="","",CONCATENATE("GBL",B841," - ",Mantenedor!E845))</f>
        <v/>
      </c>
      <c r="P841" s="399" t="str">
        <f t="shared" si="52"/>
        <v/>
      </c>
      <c r="Q841" s="405" t="str" cm="1">
        <f t="array" ref="Q841">+_xlfn.IFS(O841="Nacional","CLP",O841="Extranjero","USD",O841="","")</f>
        <v/>
      </c>
      <c r="R841" s="406" t="str">
        <f>IFERROR(IF(O841="Nacional",VLOOKUP(P841,PRICING!$D$4:$E$59,2,FALSE),VLOOKUP(P841,PRICING!$J$4:$K$59,2,FALSE)),"")</f>
        <v/>
      </c>
      <c r="S841"/>
      <c r="U841" s="406" t="str">
        <f t="shared" si="53"/>
        <v/>
      </c>
      <c r="W841" s="408" t="str">
        <f t="shared" si="54"/>
        <v/>
      </c>
      <c r="X841" s="409" t="str">
        <f t="shared" si="55"/>
        <v/>
      </c>
    </row>
    <row r="842" spans="1:24" ht="16" x14ac:dyDescent="0.25">
      <c r="A842" s="399" t="str">
        <f>IF(B842="","",CONCATENATE("GBL",B842," - ",Mantenedor!E846))</f>
        <v/>
      </c>
      <c r="P842" s="399" t="str">
        <f t="shared" si="52"/>
        <v/>
      </c>
      <c r="Q842" s="405" t="str" cm="1">
        <f t="array" ref="Q842">+_xlfn.IFS(O842="Nacional","CLP",O842="Extranjero","USD",O842="","")</f>
        <v/>
      </c>
      <c r="R842" s="406" t="str">
        <f>IFERROR(IF(O842="Nacional",VLOOKUP(P842,PRICING!$D$4:$E$59,2,FALSE),VLOOKUP(P842,PRICING!$J$4:$K$59,2,FALSE)),"")</f>
        <v/>
      </c>
      <c r="S842"/>
      <c r="U842" s="406" t="str">
        <f t="shared" si="53"/>
        <v/>
      </c>
      <c r="W842" s="408" t="str">
        <f t="shared" si="54"/>
        <v/>
      </c>
      <c r="X842" s="409" t="str">
        <f t="shared" si="55"/>
        <v/>
      </c>
    </row>
    <row r="843" spans="1:24" ht="16" x14ac:dyDescent="0.25">
      <c r="A843" s="399" t="str">
        <f>IF(B843="","",CONCATENATE("GBL",B843," - ",Mantenedor!E847))</f>
        <v/>
      </c>
      <c r="P843" s="399" t="str">
        <f t="shared" si="52"/>
        <v/>
      </c>
      <c r="Q843" s="405" t="str" cm="1">
        <f t="array" ref="Q843">+_xlfn.IFS(O843="Nacional","CLP",O843="Extranjero","USD",O843="","")</f>
        <v/>
      </c>
      <c r="R843" s="406" t="str">
        <f>IFERROR(IF(O843="Nacional",VLOOKUP(P843,PRICING!$D$4:$E$59,2,FALSE),VLOOKUP(P843,PRICING!$J$4:$K$59,2,FALSE)),"")</f>
        <v/>
      </c>
      <c r="S843"/>
      <c r="U843" s="406" t="str">
        <f t="shared" si="53"/>
        <v/>
      </c>
      <c r="W843" s="408" t="str">
        <f t="shared" si="54"/>
        <v/>
      </c>
      <c r="X843" s="409" t="str">
        <f t="shared" si="55"/>
        <v/>
      </c>
    </row>
    <row r="844" spans="1:24" ht="16" x14ac:dyDescent="0.25">
      <c r="A844" s="399" t="str">
        <f>IF(B844="","",CONCATENATE("GBL",B844," - ",Mantenedor!E848))</f>
        <v/>
      </c>
      <c r="P844" s="399" t="str">
        <f t="shared" si="52"/>
        <v/>
      </c>
      <c r="Q844" s="405" t="str" cm="1">
        <f t="array" ref="Q844">+_xlfn.IFS(O844="Nacional","CLP",O844="Extranjero","USD",O844="","")</f>
        <v/>
      </c>
      <c r="R844" s="406" t="str">
        <f>IFERROR(IF(O844="Nacional",VLOOKUP(P844,PRICING!$D$4:$E$59,2,FALSE),VLOOKUP(P844,PRICING!$J$4:$K$59,2,FALSE)),"")</f>
        <v/>
      </c>
      <c r="S844"/>
      <c r="U844" s="406" t="str">
        <f t="shared" si="53"/>
        <v/>
      </c>
      <c r="W844" s="408" t="str">
        <f t="shared" si="54"/>
        <v/>
      </c>
      <c r="X844" s="409" t="str">
        <f t="shared" si="55"/>
        <v/>
      </c>
    </row>
    <row r="845" spans="1:24" ht="16" x14ac:dyDescent="0.25">
      <c r="A845" s="399" t="str">
        <f>IF(B845="","",CONCATENATE("GBL",B845," - ",Mantenedor!E849))</f>
        <v/>
      </c>
      <c r="P845" s="399" t="str">
        <f t="shared" si="52"/>
        <v/>
      </c>
      <c r="Q845" s="405" t="str" cm="1">
        <f t="array" ref="Q845">+_xlfn.IFS(O845="Nacional","CLP",O845="Extranjero","USD",O845="","")</f>
        <v/>
      </c>
      <c r="R845" s="406" t="str">
        <f>IFERROR(IF(O845="Nacional",VLOOKUP(P845,PRICING!$D$4:$E$59,2,FALSE),VLOOKUP(P845,PRICING!$J$4:$K$59,2,FALSE)),"")</f>
        <v/>
      </c>
      <c r="S845"/>
      <c r="U845" s="406" t="str">
        <f t="shared" si="53"/>
        <v/>
      </c>
      <c r="W845" s="408" t="str">
        <f t="shared" si="54"/>
        <v/>
      </c>
      <c r="X845" s="409" t="str">
        <f t="shared" si="55"/>
        <v/>
      </c>
    </row>
    <row r="846" spans="1:24" ht="16" x14ac:dyDescent="0.25">
      <c r="A846" s="399" t="str">
        <f>IF(B846="","",CONCATENATE("GBL",B846," - ",Mantenedor!E850))</f>
        <v/>
      </c>
      <c r="P846" s="399" t="str">
        <f t="shared" si="52"/>
        <v/>
      </c>
      <c r="Q846" s="405" t="str" cm="1">
        <f t="array" ref="Q846">+_xlfn.IFS(O846="Nacional","CLP",O846="Extranjero","USD",O846="","")</f>
        <v/>
      </c>
      <c r="R846" s="406" t="str">
        <f>IFERROR(IF(O846="Nacional",VLOOKUP(P846,PRICING!$D$4:$E$59,2,FALSE),VLOOKUP(P846,PRICING!$J$4:$K$59,2,FALSE)),"")</f>
        <v/>
      </c>
      <c r="S846"/>
      <c r="U846" s="406" t="str">
        <f t="shared" si="53"/>
        <v/>
      </c>
      <c r="W846" s="408" t="str">
        <f t="shared" si="54"/>
        <v/>
      </c>
      <c r="X846" s="409" t="str">
        <f t="shared" si="55"/>
        <v/>
      </c>
    </row>
    <row r="847" spans="1:24" ht="16" x14ac:dyDescent="0.25">
      <c r="A847" s="399" t="str">
        <f>IF(B847="","",CONCATENATE("GBL",B847," - ",Mantenedor!E851))</f>
        <v/>
      </c>
      <c r="P847" s="399" t="str">
        <f t="shared" si="52"/>
        <v/>
      </c>
      <c r="Q847" s="405" t="str" cm="1">
        <f t="array" ref="Q847">+_xlfn.IFS(O847="Nacional","CLP",O847="Extranjero","USD",O847="","")</f>
        <v/>
      </c>
      <c r="R847" s="406" t="str">
        <f>IFERROR(IF(O847="Nacional",VLOOKUP(P847,PRICING!$D$4:$E$59,2,FALSE),VLOOKUP(P847,PRICING!$J$4:$K$59,2,FALSE)),"")</f>
        <v/>
      </c>
      <c r="S847"/>
      <c r="U847" s="406" t="str">
        <f t="shared" si="53"/>
        <v/>
      </c>
      <c r="W847" s="408" t="str">
        <f t="shared" si="54"/>
        <v/>
      </c>
      <c r="X847" s="409" t="str">
        <f t="shared" si="55"/>
        <v/>
      </c>
    </row>
    <row r="848" spans="1:24" ht="16" x14ac:dyDescent="0.25">
      <c r="A848" s="399" t="str">
        <f>IF(B848="","",CONCATENATE("GBL",B848," - ",Mantenedor!E852))</f>
        <v/>
      </c>
      <c r="P848" s="399" t="str">
        <f t="shared" si="52"/>
        <v/>
      </c>
      <c r="Q848" s="405" t="str" cm="1">
        <f t="array" ref="Q848">+_xlfn.IFS(O848="Nacional","CLP",O848="Extranjero","USD",O848="","")</f>
        <v/>
      </c>
      <c r="R848" s="406" t="str">
        <f>IFERROR(IF(O848="Nacional",VLOOKUP(P848,PRICING!$D$4:$E$59,2,FALSE),VLOOKUP(P848,PRICING!$J$4:$K$59,2,FALSE)),"")</f>
        <v/>
      </c>
      <c r="S848"/>
      <c r="U848" s="406" t="str">
        <f t="shared" si="53"/>
        <v/>
      </c>
      <c r="W848" s="408" t="str">
        <f t="shared" si="54"/>
        <v/>
      </c>
      <c r="X848" s="409" t="str">
        <f t="shared" si="55"/>
        <v/>
      </c>
    </row>
    <row r="849" spans="1:24" ht="16" x14ac:dyDescent="0.25">
      <c r="A849" s="399" t="str">
        <f>IF(B849="","",CONCATENATE("GBL",B849," - ",Mantenedor!E853))</f>
        <v/>
      </c>
      <c r="P849" s="399" t="str">
        <f t="shared" si="52"/>
        <v/>
      </c>
      <c r="Q849" s="405" t="str" cm="1">
        <f t="array" ref="Q849">+_xlfn.IFS(O849="Nacional","CLP",O849="Extranjero","USD",O849="","")</f>
        <v/>
      </c>
      <c r="R849" s="406" t="str">
        <f>IFERROR(IF(O849="Nacional",VLOOKUP(P849,PRICING!$D$4:$E$59,2,FALSE),VLOOKUP(P849,PRICING!$J$4:$K$59,2,FALSE)),"")</f>
        <v/>
      </c>
      <c r="S849"/>
      <c r="U849" s="406" t="str">
        <f t="shared" si="53"/>
        <v/>
      </c>
      <c r="W849" s="408" t="str">
        <f t="shared" si="54"/>
        <v/>
      </c>
      <c r="X849" s="409" t="str">
        <f t="shared" si="55"/>
        <v/>
      </c>
    </row>
    <row r="850" spans="1:24" ht="16" x14ac:dyDescent="0.25">
      <c r="A850" s="399" t="str">
        <f>IF(B850="","",CONCATENATE("GBL",B850," - ",Mantenedor!E854))</f>
        <v/>
      </c>
      <c r="P850" s="399" t="str">
        <f t="shared" si="52"/>
        <v/>
      </c>
      <c r="Q850" s="405" t="str" cm="1">
        <f t="array" ref="Q850">+_xlfn.IFS(O850="Nacional","CLP",O850="Extranjero","USD",O850="","")</f>
        <v/>
      </c>
      <c r="R850" s="406" t="str">
        <f>IFERROR(IF(O850="Nacional",VLOOKUP(P850,PRICING!$D$4:$E$59,2,FALSE),VLOOKUP(P850,PRICING!$J$4:$K$59,2,FALSE)),"")</f>
        <v/>
      </c>
      <c r="S850"/>
      <c r="U850" s="406" t="str">
        <f t="shared" si="53"/>
        <v/>
      </c>
      <c r="W850" s="408" t="str">
        <f t="shared" si="54"/>
        <v/>
      </c>
      <c r="X850" s="409" t="str">
        <f t="shared" si="55"/>
        <v/>
      </c>
    </row>
    <row r="851" spans="1:24" ht="16" x14ac:dyDescent="0.25">
      <c r="A851" s="399" t="str">
        <f>IF(B851="","",CONCATENATE("GBL",B851," - ",Mantenedor!E855))</f>
        <v/>
      </c>
      <c r="P851" s="399" t="str">
        <f t="shared" si="52"/>
        <v/>
      </c>
      <c r="Q851" s="405" t="str" cm="1">
        <f t="array" ref="Q851">+_xlfn.IFS(O851="Nacional","CLP",O851="Extranjero","USD",O851="","")</f>
        <v/>
      </c>
      <c r="R851" s="406" t="str">
        <f>IFERROR(IF(O851="Nacional",VLOOKUP(P851,PRICING!$D$4:$E$59,2,FALSE),VLOOKUP(P851,PRICING!$J$4:$K$59,2,FALSE)),"")</f>
        <v/>
      </c>
      <c r="S851"/>
      <c r="U851" s="406" t="str">
        <f t="shared" si="53"/>
        <v/>
      </c>
      <c r="W851" s="408" t="str">
        <f t="shared" si="54"/>
        <v/>
      </c>
      <c r="X851" s="409" t="str">
        <f t="shared" si="55"/>
        <v/>
      </c>
    </row>
    <row r="852" spans="1:24" ht="16" x14ac:dyDescent="0.25">
      <c r="A852" s="399" t="str">
        <f>IF(B852="","",CONCATENATE("GBL",B852," - ",Mantenedor!E856))</f>
        <v/>
      </c>
      <c r="P852" s="399" t="str">
        <f t="shared" si="52"/>
        <v/>
      </c>
      <c r="Q852" s="405" t="str" cm="1">
        <f t="array" ref="Q852">+_xlfn.IFS(O852="Nacional","CLP",O852="Extranjero","USD",O852="","")</f>
        <v/>
      </c>
      <c r="R852" s="406" t="str">
        <f>IFERROR(IF(O852="Nacional",VLOOKUP(P852,PRICING!$D$4:$E$59,2,FALSE),VLOOKUP(P852,PRICING!$J$4:$K$59,2,FALSE)),"")</f>
        <v/>
      </c>
      <c r="S852"/>
      <c r="U852" s="406" t="str">
        <f t="shared" si="53"/>
        <v/>
      </c>
      <c r="W852" s="408" t="str">
        <f t="shared" si="54"/>
        <v/>
      </c>
      <c r="X852" s="409" t="str">
        <f t="shared" si="55"/>
        <v/>
      </c>
    </row>
    <row r="853" spans="1:24" ht="16" x14ac:dyDescent="0.25">
      <c r="A853" s="399" t="str">
        <f>IF(B853="","",CONCATENATE("GBL",B853," - ",Mantenedor!E857))</f>
        <v/>
      </c>
      <c r="P853" s="399" t="str">
        <f t="shared" si="52"/>
        <v/>
      </c>
      <c r="Q853" s="405" t="str" cm="1">
        <f t="array" ref="Q853">+_xlfn.IFS(O853="Nacional","CLP",O853="Extranjero","USD",O853="","")</f>
        <v/>
      </c>
      <c r="R853" s="406" t="str">
        <f>IFERROR(IF(O853="Nacional",VLOOKUP(P853,PRICING!$D$4:$E$59,2,FALSE),VLOOKUP(P853,PRICING!$J$4:$K$59,2,FALSE)),"")</f>
        <v/>
      </c>
      <c r="S853"/>
      <c r="U853" s="406" t="str">
        <f t="shared" si="53"/>
        <v/>
      </c>
      <c r="W853" s="408" t="str">
        <f t="shared" si="54"/>
        <v/>
      </c>
      <c r="X853" s="409" t="str">
        <f t="shared" si="55"/>
        <v/>
      </c>
    </row>
    <row r="854" spans="1:24" ht="16" x14ac:dyDescent="0.25">
      <c r="A854" s="399" t="str">
        <f>IF(B854="","",CONCATENATE("GBL",B854," - ",Mantenedor!E858))</f>
        <v/>
      </c>
      <c r="P854" s="399" t="str">
        <f t="shared" si="52"/>
        <v/>
      </c>
      <c r="Q854" s="405" t="str" cm="1">
        <f t="array" ref="Q854">+_xlfn.IFS(O854="Nacional","CLP",O854="Extranjero","USD",O854="","")</f>
        <v/>
      </c>
      <c r="R854" s="406" t="str">
        <f>IFERROR(IF(O854="Nacional",VLOOKUP(P854,PRICING!$D$4:$E$59,2,FALSE),VLOOKUP(P854,PRICING!$J$4:$K$59,2,FALSE)),"")</f>
        <v/>
      </c>
      <c r="S854"/>
      <c r="U854" s="406" t="str">
        <f t="shared" si="53"/>
        <v/>
      </c>
      <c r="W854" s="408" t="str">
        <f t="shared" si="54"/>
        <v/>
      </c>
      <c r="X854" s="409" t="str">
        <f t="shared" si="55"/>
        <v/>
      </c>
    </row>
    <row r="855" spans="1:24" ht="16" x14ac:dyDescent="0.25">
      <c r="A855" s="399" t="str">
        <f>IF(B855="","",CONCATENATE("GBL",B855," - ",Mantenedor!E859))</f>
        <v/>
      </c>
      <c r="P855" s="399" t="str">
        <f t="shared" si="52"/>
        <v/>
      </c>
      <c r="Q855" s="405" t="str" cm="1">
        <f t="array" ref="Q855">+_xlfn.IFS(O855="Nacional","CLP",O855="Extranjero","USD",O855="","")</f>
        <v/>
      </c>
      <c r="R855" s="406" t="str">
        <f>IFERROR(IF(O855="Nacional",VLOOKUP(P855,PRICING!$D$4:$E$59,2,FALSE),VLOOKUP(P855,PRICING!$J$4:$K$59,2,FALSE)),"")</f>
        <v/>
      </c>
      <c r="S855"/>
      <c r="U855" s="406" t="str">
        <f t="shared" si="53"/>
        <v/>
      </c>
      <c r="W855" s="408" t="str">
        <f t="shared" si="54"/>
        <v/>
      </c>
      <c r="X855" s="409" t="str">
        <f t="shared" si="55"/>
        <v/>
      </c>
    </row>
    <row r="856" spans="1:24" ht="16" x14ac:dyDescent="0.25">
      <c r="A856" s="399" t="str">
        <f>IF(B856="","",CONCATENATE("GBL",B856," - ",Mantenedor!E860))</f>
        <v/>
      </c>
      <c r="P856" s="399" t="str">
        <f t="shared" si="52"/>
        <v/>
      </c>
      <c r="Q856" s="405" t="str" cm="1">
        <f t="array" ref="Q856">+_xlfn.IFS(O856="Nacional","CLP",O856="Extranjero","USD",O856="","")</f>
        <v/>
      </c>
      <c r="R856" s="406" t="str">
        <f>IFERROR(IF(O856="Nacional",VLOOKUP(P856,PRICING!$D$4:$E$59,2,FALSE),VLOOKUP(P856,PRICING!$J$4:$K$59,2,FALSE)),"")</f>
        <v/>
      </c>
      <c r="S856"/>
      <c r="U856" s="406" t="str">
        <f t="shared" si="53"/>
        <v/>
      </c>
      <c r="W856" s="408" t="str">
        <f t="shared" si="54"/>
        <v/>
      </c>
      <c r="X856" s="409" t="str">
        <f t="shared" si="55"/>
        <v/>
      </c>
    </row>
    <row r="857" spans="1:24" ht="16" x14ac:dyDescent="0.25">
      <c r="A857" s="399" t="str">
        <f>IF(B857="","",CONCATENATE("GBL",B857," - ",Mantenedor!E861))</f>
        <v/>
      </c>
      <c r="P857" s="399" t="str">
        <f t="shared" si="52"/>
        <v/>
      </c>
      <c r="Q857" s="405" t="str" cm="1">
        <f t="array" ref="Q857">+_xlfn.IFS(O857="Nacional","CLP",O857="Extranjero","USD",O857="","")</f>
        <v/>
      </c>
      <c r="R857" s="406" t="str">
        <f>IFERROR(IF(O857="Nacional",VLOOKUP(P857,PRICING!$D$4:$E$59,2,FALSE),VLOOKUP(P857,PRICING!$J$4:$K$59,2,FALSE)),"")</f>
        <v/>
      </c>
      <c r="S857"/>
      <c r="U857" s="406" t="str">
        <f t="shared" si="53"/>
        <v/>
      </c>
      <c r="W857" s="408" t="str">
        <f t="shared" si="54"/>
        <v/>
      </c>
      <c r="X857" s="409" t="str">
        <f t="shared" si="55"/>
        <v/>
      </c>
    </row>
    <row r="858" spans="1:24" ht="16" x14ac:dyDescent="0.25">
      <c r="A858" s="399" t="str">
        <f>IF(B858="","",CONCATENATE("GBL",B858," - ",Mantenedor!E862))</f>
        <v/>
      </c>
      <c r="P858" s="399" t="str">
        <f t="shared" si="52"/>
        <v/>
      </c>
      <c r="Q858" s="405" t="str" cm="1">
        <f t="array" ref="Q858">+_xlfn.IFS(O858="Nacional","CLP",O858="Extranjero","USD",O858="","")</f>
        <v/>
      </c>
      <c r="R858" s="406" t="str">
        <f>IFERROR(IF(O858="Nacional",VLOOKUP(P858,PRICING!$D$4:$E$59,2,FALSE),VLOOKUP(P858,PRICING!$J$4:$K$59,2,FALSE)),"")</f>
        <v/>
      </c>
      <c r="S858"/>
      <c r="U858" s="406" t="str">
        <f t="shared" si="53"/>
        <v/>
      </c>
      <c r="W858" s="408" t="str">
        <f t="shared" si="54"/>
        <v/>
      </c>
      <c r="X858" s="409" t="str">
        <f t="shared" si="55"/>
        <v/>
      </c>
    </row>
    <row r="859" spans="1:24" ht="16" x14ac:dyDescent="0.25">
      <c r="A859" s="399" t="str">
        <f>IF(B859="","",CONCATENATE("GBL",B859," - ",Mantenedor!E863))</f>
        <v/>
      </c>
      <c r="P859" s="399" t="str">
        <f t="shared" si="52"/>
        <v/>
      </c>
      <c r="Q859" s="405" t="str" cm="1">
        <f t="array" ref="Q859">+_xlfn.IFS(O859="Nacional","CLP",O859="Extranjero","USD",O859="","")</f>
        <v/>
      </c>
      <c r="R859" s="406" t="str">
        <f>IFERROR(IF(O859="Nacional",VLOOKUP(P859,PRICING!$D$4:$E$59,2,FALSE),VLOOKUP(P859,PRICING!$J$4:$K$59,2,FALSE)),"")</f>
        <v/>
      </c>
      <c r="S859"/>
      <c r="U859" s="406" t="str">
        <f t="shared" si="53"/>
        <v/>
      </c>
      <c r="W859" s="408" t="str">
        <f t="shared" si="54"/>
        <v/>
      </c>
      <c r="X859" s="409" t="str">
        <f t="shared" si="55"/>
        <v/>
      </c>
    </row>
    <row r="860" spans="1:24" ht="16" x14ac:dyDescent="0.25">
      <c r="A860" s="399" t="str">
        <f>IF(B860="","",CONCATENATE("GBL",B860," - ",Mantenedor!E864))</f>
        <v/>
      </c>
      <c r="P860" s="399" t="str">
        <f t="shared" si="52"/>
        <v/>
      </c>
      <c r="Q860" s="405" t="str" cm="1">
        <f t="array" ref="Q860">+_xlfn.IFS(O860="Nacional","CLP",O860="Extranjero","USD",O860="","")</f>
        <v/>
      </c>
      <c r="R860" s="406" t="str">
        <f>IFERROR(IF(O860="Nacional",VLOOKUP(P860,PRICING!$D$4:$E$59,2,FALSE),VLOOKUP(P860,PRICING!$J$4:$K$59,2,FALSE)),"")</f>
        <v/>
      </c>
      <c r="S860"/>
      <c r="U860" s="406" t="str">
        <f t="shared" si="53"/>
        <v/>
      </c>
      <c r="W860" s="408" t="str">
        <f t="shared" si="54"/>
        <v/>
      </c>
      <c r="X860" s="409" t="str">
        <f t="shared" si="55"/>
        <v/>
      </c>
    </row>
    <row r="861" spans="1:24" ht="16" x14ac:dyDescent="0.25">
      <c r="A861" s="399" t="str">
        <f>IF(B861="","",CONCATENATE("GBL",B861," - ",Mantenedor!E865))</f>
        <v/>
      </c>
      <c r="P861" s="399" t="str">
        <f t="shared" si="52"/>
        <v/>
      </c>
      <c r="Q861" s="405" t="str" cm="1">
        <f t="array" ref="Q861">+_xlfn.IFS(O861="Nacional","CLP",O861="Extranjero","USD",O861="","")</f>
        <v/>
      </c>
      <c r="R861" s="406" t="str">
        <f>IFERROR(IF(O861="Nacional",VLOOKUP(P861,PRICING!$D$4:$E$59,2,FALSE),VLOOKUP(P861,PRICING!$J$4:$K$59,2,FALSE)),"")</f>
        <v/>
      </c>
      <c r="S861"/>
      <c r="U861" s="406" t="str">
        <f t="shared" si="53"/>
        <v/>
      </c>
      <c r="W861" s="408" t="str">
        <f t="shared" si="54"/>
        <v/>
      </c>
      <c r="X861" s="409" t="str">
        <f t="shared" si="55"/>
        <v/>
      </c>
    </row>
    <row r="862" spans="1:24" ht="16" x14ac:dyDescent="0.25">
      <c r="A862" s="399" t="str">
        <f>IF(B862="","",CONCATENATE("GBL",B862," - ",Mantenedor!E866))</f>
        <v/>
      </c>
      <c r="P862" s="399" t="str">
        <f t="shared" si="52"/>
        <v/>
      </c>
      <c r="Q862" s="405" t="str" cm="1">
        <f t="array" ref="Q862">+_xlfn.IFS(O862="Nacional","CLP",O862="Extranjero","USD",O862="","")</f>
        <v/>
      </c>
      <c r="R862" s="406" t="str">
        <f>IFERROR(IF(O862="Nacional",VLOOKUP(P862,PRICING!$D$4:$E$59,2,FALSE),VLOOKUP(P862,PRICING!$J$4:$K$59,2,FALSE)),"")</f>
        <v/>
      </c>
      <c r="S862"/>
      <c r="U862" s="406" t="str">
        <f t="shared" si="53"/>
        <v/>
      </c>
      <c r="W862" s="408" t="str">
        <f t="shared" si="54"/>
        <v/>
      </c>
      <c r="X862" s="409" t="str">
        <f t="shared" si="55"/>
        <v/>
      </c>
    </row>
    <row r="863" spans="1:24" ht="16" x14ac:dyDescent="0.25">
      <c r="A863" s="399" t="str">
        <f>IF(B863="","",CONCATENATE("GBL",B863," - ",Mantenedor!E867))</f>
        <v/>
      </c>
      <c r="P863" s="399" t="str">
        <f t="shared" si="52"/>
        <v/>
      </c>
      <c r="Q863" s="405" t="str" cm="1">
        <f t="array" ref="Q863">+_xlfn.IFS(O863="Nacional","CLP",O863="Extranjero","USD",O863="","")</f>
        <v/>
      </c>
      <c r="R863" s="406" t="str">
        <f>IFERROR(IF(O863="Nacional",VLOOKUP(P863,PRICING!$D$4:$E$59,2,FALSE),VLOOKUP(P863,PRICING!$J$4:$K$59,2,FALSE)),"")</f>
        <v/>
      </c>
      <c r="S863"/>
      <c r="U863" s="406" t="str">
        <f t="shared" si="53"/>
        <v/>
      </c>
      <c r="W863" s="408" t="str">
        <f t="shared" si="54"/>
        <v/>
      </c>
      <c r="X863" s="409" t="str">
        <f t="shared" si="55"/>
        <v/>
      </c>
    </row>
    <row r="864" spans="1:24" ht="16" x14ac:dyDescent="0.25">
      <c r="A864" s="399" t="str">
        <f>IF(B864="","",CONCATENATE("GBL",B864," - ",Mantenedor!E868))</f>
        <v/>
      </c>
      <c r="P864" s="399" t="str">
        <f t="shared" si="52"/>
        <v/>
      </c>
      <c r="Q864" s="405" t="str" cm="1">
        <f t="array" ref="Q864">+_xlfn.IFS(O864="Nacional","CLP",O864="Extranjero","USD",O864="","")</f>
        <v/>
      </c>
      <c r="R864" s="406" t="str">
        <f>IFERROR(IF(O864="Nacional",VLOOKUP(P864,PRICING!$D$4:$E$59,2,FALSE),VLOOKUP(P864,PRICING!$J$4:$K$59,2,FALSE)),"")</f>
        <v/>
      </c>
      <c r="S864"/>
      <c r="U864" s="406" t="str">
        <f t="shared" si="53"/>
        <v/>
      </c>
      <c r="W864" s="408" t="str">
        <f t="shared" si="54"/>
        <v/>
      </c>
      <c r="X864" s="409" t="str">
        <f t="shared" si="55"/>
        <v/>
      </c>
    </row>
    <row r="865" spans="1:24" ht="16" x14ac:dyDescent="0.25">
      <c r="A865" s="399" t="str">
        <f>IF(B865="","",CONCATENATE("GBL",B865," - ",Mantenedor!E869))</f>
        <v/>
      </c>
      <c r="P865" s="399" t="str">
        <f t="shared" si="52"/>
        <v/>
      </c>
      <c r="Q865" s="405" t="str" cm="1">
        <f t="array" ref="Q865">+_xlfn.IFS(O865="Nacional","CLP",O865="Extranjero","USD",O865="","")</f>
        <v/>
      </c>
      <c r="R865" s="406" t="str">
        <f>IFERROR(IF(O865="Nacional",VLOOKUP(P865,PRICING!$D$4:$E$59,2,FALSE),VLOOKUP(P865,PRICING!$J$4:$K$59,2,FALSE)),"")</f>
        <v/>
      </c>
      <c r="S865"/>
      <c r="U865" s="406" t="str">
        <f t="shared" si="53"/>
        <v/>
      </c>
      <c r="W865" s="408" t="str">
        <f t="shared" si="54"/>
        <v/>
      </c>
      <c r="X865" s="409" t="str">
        <f t="shared" si="55"/>
        <v/>
      </c>
    </row>
    <row r="866" spans="1:24" ht="16" x14ac:dyDescent="0.25">
      <c r="A866" s="399" t="str">
        <f>IF(B866="","",CONCATENATE("GBL",B866," - ",Mantenedor!E870))</f>
        <v/>
      </c>
      <c r="P866" s="399" t="str">
        <f t="shared" si="52"/>
        <v/>
      </c>
      <c r="Q866" s="405" t="str" cm="1">
        <f t="array" ref="Q866">+_xlfn.IFS(O866="Nacional","CLP",O866="Extranjero","USD",O866="","")</f>
        <v/>
      </c>
      <c r="R866" s="406" t="str">
        <f>IFERROR(IF(O866="Nacional",VLOOKUP(P866,PRICING!$D$4:$E$59,2,FALSE),VLOOKUP(P866,PRICING!$J$4:$K$59,2,FALSE)),"")</f>
        <v/>
      </c>
      <c r="S866"/>
      <c r="U866" s="406" t="str">
        <f t="shared" si="53"/>
        <v/>
      </c>
      <c r="W866" s="408" t="str">
        <f t="shared" si="54"/>
        <v/>
      </c>
      <c r="X866" s="409" t="str">
        <f t="shared" si="55"/>
        <v/>
      </c>
    </row>
    <row r="867" spans="1:24" ht="16" x14ac:dyDescent="0.25">
      <c r="A867" s="399" t="str">
        <f>IF(B867="","",CONCATENATE("GBL",B867," - ",Mantenedor!E871))</f>
        <v/>
      </c>
      <c r="P867" s="399" t="str">
        <f t="shared" si="52"/>
        <v/>
      </c>
      <c r="Q867" s="405" t="str" cm="1">
        <f t="array" ref="Q867">+_xlfn.IFS(O867="Nacional","CLP",O867="Extranjero","USD",O867="","")</f>
        <v/>
      </c>
      <c r="R867" s="406" t="str">
        <f>IFERROR(IF(O867="Nacional",VLOOKUP(P867,PRICING!$D$4:$E$59,2,FALSE),VLOOKUP(P867,PRICING!$J$4:$K$59,2,FALSE)),"")</f>
        <v/>
      </c>
      <c r="S867"/>
      <c r="U867" s="406" t="str">
        <f t="shared" si="53"/>
        <v/>
      </c>
      <c r="W867" s="408" t="str">
        <f t="shared" si="54"/>
        <v/>
      </c>
      <c r="X867" s="409" t="str">
        <f t="shared" si="55"/>
        <v/>
      </c>
    </row>
    <row r="868" spans="1:24" ht="16" x14ac:dyDescent="0.25">
      <c r="A868" s="399" t="str">
        <f>IF(B868="","",CONCATENATE("GBL",B868," - ",Mantenedor!E872))</f>
        <v/>
      </c>
      <c r="P868" s="399" t="str">
        <f t="shared" si="52"/>
        <v/>
      </c>
      <c r="Q868" s="405" t="str" cm="1">
        <f t="array" ref="Q868">+_xlfn.IFS(O868="Nacional","CLP",O868="Extranjero","USD",O868="","")</f>
        <v/>
      </c>
      <c r="R868" s="406" t="str">
        <f>IFERROR(IF(O868="Nacional",VLOOKUP(P868,PRICING!$D$4:$E$59,2,FALSE),VLOOKUP(P868,PRICING!$J$4:$K$59,2,FALSE)),"")</f>
        <v/>
      </c>
      <c r="S868"/>
      <c r="U868" s="406" t="str">
        <f t="shared" si="53"/>
        <v/>
      </c>
      <c r="W868" s="408" t="str">
        <f t="shared" si="54"/>
        <v/>
      </c>
      <c r="X868" s="409" t="str">
        <f t="shared" si="55"/>
        <v/>
      </c>
    </row>
    <row r="869" spans="1:24" ht="16" x14ac:dyDescent="0.25">
      <c r="A869" s="399" t="str">
        <f>IF(B869="","",CONCATENATE("GBL",B869," - ",Mantenedor!E873))</f>
        <v/>
      </c>
      <c r="P869" s="399" t="str">
        <f t="shared" si="52"/>
        <v/>
      </c>
      <c r="Q869" s="405" t="str" cm="1">
        <f t="array" ref="Q869">+_xlfn.IFS(O869="Nacional","CLP",O869="Extranjero","USD",O869="","")</f>
        <v/>
      </c>
      <c r="R869" s="406" t="str">
        <f>IFERROR(IF(O869="Nacional",VLOOKUP(P869,PRICING!$D$4:$E$59,2,FALSE),VLOOKUP(P869,PRICING!$J$4:$K$59,2,FALSE)),"")</f>
        <v/>
      </c>
      <c r="S869"/>
      <c r="U869" s="406" t="str">
        <f t="shared" si="53"/>
        <v/>
      </c>
      <c r="W869" s="408" t="str">
        <f t="shared" si="54"/>
        <v/>
      </c>
      <c r="X869" s="409" t="str">
        <f t="shared" si="55"/>
        <v/>
      </c>
    </row>
    <row r="870" spans="1:24" ht="16" x14ac:dyDescent="0.25">
      <c r="A870" s="399" t="str">
        <f>IF(B870="","",CONCATENATE("GBL",B870," - ",Mantenedor!E874))</f>
        <v/>
      </c>
      <c r="P870" s="399" t="str">
        <f t="shared" si="52"/>
        <v/>
      </c>
      <c r="Q870" s="405" t="str" cm="1">
        <f t="array" ref="Q870">+_xlfn.IFS(O870="Nacional","CLP",O870="Extranjero","USD",O870="","")</f>
        <v/>
      </c>
      <c r="R870" s="406" t="str">
        <f>IFERROR(IF(O870="Nacional",VLOOKUP(P870,PRICING!$D$4:$E$59,2,FALSE),VLOOKUP(P870,PRICING!$J$4:$K$59,2,FALSE)),"")</f>
        <v/>
      </c>
      <c r="S870"/>
      <c r="U870" s="406" t="str">
        <f t="shared" si="53"/>
        <v/>
      </c>
      <c r="W870" s="408" t="str">
        <f t="shared" si="54"/>
        <v/>
      </c>
      <c r="X870" s="409" t="str">
        <f t="shared" si="55"/>
        <v/>
      </c>
    </row>
    <row r="871" spans="1:24" ht="16" x14ac:dyDescent="0.25">
      <c r="A871" s="399" t="str">
        <f>IF(B871="","",CONCATENATE("GBL",B871," - ",Mantenedor!E875))</f>
        <v/>
      </c>
      <c r="P871" s="399" t="str">
        <f t="shared" si="52"/>
        <v/>
      </c>
      <c r="Q871" s="405" t="str" cm="1">
        <f t="array" ref="Q871">+_xlfn.IFS(O871="Nacional","CLP",O871="Extranjero","USD",O871="","")</f>
        <v/>
      </c>
      <c r="R871" s="406" t="str">
        <f>IFERROR(IF(O871="Nacional",VLOOKUP(P871,PRICING!$D$4:$E$59,2,FALSE),VLOOKUP(P871,PRICING!$J$4:$K$59,2,FALSE)),"")</f>
        <v/>
      </c>
      <c r="S871"/>
      <c r="U871" s="406" t="str">
        <f t="shared" si="53"/>
        <v/>
      </c>
      <c r="W871" s="408" t="str">
        <f t="shared" si="54"/>
        <v/>
      </c>
      <c r="X871" s="409" t="str">
        <f t="shared" si="55"/>
        <v/>
      </c>
    </row>
    <row r="872" spans="1:24" ht="16" x14ac:dyDescent="0.25">
      <c r="A872" s="399" t="str">
        <f>IF(B872="","",CONCATENATE("GBL",B872," - ",Mantenedor!E876))</f>
        <v/>
      </c>
      <c r="P872" s="399" t="str">
        <f t="shared" si="52"/>
        <v/>
      </c>
      <c r="Q872" s="405" t="str" cm="1">
        <f t="array" ref="Q872">+_xlfn.IFS(O872="Nacional","CLP",O872="Extranjero","USD",O872="","")</f>
        <v/>
      </c>
      <c r="R872" s="406" t="str">
        <f>IFERROR(IF(O872="Nacional",VLOOKUP(P872,PRICING!$D$4:$E$59,2,FALSE),VLOOKUP(P872,PRICING!$J$4:$K$59,2,FALSE)),"")</f>
        <v/>
      </c>
      <c r="S872"/>
      <c r="U872" s="406" t="str">
        <f t="shared" si="53"/>
        <v/>
      </c>
      <c r="W872" s="408" t="str">
        <f t="shared" si="54"/>
        <v/>
      </c>
      <c r="X872" s="409" t="str">
        <f t="shared" si="55"/>
        <v/>
      </c>
    </row>
    <row r="873" spans="1:24" ht="16" x14ac:dyDescent="0.25">
      <c r="A873" s="399" t="str">
        <f>IF(B873="","",CONCATENATE("GBL",B873," - ",Mantenedor!E877))</f>
        <v/>
      </c>
      <c r="P873" s="399" t="str">
        <f t="shared" si="52"/>
        <v/>
      </c>
      <c r="Q873" s="405" t="str" cm="1">
        <f t="array" ref="Q873">+_xlfn.IFS(O873="Nacional","CLP",O873="Extranjero","USD",O873="","")</f>
        <v/>
      </c>
      <c r="R873" s="406" t="str">
        <f>IFERROR(IF(O873="Nacional",VLOOKUP(P873,PRICING!$D$4:$E$59,2,FALSE),VLOOKUP(P873,PRICING!$J$4:$K$59,2,FALSE)),"")</f>
        <v/>
      </c>
      <c r="S873"/>
      <c r="U873" s="406" t="str">
        <f t="shared" si="53"/>
        <v/>
      </c>
      <c r="W873" s="408" t="str">
        <f t="shared" si="54"/>
        <v/>
      </c>
      <c r="X873" s="409" t="str">
        <f t="shared" si="55"/>
        <v/>
      </c>
    </row>
    <row r="874" spans="1:24" ht="16" x14ac:dyDescent="0.25">
      <c r="A874" s="399" t="str">
        <f>IF(B874="","",CONCATENATE("GBL",B874," - ",Mantenedor!E878))</f>
        <v/>
      </c>
      <c r="P874" s="399" t="str">
        <f t="shared" si="52"/>
        <v/>
      </c>
      <c r="Q874" s="405" t="str" cm="1">
        <f t="array" ref="Q874">+_xlfn.IFS(O874="Nacional","CLP",O874="Extranjero","USD",O874="","")</f>
        <v/>
      </c>
      <c r="R874" s="406" t="str">
        <f>IFERROR(IF(O874="Nacional",VLOOKUP(P874,PRICING!$D$4:$E$59,2,FALSE),VLOOKUP(P874,PRICING!$J$4:$K$59,2,FALSE)),"")</f>
        <v/>
      </c>
      <c r="S874"/>
      <c r="U874" s="406" t="str">
        <f t="shared" si="53"/>
        <v/>
      </c>
      <c r="W874" s="408" t="str">
        <f t="shared" si="54"/>
        <v/>
      </c>
      <c r="X874" s="409" t="str">
        <f t="shared" si="55"/>
        <v/>
      </c>
    </row>
    <row r="875" spans="1:24" ht="16" x14ac:dyDescent="0.25">
      <c r="A875" s="399" t="str">
        <f>IF(B875="","",CONCATENATE("GBL",B875," - ",Mantenedor!E879))</f>
        <v/>
      </c>
      <c r="P875" s="399" t="str">
        <f t="shared" si="52"/>
        <v/>
      </c>
      <c r="Q875" s="405" t="str" cm="1">
        <f t="array" ref="Q875">+_xlfn.IFS(O875="Nacional","CLP",O875="Extranjero","USD",O875="","")</f>
        <v/>
      </c>
      <c r="R875" s="406" t="str">
        <f>IFERROR(IF(O875="Nacional",VLOOKUP(P875,PRICING!$D$4:$E$59,2,FALSE),VLOOKUP(P875,PRICING!$J$4:$K$59,2,FALSE)),"")</f>
        <v/>
      </c>
      <c r="S875"/>
      <c r="U875" s="406" t="str">
        <f t="shared" si="53"/>
        <v/>
      </c>
      <c r="W875" s="408" t="str">
        <f t="shared" si="54"/>
        <v/>
      </c>
      <c r="X875" s="409" t="str">
        <f t="shared" si="55"/>
        <v/>
      </c>
    </row>
    <row r="876" spans="1:24" ht="16" x14ac:dyDescent="0.25">
      <c r="A876" s="399" t="str">
        <f>IF(B876="","",CONCATENATE("GBL",B876," - ",Mantenedor!E880))</f>
        <v/>
      </c>
      <c r="P876" s="399" t="str">
        <f t="shared" si="52"/>
        <v/>
      </c>
      <c r="Q876" s="405" t="str" cm="1">
        <f t="array" ref="Q876">+_xlfn.IFS(O876="Nacional","CLP",O876="Extranjero","USD",O876="","")</f>
        <v/>
      </c>
      <c r="R876" s="406" t="str">
        <f>IFERROR(IF(O876="Nacional",VLOOKUP(P876,PRICING!$D$4:$E$59,2,FALSE),VLOOKUP(P876,PRICING!$J$4:$K$59,2,FALSE)),"")</f>
        <v/>
      </c>
      <c r="S876"/>
      <c r="U876" s="406" t="str">
        <f t="shared" si="53"/>
        <v/>
      </c>
      <c r="W876" s="408" t="str">
        <f t="shared" si="54"/>
        <v/>
      </c>
      <c r="X876" s="409" t="str">
        <f t="shared" si="55"/>
        <v/>
      </c>
    </row>
    <row r="877" spans="1:24" ht="16" x14ac:dyDescent="0.25">
      <c r="A877" s="399" t="str">
        <f>IF(B877="","",CONCATENATE("GBL",B877," - ",Mantenedor!E881))</f>
        <v/>
      </c>
      <c r="P877" s="399" t="str">
        <f t="shared" si="52"/>
        <v/>
      </c>
      <c r="Q877" s="405" t="str" cm="1">
        <f t="array" ref="Q877">+_xlfn.IFS(O877="Nacional","CLP",O877="Extranjero","USD",O877="","")</f>
        <v/>
      </c>
      <c r="R877" s="406" t="str">
        <f>IFERROR(IF(O877="Nacional",VLOOKUP(P877,PRICING!$D$4:$E$59,2,FALSE),VLOOKUP(P877,PRICING!$J$4:$K$59,2,FALSE)),"")</f>
        <v/>
      </c>
      <c r="S877"/>
      <c r="U877" s="406" t="str">
        <f t="shared" si="53"/>
        <v/>
      </c>
      <c r="W877" s="408" t="str">
        <f t="shared" si="54"/>
        <v/>
      </c>
      <c r="X877" s="409" t="str">
        <f t="shared" si="55"/>
        <v/>
      </c>
    </row>
    <row r="878" spans="1:24" ht="16" x14ac:dyDescent="0.25">
      <c r="A878" s="399" t="str">
        <f>IF(B878="","",CONCATENATE("GBL",B878," - ",Mantenedor!E882))</f>
        <v/>
      </c>
      <c r="P878" s="399" t="str">
        <f t="shared" si="52"/>
        <v/>
      </c>
      <c r="Q878" s="405" t="str" cm="1">
        <f t="array" ref="Q878">+_xlfn.IFS(O878="Nacional","CLP",O878="Extranjero","USD",O878="","")</f>
        <v/>
      </c>
      <c r="R878" s="406" t="str">
        <f>IFERROR(IF(O878="Nacional",VLOOKUP(P878,PRICING!$D$4:$E$59,2,FALSE),VLOOKUP(P878,PRICING!$J$4:$K$59,2,FALSE)),"")</f>
        <v/>
      </c>
      <c r="S878"/>
      <c r="U878" s="406" t="str">
        <f t="shared" si="53"/>
        <v/>
      </c>
      <c r="W878" s="408" t="str">
        <f t="shared" si="54"/>
        <v/>
      </c>
      <c r="X878" s="409" t="str">
        <f t="shared" si="55"/>
        <v/>
      </c>
    </row>
    <row r="879" spans="1:24" ht="16" x14ac:dyDescent="0.25">
      <c r="A879" s="399" t="str">
        <f>IF(B879="","",CONCATENATE("GBL",B879," - ",Mantenedor!E883))</f>
        <v/>
      </c>
      <c r="P879" s="399" t="str">
        <f t="shared" si="52"/>
        <v/>
      </c>
      <c r="Q879" s="405" t="str" cm="1">
        <f t="array" ref="Q879">+_xlfn.IFS(O879="Nacional","CLP",O879="Extranjero","USD",O879="","")</f>
        <v/>
      </c>
      <c r="R879" s="406" t="str">
        <f>IFERROR(IF(O879="Nacional",VLOOKUP(P879,PRICING!$D$4:$E$59,2,FALSE),VLOOKUP(P879,PRICING!$J$4:$K$59,2,FALSE)),"")</f>
        <v/>
      </c>
      <c r="S879"/>
      <c r="U879" s="406" t="str">
        <f t="shared" si="53"/>
        <v/>
      </c>
      <c r="W879" s="408" t="str">
        <f t="shared" si="54"/>
        <v/>
      </c>
      <c r="X879" s="409" t="str">
        <f t="shared" si="55"/>
        <v/>
      </c>
    </row>
    <row r="880" spans="1:24" ht="16" x14ac:dyDescent="0.25">
      <c r="A880" s="399" t="str">
        <f>IF(B880="","",CONCATENATE("GBL",B880," - ",Mantenedor!E884))</f>
        <v/>
      </c>
      <c r="P880" s="399" t="str">
        <f t="shared" si="52"/>
        <v/>
      </c>
      <c r="Q880" s="405" t="str" cm="1">
        <f t="array" ref="Q880">+_xlfn.IFS(O880="Nacional","CLP",O880="Extranjero","USD",O880="","")</f>
        <v/>
      </c>
      <c r="R880" s="406" t="str">
        <f>IFERROR(IF(O880="Nacional",VLOOKUP(P880,PRICING!$D$4:$E$59,2,FALSE),VLOOKUP(P880,PRICING!$J$4:$K$59,2,FALSE)),"")</f>
        <v/>
      </c>
      <c r="S880"/>
      <c r="U880" s="406" t="str">
        <f t="shared" si="53"/>
        <v/>
      </c>
      <c r="W880" s="408" t="str">
        <f t="shared" si="54"/>
        <v/>
      </c>
      <c r="X880" s="409" t="str">
        <f t="shared" si="55"/>
        <v/>
      </c>
    </row>
    <row r="881" spans="1:24" ht="16" x14ac:dyDescent="0.25">
      <c r="A881" s="399" t="str">
        <f>IF(B881="","",CONCATENATE("GBL",B881," - ",Mantenedor!E885))</f>
        <v/>
      </c>
      <c r="P881" s="399" t="str">
        <f t="shared" si="52"/>
        <v/>
      </c>
      <c r="Q881" s="405" t="str" cm="1">
        <f t="array" ref="Q881">+_xlfn.IFS(O881="Nacional","CLP",O881="Extranjero","USD",O881="","")</f>
        <v/>
      </c>
      <c r="R881" s="406" t="str">
        <f>IFERROR(IF(O881="Nacional",VLOOKUP(P881,PRICING!$D$4:$E$59,2,FALSE),VLOOKUP(P881,PRICING!$J$4:$K$59,2,FALSE)),"")</f>
        <v/>
      </c>
      <c r="S881"/>
      <c r="U881" s="406" t="str">
        <f t="shared" si="53"/>
        <v/>
      </c>
      <c r="W881" s="408" t="str">
        <f t="shared" si="54"/>
        <v/>
      </c>
      <c r="X881" s="409" t="str">
        <f t="shared" si="55"/>
        <v/>
      </c>
    </row>
    <row r="882" spans="1:24" ht="16" x14ac:dyDescent="0.25">
      <c r="A882" s="399" t="str">
        <f>IF(B882="","",CONCATENATE("GBL",B882," - ",Mantenedor!E886))</f>
        <v/>
      </c>
      <c r="P882" s="399" t="str">
        <f t="shared" si="52"/>
        <v/>
      </c>
      <c r="Q882" s="405" t="str" cm="1">
        <f t="array" ref="Q882">+_xlfn.IFS(O882="Nacional","CLP",O882="Extranjero","USD",O882="","")</f>
        <v/>
      </c>
      <c r="R882" s="406" t="str">
        <f>IFERROR(IF(O882="Nacional",VLOOKUP(P882,PRICING!$D$4:$E$59,2,FALSE),VLOOKUP(P882,PRICING!$J$4:$K$59,2,FALSE)),"")</f>
        <v/>
      </c>
      <c r="S882"/>
      <c r="U882" s="406" t="str">
        <f t="shared" si="53"/>
        <v/>
      </c>
      <c r="W882" s="408" t="str">
        <f t="shared" si="54"/>
        <v/>
      </c>
      <c r="X882" s="409" t="str">
        <f t="shared" si="55"/>
        <v/>
      </c>
    </row>
    <row r="883" spans="1:24" ht="16" x14ac:dyDescent="0.25">
      <c r="A883" s="399" t="str">
        <f>IF(B883="","",CONCATENATE("GBL",B883," - ",Mantenedor!E887))</f>
        <v/>
      </c>
      <c r="P883" s="399" t="str">
        <f t="shared" si="52"/>
        <v/>
      </c>
      <c r="Q883" s="405" t="str" cm="1">
        <f t="array" ref="Q883">+_xlfn.IFS(O883="Nacional","CLP",O883="Extranjero","USD",O883="","")</f>
        <v/>
      </c>
      <c r="R883" s="406" t="str">
        <f>IFERROR(IF(O883="Nacional",VLOOKUP(P883,PRICING!$D$4:$E$59,2,FALSE),VLOOKUP(P883,PRICING!$J$4:$K$59,2,FALSE)),"")</f>
        <v/>
      </c>
      <c r="S883"/>
      <c r="U883" s="406" t="str">
        <f t="shared" si="53"/>
        <v/>
      </c>
      <c r="W883" s="408" t="str">
        <f t="shared" si="54"/>
        <v/>
      </c>
      <c r="X883" s="409" t="str">
        <f t="shared" si="55"/>
        <v/>
      </c>
    </row>
    <row r="884" spans="1:24" ht="16" x14ac:dyDescent="0.25">
      <c r="A884" s="399" t="str">
        <f>IF(B884="","",CONCATENATE("GBL",B884," - ",Mantenedor!E888))</f>
        <v/>
      </c>
      <c r="P884" s="399" t="str">
        <f t="shared" si="52"/>
        <v/>
      </c>
      <c r="Q884" s="405" t="str" cm="1">
        <f t="array" ref="Q884">+_xlfn.IFS(O884="Nacional","CLP",O884="Extranjero","USD",O884="","")</f>
        <v/>
      </c>
      <c r="R884" s="406" t="str">
        <f>IFERROR(IF(O884="Nacional",VLOOKUP(P884,PRICING!$D$4:$E$59,2,FALSE),VLOOKUP(P884,PRICING!$J$4:$K$59,2,FALSE)),"")</f>
        <v/>
      </c>
      <c r="S884"/>
      <c r="U884" s="406" t="str">
        <f t="shared" si="53"/>
        <v/>
      </c>
      <c r="W884" s="408" t="str">
        <f t="shared" si="54"/>
        <v/>
      </c>
      <c r="X884" s="409" t="str">
        <f t="shared" si="55"/>
        <v/>
      </c>
    </row>
    <row r="885" spans="1:24" ht="16" x14ac:dyDescent="0.25">
      <c r="A885" s="399" t="str">
        <f>IF(B885="","",CONCATENATE("GBL",B885," - ",Mantenedor!E889))</f>
        <v/>
      </c>
      <c r="P885" s="399" t="str">
        <f t="shared" si="52"/>
        <v/>
      </c>
      <c r="Q885" s="405" t="str" cm="1">
        <f t="array" ref="Q885">+_xlfn.IFS(O885="Nacional","CLP",O885="Extranjero","USD",O885="","")</f>
        <v/>
      </c>
      <c r="R885" s="406" t="str">
        <f>IFERROR(IF(O885="Nacional",VLOOKUP(P885,PRICING!$D$4:$E$59,2,FALSE),VLOOKUP(P885,PRICING!$J$4:$K$59,2,FALSE)),"")</f>
        <v/>
      </c>
      <c r="S885"/>
      <c r="U885" s="406" t="str">
        <f t="shared" si="53"/>
        <v/>
      </c>
      <c r="W885" s="408" t="str">
        <f t="shared" si="54"/>
        <v/>
      </c>
      <c r="X885" s="409" t="str">
        <f t="shared" si="55"/>
        <v/>
      </c>
    </row>
    <row r="886" spans="1:24" ht="16" x14ac:dyDescent="0.25">
      <c r="A886" s="399" t="str">
        <f>IF(B886="","",CONCATENATE("GBL",B886," - ",Mantenedor!E890))</f>
        <v/>
      </c>
      <c r="P886" s="399" t="str">
        <f t="shared" si="52"/>
        <v/>
      </c>
      <c r="Q886" s="405" t="str" cm="1">
        <f t="array" ref="Q886">+_xlfn.IFS(O886="Nacional","CLP",O886="Extranjero","USD",O886="","")</f>
        <v/>
      </c>
      <c r="R886" s="406" t="str">
        <f>IFERROR(IF(O886="Nacional",VLOOKUP(P886,PRICING!$D$4:$E$59,2,FALSE),VLOOKUP(P886,PRICING!$J$4:$K$59,2,FALSE)),"")</f>
        <v/>
      </c>
      <c r="S886"/>
      <c r="U886" s="406" t="str">
        <f t="shared" si="53"/>
        <v/>
      </c>
      <c r="W886" s="408" t="str">
        <f t="shared" si="54"/>
        <v/>
      </c>
      <c r="X886" s="409" t="str">
        <f t="shared" si="55"/>
        <v/>
      </c>
    </row>
    <row r="887" spans="1:24" ht="16" x14ac:dyDescent="0.25">
      <c r="A887" s="399" t="str">
        <f>IF(B887="","",CONCATENATE("GBL",B887," - ",Mantenedor!E891))</f>
        <v/>
      </c>
      <c r="P887" s="399" t="str">
        <f t="shared" si="52"/>
        <v/>
      </c>
      <c r="Q887" s="405" t="str" cm="1">
        <f t="array" ref="Q887">+_xlfn.IFS(O887="Nacional","CLP",O887="Extranjero","USD",O887="","")</f>
        <v/>
      </c>
      <c r="R887" s="406" t="str">
        <f>IFERROR(IF(O887="Nacional",VLOOKUP(P887,PRICING!$D$4:$E$59,2,FALSE),VLOOKUP(P887,PRICING!$J$4:$K$59,2,FALSE)),"")</f>
        <v/>
      </c>
      <c r="S887"/>
      <c r="U887" s="406" t="str">
        <f t="shared" si="53"/>
        <v/>
      </c>
      <c r="W887" s="408" t="str">
        <f t="shared" si="54"/>
        <v/>
      </c>
      <c r="X887" s="409" t="str">
        <f t="shared" si="55"/>
        <v/>
      </c>
    </row>
    <row r="888" spans="1:24" ht="16" x14ac:dyDescent="0.25">
      <c r="A888" s="399" t="str">
        <f>IF(B888="","",CONCATENATE("GBL",B888," - ",Mantenedor!E892))</f>
        <v/>
      </c>
      <c r="P888" s="399" t="str">
        <f t="shared" si="52"/>
        <v/>
      </c>
      <c r="Q888" s="405" t="str" cm="1">
        <f t="array" ref="Q888">+_xlfn.IFS(O888="Nacional","CLP",O888="Extranjero","USD",O888="","")</f>
        <v/>
      </c>
      <c r="R888" s="406" t="str">
        <f>IFERROR(IF(O888="Nacional",VLOOKUP(P888,PRICING!$D$4:$E$59,2,FALSE),VLOOKUP(P888,PRICING!$J$4:$K$59,2,FALSE)),"")</f>
        <v/>
      </c>
      <c r="S888"/>
      <c r="U888" s="406" t="str">
        <f t="shared" si="53"/>
        <v/>
      </c>
      <c r="W888" s="408" t="str">
        <f t="shared" si="54"/>
        <v/>
      </c>
      <c r="X888" s="409" t="str">
        <f t="shared" si="55"/>
        <v/>
      </c>
    </row>
    <row r="889" spans="1:24" ht="16" x14ac:dyDescent="0.25">
      <c r="A889" s="399" t="str">
        <f>IF(B889="","",CONCATENATE("GBL",B889," - ",Mantenedor!E893))</f>
        <v/>
      </c>
      <c r="P889" s="399" t="str">
        <f t="shared" si="52"/>
        <v/>
      </c>
      <c r="Q889" s="405" t="str" cm="1">
        <f t="array" ref="Q889">+_xlfn.IFS(O889="Nacional","CLP",O889="Extranjero","USD",O889="","")</f>
        <v/>
      </c>
      <c r="R889" s="406" t="str">
        <f>IFERROR(IF(O889="Nacional",VLOOKUP(P889,PRICING!$D$4:$E$59,2,FALSE),VLOOKUP(P889,PRICING!$J$4:$K$59,2,FALSE)),"")</f>
        <v/>
      </c>
      <c r="S889"/>
      <c r="U889" s="406" t="str">
        <f t="shared" si="53"/>
        <v/>
      </c>
      <c r="W889" s="408" t="str">
        <f t="shared" si="54"/>
        <v/>
      </c>
      <c r="X889" s="409" t="str">
        <f t="shared" si="55"/>
        <v/>
      </c>
    </row>
    <row r="890" spans="1:24" ht="16" x14ac:dyDescent="0.25">
      <c r="A890" s="399" t="str">
        <f>IF(B890="","",CONCATENATE("GBL",B890," - ",Mantenedor!E894))</f>
        <v/>
      </c>
      <c r="P890" s="399" t="str">
        <f t="shared" si="52"/>
        <v/>
      </c>
      <c r="Q890" s="405" t="str" cm="1">
        <f t="array" ref="Q890">+_xlfn.IFS(O890="Nacional","CLP",O890="Extranjero","USD",O890="","")</f>
        <v/>
      </c>
      <c r="R890" s="406" t="str">
        <f>IFERROR(IF(O890="Nacional",VLOOKUP(P890,PRICING!$D$4:$E$59,2,FALSE),VLOOKUP(P890,PRICING!$J$4:$K$59,2,FALSE)),"")</f>
        <v/>
      </c>
      <c r="S890"/>
      <c r="U890" s="406" t="str">
        <f t="shared" si="53"/>
        <v/>
      </c>
      <c r="W890" s="408" t="str">
        <f t="shared" si="54"/>
        <v/>
      </c>
      <c r="X890" s="409" t="str">
        <f t="shared" si="55"/>
        <v/>
      </c>
    </row>
    <row r="891" spans="1:24" ht="16" x14ac:dyDescent="0.25">
      <c r="A891" s="399" t="str">
        <f>IF(B891="","",CONCATENATE("GBL",B891," - ",Mantenedor!E895))</f>
        <v/>
      </c>
      <c r="P891" s="399" t="str">
        <f t="shared" si="52"/>
        <v/>
      </c>
      <c r="Q891" s="405" t="str" cm="1">
        <f t="array" ref="Q891">+_xlfn.IFS(O891="Nacional","CLP",O891="Extranjero","USD",O891="","")</f>
        <v/>
      </c>
      <c r="R891" s="406" t="str">
        <f>IFERROR(IF(O891="Nacional",VLOOKUP(P891,PRICING!$D$4:$E$59,2,FALSE),VLOOKUP(P891,PRICING!$J$4:$K$59,2,FALSE)),"")</f>
        <v/>
      </c>
      <c r="S891"/>
      <c r="U891" s="406" t="str">
        <f t="shared" si="53"/>
        <v/>
      </c>
      <c r="W891" s="408" t="str">
        <f t="shared" si="54"/>
        <v/>
      </c>
      <c r="X891" s="409" t="str">
        <f t="shared" si="55"/>
        <v/>
      </c>
    </row>
    <row r="892" spans="1:24" ht="16" x14ac:dyDescent="0.25">
      <c r="A892" s="399" t="str">
        <f>IF(B892="","",CONCATENATE("GBL",B892," - ",Mantenedor!E896))</f>
        <v/>
      </c>
      <c r="P892" s="399" t="str">
        <f t="shared" si="52"/>
        <v/>
      </c>
      <c r="Q892" s="405" t="str" cm="1">
        <f t="array" ref="Q892">+_xlfn.IFS(O892="Nacional","CLP",O892="Extranjero","USD",O892="","")</f>
        <v/>
      </c>
      <c r="R892" s="406" t="str">
        <f>IFERROR(IF(O892="Nacional",VLOOKUP(P892,PRICING!$D$4:$E$59,2,FALSE),VLOOKUP(P892,PRICING!$J$4:$K$59,2,FALSE)),"")</f>
        <v/>
      </c>
      <c r="S892"/>
      <c r="U892" s="406" t="str">
        <f t="shared" si="53"/>
        <v/>
      </c>
      <c r="W892" s="408" t="str">
        <f t="shared" si="54"/>
        <v/>
      </c>
      <c r="X892" s="409" t="str">
        <f t="shared" si="55"/>
        <v/>
      </c>
    </row>
    <row r="893" spans="1:24" ht="16" x14ac:dyDescent="0.25">
      <c r="A893" s="399" t="str">
        <f>IF(B893="","",CONCATENATE("GBL",B893," - ",Mantenedor!E897))</f>
        <v/>
      </c>
      <c r="P893" s="399" t="str">
        <f t="shared" si="52"/>
        <v/>
      </c>
      <c r="Q893" s="405" t="str" cm="1">
        <f t="array" ref="Q893">+_xlfn.IFS(O893="Nacional","CLP",O893="Extranjero","USD",O893="","")</f>
        <v/>
      </c>
      <c r="R893" s="406" t="str">
        <f>IFERROR(IF(O893="Nacional",VLOOKUP(P893,PRICING!$D$4:$E$59,2,FALSE),VLOOKUP(P893,PRICING!$J$4:$K$59,2,FALSE)),"")</f>
        <v/>
      </c>
      <c r="S893"/>
      <c r="U893" s="406" t="str">
        <f t="shared" si="53"/>
        <v/>
      </c>
      <c r="W893" s="408" t="str">
        <f t="shared" si="54"/>
        <v/>
      </c>
      <c r="X893" s="409" t="str">
        <f t="shared" si="55"/>
        <v/>
      </c>
    </row>
    <row r="894" spans="1:24" ht="16" x14ac:dyDescent="0.25">
      <c r="A894" s="399" t="str">
        <f>IF(B894="","",CONCATENATE("GBL",B894," - ",Mantenedor!E898))</f>
        <v/>
      </c>
      <c r="P894" s="399" t="str">
        <f t="shared" si="52"/>
        <v/>
      </c>
      <c r="Q894" s="405" t="str" cm="1">
        <f t="array" ref="Q894">+_xlfn.IFS(O894="Nacional","CLP",O894="Extranjero","USD",O894="","")</f>
        <v/>
      </c>
      <c r="R894" s="406" t="str">
        <f>IFERROR(IF(O894="Nacional",VLOOKUP(P894,PRICING!$D$4:$E$59,2,FALSE),VLOOKUP(P894,PRICING!$J$4:$K$59,2,FALSE)),"")</f>
        <v/>
      </c>
      <c r="S894"/>
      <c r="U894" s="406" t="str">
        <f t="shared" si="53"/>
        <v/>
      </c>
      <c r="W894" s="408" t="str">
        <f t="shared" si="54"/>
        <v/>
      </c>
      <c r="X894" s="409" t="str">
        <f t="shared" si="55"/>
        <v/>
      </c>
    </row>
    <row r="895" spans="1:24" ht="16" x14ac:dyDescent="0.25">
      <c r="A895" s="399" t="str">
        <f>IF(B895="","",CONCATENATE("GBL",B895," - ",Mantenedor!E899))</f>
        <v/>
      </c>
      <c r="P895" s="399" t="str">
        <f t="shared" ref="P895:P958" si="56">IF(N895="","",(IF(L895=1,(CONCATENATE("Base ",N895," ",L895," noche")),(CONCATENATE("Base ",N895," ",L895," noches")))))</f>
        <v/>
      </c>
      <c r="Q895" s="405" t="str" cm="1">
        <f t="array" ref="Q895">+_xlfn.IFS(O895="Nacional","CLP",O895="Extranjero","USD",O895="","")</f>
        <v/>
      </c>
      <c r="R895" s="406" t="str">
        <f>IFERROR(IF(O895="Nacional",VLOOKUP(P895,PRICING!$D$4:$E$59,2,FALSE),VLOOKUP(P895,PRICING!$J$4:$K$59,2,FALSE)),"")</f>
        <v/>
      </c>
      <c r="S895"/>
      <c r="U895" s="406" t="str">
        <f t="shared" ref="U895:U958" si="57">IFERROR(+R895*(1-S895),"")</f>
        <v/>
      </c>
      <c r="W895" s="408" t="str">
        <f t="shared" ref="W895:W958" si="58">+IF(U895="","","50"%)</f>
        <v/>
      </c>
      <c r="X895" s="409" t="str">
        <f t="shared" si="55"/>
        <v/>
      </c>
    </row>
    <row r="896" spans="1:24" ht="16" x14ac:dyDescent="0.25">
      <c r="A896" s="399" t="str">
        <f>IF(B896="","",CONCATENATE("GBL",B896," - ",Mantenedor!E900))</f>
        <v/>
      </c>
      <c r="P896" s="399" t="str">
        <f t="shared" si="56"/>
        <v/>
      </c>
      <c r="Q896" s="405" t="str" cm="1">
        <f t="array" ref="Q896">+_xlfn.IFS(O896="Nacional","CLP",O896="Extranjero","USD",O896="","")</f>
        <v/>
      </c>
      <c r="R896" s="406" t="str">
        <f>IFERROR(IF(O896="Nacional",VLOOKUP(P896,PRICING!$D$4:$E$59,2,FALSE),VLOOKUP(P896,PRICING!$J$4:$K$59,2,FALSE)),"")</f>
        <v/>
      </c>
      <c r="S896"/>
      <c r="U896" s="406" t="str">
        <f t="shared" si="57"/>
        <v/>
      </c>
      <c r="W896" s="408" t="str">
        <f t="shared" si="58"/>
        <v/>
      </c>
      <c r="X896" s="409" t="str">
        <f t="shared" ref="X896:X959" si="59">+IF(W896="","",(1-W896))</f>
        <v/>
      </c>
    </row>
    <row r="897" spans="1:24" ht="16" x14ac:dyDescent="0.25">
      <c r="A897" s="399" t="str">
        <f>IF(B897="","",CONCATENATE("GBL",B897," - ",Mantenedor!E901))</f>
        <v/>
      </c>
      <c r="P897" s="399" t="str">
        <f t="shared" si="56"/>
        <v/>
      </c>
      <c r="Q897" s="405" t="str" cm="1">
        <f t="array" ref="Q897">+_xlfn.IFS(O897="Nacional","CLP",O897="Extranjero","USD",O897="","")</f>
        <v/>
      </c>
      <c r="R897" s="406" t="str">
        <f>IFERROR(IF(O897="Nacional",VLOOKUP(P897,PRICING!$D$4:$E$59,2,FALSE),VLOOKUP(P897,PRICING!$J$4:$K$59,2,FALSE)),"")</f>
        <v/>
      </c>
      <c r="S897"/>
      <c r="U897" s="406" t="str">
        <f t="shared" si="57"/>
        <v/>
      </c>
      <c r="W897" s="408" t="str">
        <f t="shared" si="58"/>
        <v/>
      </c>
      <c r="X897" s="409" t="str">
        <f t="shared" si="59"/>
        <v/>
      </c>
    </row>
    <row r="898" spans="1:24" ht="16" x14ac:dyDescent="0.25">
      <c r="A898" s="399" t="str">
        <f>IF(B898="","",CONCATENATE("GBL",B898," - ",Mantenedor!E902))</f>
        <v/>
      </c>
      <c r="P898" s="399" t="str">
        <f t="shared" si="56"/>
        <v/>
      </c>
      <c r="Q898" s="405" t="str" cm="1">
        <f t="array" ref="Q898">+_xlfn.IFS(O898="Nacional","CLP",O898="Extranjero","USD",O898="","")</f>
        <v/>
      </c>
      <c r="R898" s="406" t="str">
        <f>IFERROR(IF(O898="Nacional",VLOOKUP(P898,PRICING!$D$4:$E$59,2,FALSE),VLOOKUP(P898,PRICING!$J$4:$K$59,2,FALSE)),"")</f>
        <v/>
      </c>
      <c r="S898"/>
      <c r="U898" s="406" t="str">
        <f t="shared" si="57"/>
        <v/>
      </c>
      <c r="W898" s="408" t="str">
        <f t="shared" si="58"/>
        <v/>
      </c>
      <c r="X898" s="409" t="str">
        <f t="shared" si="59"/>
        <v/>
      </c>
    </row>
    <row r="899" spans="1:24" ht="16" x14ac:dyDescent="0.25">
      <c r="A899" s="399" t="str">
        <f>IF(B899="","",CONCATENATE("GBL",B899," - ",Mantenedor!E903))</f>
        <v/>
      </c>
      <c r="P899" s="399" t="str">
        <f t="shared" si="56"/>
        <v/>
      </c>
      <c r="Q899" s="405" t="str" cm="1">
        <f t="array" ref="Q899">+_xlfn.IFS(O899="Nacional","CLP",O899="Extranjero","USD",O899="","")</f>
        <v/>
      </c>
      <c r="R899" s="406" t="str">
        <f>IFERROR(IF(O899="Nacional",VLOOKUP(P899,PRICING!$D$4:$E$59,2,FALSE),VLOOKUP(P899,PRICING!$J$4:$K$59,2,FALSE)),"")</f>
        <v/>
      </c>
      <c r="S899"/>
      <c r="U899" s="406" t="str">
        <f t="shared" si="57"/>
        <v/>
      </c>
      <c r="W899" s="408" t="str">
        <f t="shared" si="58"/>
        <v/>
      </c>
      <c r="X899" s="409" t="str">
        <f t="shared" si="59"/>
        <v/>
      </c>
    </row>
    <row r="900" spans="1:24" ht="16" x14ac:dyDescent="0.25">
      <c r="A900" s="399" t="str">
        <f>IF(B900="","",CONCATENATE("GBL",B900," - ",Mantenedor!E904))</f>
        <v/>
      </c>
      <c r="P900" s="399" t="str">
        <f t="shared" si="56"/>
        <v/>
      </c>
      <c r="Q900" s="405" t="str" cm="1">
        <f t="array" ref="Q900">+_xlfn.IFS(O900="Nacional","CLP",O900="Extranjero","USD",O900="","")</f>
        <v/>
      </c>
      <c r="R900" s="406" t="str">
        <f>IFERROR(IF(O900="Nacional",VLOOKUP(P900,PRICING!$D$4:$E$59,2,FALSE),VLOOKUP(P900,PRICING!$J$4:$K$59,2,FALSE)),"")</f>
        <v/>
      </c>
      <c r="S900"/>
      <c r="U900" s="406" t="str">
        <f t="shared" si="57"/>
        <v/>
      </c>
      <c r="W900" s="408" t="str">
        <f t="shared" si="58"/>
        <v/>
      </c>
      <c r="X900" s="409" t="str">
        <f t="shared" si="59"/>
        <v/>
      </c>
    </row>
    <row r="901" spans="1:24" ht="16" x14ac:dyDescent="0.25">
      <c r="A901" s="399" t="str">
        <f>IF(B901="","",CONCATENATE("GBL",B901," - ",Mantenedor!E905))</f>
        <v/>
      </c>
      <c r="P901" s="399" t="str">
        <f t="shared" si="56"/>
        <v/>
      </c>
      <c r="Q901" s="405" t="str" cm="1">
        <f t="array" ref="Q901">+_xlfn.IFS(O901="Nacional","CLP",O901="Extranjero","USD",O901="","")</f>
        <v/>
      </c>
      <c r="R901" s="406" t="str">
        <f>IFERROR(IF(O901="Nacional",VLOOKUP(P901,PRICING!$D$4:$E$59,2,FALSE),VLOOKUP(P901,PRICING!$J$4:$K$59,2,FALSE)),"")</f>
        <v/>
      </c>
      <c r="S901"/>
      <c r="U901" s="406" t="str">
        <f t="shared" si="57"/>
        <v/>
      </c>
      <c r="W901" s="408" t="str">
        <f t="shared" si="58"/>
        <v/>
      </c>
      <c r="X901" s="409" t="str">
        <f t="shared" si="59"/>
        <v/>
      </c>
    </row>
    <row r="902" spans="1:24" ht="16" x14ac:dyDescent="0.25">
      <c r="A902" s="399" t="str">
        <f>IF(B902="","",CONCATENATE("GBL",B902," - ",Mantenedor!E906))</f>
        <v/>
      </c>
      <c r="P902" s="399" t="str">
        <f t="shared" si="56"/>
        <v/>
      </c>
      <c r="Q902" s="405" t="str" cm="1">
        <f t="array" ref="Q902">+_xlfn.IFS(O902="Nacional","CLP",O902="Extranjero","USD",O902="","")</f>
        <v/>
      </c>
      <c r="R902" s="406" t="str">
        <f>IFERROR(IF(O902="Nacional",VLOOKUP(P902,PRICING!$D$4:$E$59,2,FALSE),VLOOKUP(P902,PRICING!$J$4:$K$59,2,FALSE)),"")</f>
        <v/>
      </c>
      <c r="S902"/>
      <c r="U902" s="406" t="str">
        <f t="shared" si="57"/>
        <v/>
      </c>
      <c r="W902" s="408" t="str">
        <f t="shared" si="58"/>
        <v/>
      </c>
      <c r="X902" s="409" t="str">
        <f t="shared" si="59"/>
        <v/>
      </c>
    </row>
    <row r="903" spans="1:24" ht="16" x14ac:dyDescent="0.25">
      <c r="A903" s="399" t="str">
        <f>IF(B903="","",CONCATENATE("GBL",B903," - ",Mantenedor!E907))</f>
        <v/>
      </c>
      <c r="P903" s="399" t="str">
        <f t="shared" si="56"/>
        <v/>
      </c>
      <c r="Q903" s="405" t="str" cm="1">
        <f t="array" ref="Q903">+_xlfn.IFS(O903="Nacional","CLP",O903="Extranjero","USD",O903="","")</f>
        <v/>
      </c>
      <c r="R903" s="406" t="str">
        <f>IFERROR(IF(O903="Nacional",VLOOKUP(P903,PRICING!$D$4:$E$59,2,FALSE),VLOOKUP(P903,PRICING!$J$4:$K$59,2,FALSE)),"")</f>
        <v/>
      </c>
      <c r="S903"/>
      <c r="U903" s="406" t="str">
        <f t="shared" si="57"/>
        <v/>
      </c>
      <c r="W903" s="408" t="str">
        <f t="shared" si="58"/>
        <v/>
      </c>
      <c r="X903" s="409" t="str">
        <f t="shared" si="59"/>
        <v/>
      </c>
    </row>
    <row r="904" spans="1:24" ht="16" x14ac:dyDescent="0.25">
      <c r="A904" s="399" t="str">
        <f>IF(B904="","",CONCATENATE("GBL",B904," - ",Mantenedor!E908))</f>
        <v/>
      </c>
      <c r="P904" s="399" t="str">
        <f t="shared" si="56"/>
        <v/>
      </c>
      <c r="Q904" s="405" t="str" cm="1">
        <f t="array" ref="Q904">+_xlfn.IFS(O904="Nacional","CLP",O904="Extranjero","USD",O904="","")</f>
        <v/>
      </c>
      <c r="R904" s="406" t="str">
        <f>IFERROR(IF(O904="Nacional",VLOOKUP(P904,PRICING!$D$4:$E$59,2,FALSE),VLOOKUP(P904,PRICING!$J$4:$K$59,2,FALSE)),"")</f>
        <v/>
      </c>
      <c r="S904"/>
      <c r="U904" s="406" t="str">
        <f t="shared" si="57"/>
        <v/>
      </c>
      <c r="W904" s="408" t="str">
        <f t="shared" si="58"/>
        <v/>
      </c>
      <c r="X904" s="409" t="str">
        <f t="shared" si="59"/>
        <v/>
      </c>
    </row>
    <row r="905" spans="1:24" ht="16" x14ac:dyDescent="0.25">
      <c r="A905" s="399" t="str">
        <f>IF(B905="","",CONCATENATE("GBL",B905," - ",Mantenedor!E909))</f>
        <v/>
      </c>
      <c r="P905" s="399" t="str">
        <f t="shared" si="56"/>
        <v/>
      </c>
      <c r="Q905" s="405" t="str" cm="1">
        <f t="array" ref="Q905">+_xlfn.IFS(O905="Nacional","CLP",O905="Extranjero","USD",O905="","")</f>
        <v/>
      </c>
      <c r="R905" s="406" t="str">
        <f>IFERROR(IF(O905="Nacional",VLOOKUP(P905,PRICING!$D$4:$E$59,2,FALSE),VLOOKUP(P905,PRICING!$J$4:$K$59,2,FALSE)),"")</f>
        <v/>
      </c>
      <c r="S905"/>
      <c r="U905" s="406" t="str">
        <f t="shared" si="57"/>
        <v/>
      </c>
      <c r="W905" s="408" t="str">
        <f t="shared" si="58"/>
        <v/>
      </c>
      <c r="X905" s="409" t="str">
        <f t="shared" si="59"/>
        <v/>
      </c>
    </row>
    <row r="906" spans="1:24" ht="16" x14ac:dyDescent="0.25">
      <c r="A906" s="399" t="str">
        <f>IF(B906="","",CONCATENATE("GBL",B906," - ",Mantenedor!E910))</f>
        <v/>
      </c>
      <c r="P906" s="399" t="str">
        <f t="shared" si="56"/>
        <v/>
      </c>
      <c r="Q906" s="405" t="str" cm="1">
        <f t="array" ref="Q906">+_xlfn.IFS(O906="Nacional","CLP",O906="Extranjero","USD",O906="","")</f>
        <v/>
      </c>
      <c r="R906" s="406" t="str">
        <f>IFERROR(IF(O906="Nacional",VLOOKUP(P906,PRICING!$D$4:$E$59,2,FALSE),VLOOKUP(P906,PRICING!$J$4:$K$59,2,FALSE)),"")</f>
        <v/>
      </c>
      <c r="S906"/>
      <c r="U906" s="406" t="str">
        <f t="shared" si="57"/>
        <v/>
      </c>
      <c r="W906" s="408" t="str">
        <f t="shared" si="58"/>
        <v/>
      </c>
      <c r="X906" s="409" t="str">
        <f t="shared" si="59"/>
        <v/>
      </c>
    </row>
    <row r="907" spans="1:24" ht="16" x14ac:dyDescent="0.25">
      <c r="A907" s="399" t="str">
        <f>IF(B907="","",CONCATENATE("GBL",B907," - ",Mantenedor!E911))</f>
        <v/>
      </c>
      <c r="P907" s="399" t="str">
        <f t="shared" si="56"/>
        <v/>
      </c>
      <c r="Q907" s="405" t="str" cm="1">
        <f t="array" ref="Q907">+_xlfn.IFS(O907="Nacional","CLP",O907="Extranjero","USD",O907="","")</f>
        <v/>
      </c>
      <c r="R907" s="406" t="str">
        <f>IFERROR(IF(O907="Nacional",VLOOKUP(P907,PRICING!$D$4:$E$59,2,FALSE),VLOOKUP(P907,PRICING!$J$4:$K$59,2,FALSE)),"")</f>
        <v/>
      </c>
      <c r="S907"/>
      <c r="U907" s="406" t="str">
        <f t="shared" si="57"/>
        <v/>
      </c>
      <c r="W907" s="408" t="str">
        <f t="shared" si="58"/>
        <v/>
      </c>
      <c r="X907" s="409" t="str">
        <f t="shared" si="59"/>
        <v/>
      </c>
    </row>
    <row r="908" spans="1:24" ht="16" x14ac:dyDescent="0.25">
      <c r="A908" s="399" t="str">
        <f>IF(B908="","",CONCATENATE("GBL",B908," - ",Mantenedor!E912))</f>
        <v/>
      </c>
      <c r="P908" s="399" t="str">
        <f t="shared" si="56"/>
        <v/>
      </c>
      <c r="Q908" s="405" t="str" cm="1">
        <f t="array" ref="Q908">+_xlfn.IFS(O908="Nacional","CLP",O908="Extranjero","USD",O908="","")</f>
        <v/>
      </c>
      <c r="R908" s="406" t="str">
        <f>IFERROR(IF(O908="Nacional",VLOOKUP(P908,PRICING!$D$4:$E$59,2,FALSE),VLOOKUP(P908,PRICING!$J$4:$K$59,2,FALSE)),"")</f>
        <v/>
      </c>
      <c r="S908"/>
      <c r="U908" s="406" t="str">
        <f t="shared" si="57"/>
        <v/>
      </c>
      <c r="W908" s="408" t="str">
        <f t="shared" si="58"/>
        <v/>
      </c>
      <c r="X908" s="409" t="str">
        <f t="shared" si="59"/>
        <v/>
      </c>
    </row>
    <row r="909" spans="1:24" ht="16" x14ac:dyDescent="0.25">
      <c r="A909" s="399" t="str">
        <f>IF(B909="","",CONCATENATE("GBL",B909," - ",Mantenedor!E913))</f>
        <v/>
      </c>
      <c r="P909" s="399" t="str">
        <f t="shared" si="56"/>
        <v/>
      </c>
      <c r="Q909" s="405" t="str" cm="1">
        <f t="array" ref="Q909">+_xlfn.IFS(O909="Nacional","CLP",O909="Extranjero","USD",O909="","")</f>
        <v/>
      </c>
      <c r="R909" s="406" t="str">
        <f>IFERROR(IF(O909="Nacional",VLOOKUP(P909,PRICING!$D$4:$E$59,2,FALSE),VLOOKUP(P909,PRICING!$J$4:$K$59,2,FALSE)),"")</f>
        <v/>
      </c>
      <c r="S909"/>
      <c r="U909" s="406" t="str">
        <f t="shared" si="57"/>
        <v/>
      </c>
      <c r="W909" s="408" t="str">
        <f t="shared" si="58"/>
        <v/>
      </c>
      <c r="X909" s="409" t="str">
        <f t="shared" si="59"/>
        <v/>
      </c>
    </row>
    <row r="910" spans="1:24" ht="16" x14ac:dyDescent="0.25">
      <c r="A910" s="399" t="str">
        <f>IF(B910="","",CONCATENATE("GBL",B910," - ",Mantenedor!E914))</f>
        <v/>
      </c>
      <c r="P910" s="399" t="str">
        <f t="shared" si="56"/>
        <v/>
      </c>
      <c r="Q910" s="405" t="str" cm="1">
        <f t="array" ref="Q910">+_xlfn.IFS(O910="Nacional","CLP",O910="Extranjero","USD",O910="","")</f>
        <v/>
      </c>
      <c r="R910" s="406" t="str">
        <f>IFERROR(IF(O910="Nacional",VLOOKUP(P910,PRICING!$D$4:$E$59,2,FALSE),VLOOKUP(P910,PRICING!$J$4:$K$59,2,FALSE)),"")</f>
        <v/>
      </c>
      <c r="S910"/>
      <c r="U910" s="406" t="str">
        <f t="shared" si="57"/>
        <v/>
      </c>
      <c r="W910" s="408" t="str">
        <f t="shared" si="58"/>
        <v/>
      </c>
      <c r="X910" s="409" t="str">
        <f t="shared" si="59"/>
        <v/>
      </c>
    </row>
    <row r="911" spans="1:24" ht="16" x14ac:dyDescent="0.25">
      <c r="A911" s="399" t="str">
        <f>IF(B911="","",CONCATENATE("GBL",B911," - ",Mantenedor!E915))</f>
        <v/>
      </c>
      <c r="P911" s="399" t="str">
        <f t="shared" si="56"/>
        <v/>
      </c>
      <c r="Q911" s="405" t="str" cm="1">
        <f t="array" ref="Q911">+_xlfn.IFS(O911="Nacional","CLP",O911="Extranjero","USD",O911="","")</f>
        <v/>
      </c>
      <c r="R911" s="406" t="str">
        <f>IFERROR(IF(O911="Nacional",VLOOKUP(P911,PRICING!$D$4:$E$59,2,FALSE),VLOOKUP(P911,PRICING!$J$4:$K$59,2,FALSE)),"")</f>
        <v/>
      </c>
      <c r="S911"/>
      <c r="U911" s="406" t="str">
        <f t="shared" si="57"/>
        <v/>
      </c>
      <c r="W911" s="408" t="str">
        <f t="shared" si="58"/>
        <v/>
      </c>
      <c r="X911" s="409" t="str">
        <f t="shared" si="59"/>
        <v/>
      </c>
    </row>
    <row r="912" spans="1:24" ht="16" x14ac:dyDescent="0.25">
      <c r="A912" s="399" t="str">
        <f>IF(B912="","",CONCATENATE("GBL",B912," - ",Mantenedor!E916))</f>
        <v/>
      </c>
      <c r="P912" s="399" t="str">
        <f t="shared" si="56"/>
        <v/>
      </c>
      <c r="Q912" s="405" t="str" cm="1">
        <f t="array" ref="Q912">+_xlfn.IFS(O912="Nacional","CLP",O912="Extranjero","USD",O912="","")</f>
        <v/>
      </c>
      <c r="R912" s="406" t="str">
        <f>IFERROR(IF(O912="Nacional",VLOOKUP(P912,PRICING!$D$4:$E$59,2,FALSE),VLOOKUP(P912,PRICING!$J$4:$K$59,2,FALSE)),"")</f>
        <v/>
      </c>
      <c r="S912"/>
      <c r="U912" s="406" t="str">
        <f t="shared" si="57"/>
        <v/>
      </c>
      <c r="W912" s="408" t="str">
        <f t="shared" si="58"/>
        <v/>
      </c>
      <c r="X912" s="409" t="str">
        <f t="shared" si="59"/>
        <v/>
      </c>
    </row>
    <row r="913" spans="1:24" ht="16" x14ac:dyDescent="0.25">
      <c r="A913" s="399" t="str">
        <f>IF(B913="","",CONCATENATE("GBL",B913," - ",Mantenedor!E917))</f>
        <v/>
      </c>
      <c r="P913" s="399" t="str">
        <f t="shared" si="56"/>
        <v/>
      </c>
      <c r="Q913" s="405" t="str" cm="1">
        <f t="array" ref="Q913">+_xlfn.IFS(O913="Nacional","CLP",O913="Extranjero","USD",O913="","")</f>
        <v/>
      </c>
      <c r="R913" s="406" t="str">
        <f>IFERROR(IF(O913="Nacional",VLOOKUP(P913,PRICING!$D$4:$E$59,2,FALSE),VLOOKUP(P913,PRICING!$J$4:$K$59,2,FALSE)),"")</f>
        <v/>
      </c>
      <c r="S913"/>
      <c r="U913" s="406" t="str">
        <f t="shared" si="57"/>
        <v/>
      </c>
      <c r="W913" s="408" t="str">
        <f t="shared" si="58"/>
        <v/>
      </c>
      <c r="X913" s="409" t="str">
        <f t="shared" si="59"/>
        <v/>
      </c>
    </row>
    <row r="914" spans="1:24" ht="16" x14ac:dyDescent="0.25">
      <c r="A914" s="399" t="str">
        <f>IF(B914="","",CONCATENATE("GBL",B914," - ",Mantenedor!E918))</f>
        <v/>
      </c>
      <c r="P914" s="399" t="str">
        <f t="shared" si="56"/>
        <v/>
      </c>
      <c r="Q914" s="405" t="str" cm="1">
        <f t="array" ref="Q914">+_xlfn.IFS(O914="Nacional","CLP",O914="Extranjero","USD",O914="","")</f>
        <v/>
      </c>
      <c r="R914" s="406" t="str">
        <f>IFERROR(IF(O914="Nacional",VLOOKUP(P914,PRICING!$D$4:$E$59,2,FALSE),VLOOKUP(P914,PRICING!$J$4:$K$59,2,FALSE)),"")</f>
        <v/>
      </c>
      <c r="S914"/>
      <c r="U914" s="406" t="str">
        <f t="shared" si="57"/>
        <v/>
      </c>
      <c r="W914" s="408" t="str">
        <f t="shared" si="58"/>
        <v/>
      </c>
      <c r="X914" s="409" t="str">
        <f t="shared" si="59"/>
        <v/>
      </c>
    </row>
    <row r="915" spans="1:24" ht="16" x14ac:dyDescent="0.25">
      <c r="A915" s="399" t="str">
        <f>IF(B915="","",CONCATENATE("GBL",B915," - ",Mantenedor!E919))</f>
        <v/>
      </c>
      <c r="P915" s="399" t="str">
        <f t="shared" si="56"/>
        <v/>
      </c>
      <c r="Q915" s="405" t="str" cm="1">
        <f t="array" ref="Q915">+_xlfn.IFS(O915="Nacional","CLP",O915="Extranjero","USD",O915="","")</f>
        <v/>
      </c>
      <c r="R915" s="406" t="str">
        <f>IFERROR(IF(O915="Nacional",VLOOKUP(P915,PRICING!$D$4:$E$59,2,FALSE),VLOOKUP(P915,PRICING!$J$4:$K$59,2,FALSE)),"")</f>
        <v/>
      </c>
      <c r="S915"/>
      <c r="U915" s="406" t="str">
        <f t="shared" si="57"/>
        <v/>
      </c>
      <c r="W915" s="408" t="str">
        <f t="shared" si="58"/>
        <v/>
      </c>
      <c r="X915" s="409" t="str">
        <f t="shared" si="59"/>
        <v/>
      </c>
    </row>
    <row r="916" spans="1:24" ht="16" x14ac:dyDescent="0.25">
      <c r="A916" s="399" t="str">
        <f>IF(B916="","",CONCATENATE("GBL",B916," - ",Mantenedor!E920))</f>
        <v/>
      </c>
      <c r="P916" s="399" t="str">
        <f t="shared" si="56"/>
        <v/>
      </c>
      <c r="Q916" s="405" t="str" cm="1">
        <f t="array" ref="Q916">+_xlfn.IFS(O916="Nacional","CLP",O916="Extranjero","USD",O916="","")</f>
        <v/>
      </c>
      <c r="R916" s="406" t="str">
        <f>IFERROR(IF(O916="Nacional",VLOOKUP(P916,PRICING!$D$4:$E$59,2,FALSE),VLOOKUP(P916,PRICING!$J$4:$K$59,2,FALSE)),"")</f>
        <v/>
      </c>
      <c r="S916"/>
      <c r="U916" s="406" t="str">
        <f t="shared" si="57"/>
        <v/>
      </c>
      <c r="W916" s="408" t="str">
        <f t="shared" si="58"/>
        <v/>
      </c>
      <c r="X916" s="409" t="str">
        <f t="shared" si="59"/>
        <v/>
      </c>
    </row>
    <row r="917" spans="1:24" ht="16" x14ac:dyDescent="0.25">
      <c r="A917" s="399" t="str">
        <f>IF(B917="","",CONCATENATE("GBL",B917," - ",Mantenedor!E921))</f>
        <v/>
      </c>
      <c r="P917" s="399" t="str">
        <f t="shared" si="56"/>
        <v/>
      </c>
      <c r="Q917" s="405" t="str" cm="1">
        <f t="array" ref="Q917">+_xlfn.IFS(O917="Nacional","CLP",O917="Extranjero","USD",O917="","")</f>
        <v/>
      </c>
      <c r="R917" s="406" t="str">
        <f>IFERROR(IF(O917="Nacional",VLOOKUP(P917,PRICING!$D$4:$E$59,2,FALSE),VLOOKUP(P917,PRICING!$J$4:$K$59,2,FALSE)),"")</f>
        <v/>
      </c>
      <c r="S917"/>
      <c r="U917" s="406" t="str">
        <f t="shared" si="57"/>
        <v/>
      </c>
      <c r="W917" s="408" t="str">
        <f t="shared" si="58"/>
        <v/>
      </c>
      <c r="X917" s="409" t="str">
        <f t="shared" si="59"/>
        <v/>
      </c>
    </row>
    <row r="918" spans="1:24" ht="16" x14ac:dyDescent="0.25">
      <c r="A918" s="399" t="str">
        <f>IF(B918="","",CONCATENATE("GBL",B918," - ",Mantenedor!E922))</f>
        <v/>
      </c>
      <c r="P918" s="399" t="str">
        <f t="shared" si="56"/>
        <v/>
      </c>
      <c r="Q918" s="405" t="str" cm="1">
        <f t="array" ref="Q918">+_xlfn.IFS(O918="Nacional","CLP",O918="Extranjero","USD",O918="","")</f>
        <v/>
      </c>
      <c r="R918" s="406" t="str">
        <f>IFERROR(IF(O918="Nacional",VLOOKUP(P918,PRICING!$D$4:$E$59,2,FALSE),VLOOKUP(P918,PRICING!$J$4:$K$59,2,FALSE)),"")</f>
        <v/>
      </c>
      <c r="S918"/>
      <c r="U918" s="406" t="str">
        <f t="shared" si="57"/>
        <v/>
      </c>
      <c r="W918" s="408" t="str">
        <f t="shared" si="58"/>
        <v/>
      </c>
      <c r="X918" s="409" t="str">
        <f t="shared" si="59"/>
        <v/>
      </c>
    </row>
    <row r="919" spans="1:24" ht="16" x14ac:dyDescent="0.25">
      <c r="A919" s="399" t="str">
        <f>IF(B919="","",CONCATENATE("GBL",B919," - ",Mantenedor!E923))</f>
        <v/>
      </c>
      <c r="P919" s="399" t="str">
        <f t="shared" si="56"/>
        <v/>
      </c>
      <c r="Q919" s="405" t="str" cm="1">
        <f t="array" ref="Q919">+_xlfn.IFS(O919="Nacional","CLP",O919="Extranjero","USD",O919="","")</f>
        <v/>
      </c>
      <c r="R919" s="406" t="str">
        <f>IFERROR(IF(O919="Nacional",VLOOKUP(P919,PRICING!$D$4:$E$59,2,FALSE),VLOOKUP(P919,PRICING!$J$4:$K$59,2,FALSE)),"")</f>
        <v/>
      </c>
      <c r="S919"/>
      <c r="U919" s="406" t="str">
        <f t="shared" si="57"/>
        <v/>
      </c>
      <c r="W919" s="408" t="str">
        <f t="shared" si="58"/>
        <v/>
      </c>
      <c r="X919" s="409" t="str">
        <f t="shared" si="59"/>
        <v/>
      </c>
    </row>
    <row r="920" spans="1:24" ht="16" x14ac:dyDescent="0.25">
      <c r="A920" s="399" t="str">
        <f>IF(B920="","",CONCATENATE("GBL",B920," - ",Mantenedor!E924))</f>
        <v/>
      </c>
      <c r="P920" s="399" t="str">
        <f t="shared" si="56"/>
        <v/>
      </c>
      <c r="Q920" s="405" t="str" cm="1">
        <f t="array" ref="Q920">+_xlfn.IFS(O920="Nacional","CLP",O920="Extranjero","USD",O920="","")</f>
        <v/>
      </c>
      <c r="R920" s="406" t="str">
        <f>IFERROR(IF(O920="Nacional",VLOOKUP(P920,PRICING!$D$4:$E$59,2,FALSE),VLOOKUP(P920,PRICING!$J$4:$K$59,2,FALSE)),"")</f>
        <v/>
      </c>
      <c r="S920"/>
      <c r="U920" s="406" t="str">
        <f t="shared" si="57"/>
        <v/>
      </c>
      <c r="W920" s="408" t="str">
        <f t="shared" si="58"/>
        <v/>
      </c>
      <c r="X920" s="409" t="str">
        <f t="shared" si="59"/>
        <v/>
      </c>
    </row>
    <row r="921" spans="1:24" ht="16" x14ac:dyDescent="0.25">
      <c r="A921" s="399" t="str">
        <f>IF(B921="","",CONCATENATE("GBL",B921," - ",Mantenedor!E925))</f>
        <v/>
      </c>
      <c r="P921" s="399" t="str">
        <f t="shared" si="56"/>
        <v/>
      </c>
      <c r="Q921" s="405" t="str" cm="1">
        <f t="array" ref="Q921">+_xlfn.IFS(O921="Nacional","CLP",O921="Extranjero","USD",O921="","")</f>
        <v/>
      </c>
      <c r="R921" s="406" t="str">
        <f>IFERROR(IF(O921="Nacional",VLOOKUP(P921,PRICING!$D$4:$E$59,2,FALSE),VLOOKUP(P921,PRICING!$J$4:$K$59,2,FALSE)),"")</f>
        <v/>
      </c>
      <c r="S921"/>
      <c r="U921" s="406" t="str">
        <f t="shared" si="57"/>
        <v/>
      </c>
      <c r="W921" s="408" t="str">
        <f t="shared" si="58"/>
        <v/>
      </c>
      <c r="X921" s="409" t="str">
        <f t="shared" si="59"/>
        <v/>
      </c>
    </row>
    <row r="922" spans="1:24" ht="16" x14ac:dyDescent="0.25">
      <c r="A922" s="399" t="str">
        <f>IF(B922="","",CONCATENATE("GBL",B922," - ",Mantenedor!E926))</f>
        <v/>
      </c>
      <c r="P922" s="399" t="str">
        <f t="shared" si="56"/>
        <v/>
      </c>
      <c r="Q922" s="405" t="str" cm="1">
        <f t="array" ref="Q922">+_xlfn.IFS(O922="Nacional","CLP",O922="Extranjero","USD",O922="","")</f>
        <v/>
      </c>
      <c r="R922" s="406" t="str">
        <f>IFERROR(IF(O922="Nacional",VLOOKUP(P922,PRICING!$D$4:$E$59,2,FALSE),VLOOKUP(P922,PRICING!$J$4:$K$59,2,FALSE)),"")</f>
        <v/>
      </c>
      <c r="S922"/>
      <c r="U922" s="406" t="str">
        <f t="shared" si="57"/>
        <v/>
      </c>
      <c r="W922" s="408" t="str">
        <f t="shared" si="58"/>
        <v/>
      </c>
      <c r="X922" s="409" t="str">
        <f t="shared" si="59"/>
        <v/>
      </c>
    </row>
    <row r="923" spans="1:24" ht="16" x14ac:dyDescent="0.25">
      <c r="A923" s="399" t="str">
        <f>IF(B923="","",CONCATENATE("GBL",B923," - ",Mantenedor!E927))</f>
        <v/>
      </c>
      <c r="P923" s="399" t="str">
        <f t="shared" si="56"/>
        <v/>
      </c>
      <c r="Q923" s="405" t="str" cm="1">
        <f t="array" ref="Q923">+_xlfn.IFS(O923="Nacional","CLP",O923="Extranjero","USD",O923="","")</f>
        <v/>
      </c>
      <c r="R923" s="406" t="str">
        <f>IFERROR(IF(O923="Nacional",VLOOKUP(P923,PRICING!$D$4:$E$59,2,FALSE),VLOOKUP(P923,PRICING!$J$4:$K$59,2,FALSE)),"")</f>
        <v/>
      </c>
      <c r="S923"/>
      <c r="U923" s="406" t="str">
        <f t="shared" si="57"/>
        <v/>
      </c>
      <c r="W923" s="408" t="str">
        <f t="shared" si="58"/>
        <v/>
      </c>
      <c r="X923" s="409" t="str">
        <f t="shared" si="59"/>
        <v/>
      </c>
    </row>
    <row r="924" spans="1:24" ht="16" x14ac:dyDescent="0.25">
      <c r="A924" s="399" t="str">
        <f>IF(B924="","",CONCATENATE("GBL",B924," - ",Mantenedor!E928))</f>
        <v/>
      </c>
      <c r="P924" s="399" t="str">
        <f t="shared" si="56"/>
        <v/>
      </c>
      <c r="Q924" s="405" t="str" cm="1">
        <f t="array" ref="Q924">+_xlfn.IFS(O924="Nacional","CLP",O924="Extranjero","USD",O924="","")</f>
        <v/>
      </c>
      <c r="R924" s="406" t="str">
        <f>IFERROR(IF(O924="Nacional",VLOOKUP(P924,PRICING!$D$4:$E$59,2,FALSE),VLOOKUP(P924,PRICING!$J$4:$K$59,2,FALSE)),"")</f>
        <v/>
      </c>
      <c r="S924"/>
      <c r="U924" s="406" t="str">
        <f t="shared" si="57"/>
        <v/>
      </c>
      <c r="W924" s="408" t="str">
        <f t="shared" si="58"/>
        <v/>
      </c>
      <c r="X924" s="409" t="str">
        <f t="shared" si="59"/>
        <v/>
      </c>
    </row>
    <row r="925" spans="1:24" ht="16" x14ac:dyDescent="0.25">
      <c r="A925" s="399" t="str">
        <f>IF(B925="","",CONCATENATE("GBL",B925," - ",Mantenedor!E929))</f>
        <v/>
      </c>
      <c r="P925" s="399" t="str">
        <f t="shared" si="56"/>
        <v/>
      </c>
      <c r="Q925" s="405" t="str" cm="1">
        <f t="array" ref="Q925">+_xlfn.IFS(O925="Nacional","CLP",O925="Extranjero","USD",O925="","")</f>
        <v/>
      </c>
      <c r="R925" s="406" t="str">
        <f>IFERROR(IF(O925="Nacional",VLOOKUP(P925,PRICING!$D$4:$E$59,2,FALSE),VLOOKUP(P925,PRICING!$J$4:$K$59,2,FALSE)),"")</f>
        <v/>
      </c>
      <c r="S925"/>
      <c r="U925" s="406" t="str">
        <f t="shared" si="57"/>
        <v/>
      </c>
      <c r="W925" s="408" t="str">
        <f t="shared" si="58"/>
        <v/>
      </c>
      <c r="X925" s="409" t="str">
        <f t="shared" si="59"/>
        <v/>
      </c>
    </row>
    <row r="926" spans="1:24" ht="16" x14ac:dyDescent="0.25">
      <c r="A926" s="399" t="str">
        <f>IF(B926="","",CONCATENATE("GBL",B926," - ",Mantenedor!E930))</f>
        <v/>
      </c>
      <c r="P926" s="399" t="str">
        <f t="shared" si="56"/>
        <v/>
      </c>
      <c r="Q926" s="405" t="str" cm="1">
        <f t="array" ref="Q926">+_xlfn.IFS(O926="Nacional","CLP",O926="Extranjero","USD",O926="","")</f>
        <v/>
      </c>
      <c r="R926" s="406" t="str">
        <f>IFERROR(IF(O926="Nacional",VLOOKUP(P926,PRICING!$D$4:$E$59,2,FALSE),VLOOKUP(P926,PRICING!$J$4:$K$59,2,FALSE)),"")</f>
        <v/>
      </c>
      <c r="S926"/>
      <c r="U926" s="406" t="str">
        <f t="shared" si="57"/>
        <v/>
      </c>
      <c r="W926" s="408" t="str">
        <f t="shared" si="58"/>
        <v/>
      </c>
      <c r="X926" s="409" t="str">
        <f t="shared" si="59"/>
        <v/>
      </c>
    </row>
    <row r="927" spans="1:24" ht="16" x14ac:dyDescent="0.25">
      <c r="A927" s="399" t="str">
        <f>IF(B927="","",CONCATENATE("GBL",B927," - ",Mantenedor!E931))</f>
        <v/>
      </c>
      <c r="P927" s="399" t="str">
        <f t="shared" si="56"/>
        <v/>
      </c>
      <c r="Q927" s="405" t="str" cm="1">
        <f t="array" ref="Q927">+_xlfn.IFS(O927="Nacional","CLP",O927="Extranjero","USD",O927="","")</f>
        <v/>
      </c>
      <c r="R927" s="406" t="str">
        <f>IFERROR(IF(O927="Nacional",VLOOKUP(P927,PRICING!$D$4:$E$59,2,FALSE),VLOOKUP(P927,PRICING!$J$4:$K$59,2,FALSE)),"")</f>
        <v/>
      </c>
      <c r="S927"/>
      <c r="U927" s="406" t="str">
        <f t="shared" si="57"/>
        <v/>
      </c>
      <c r="W927" s="408" t="str">
        <f t="shared" si="58"/>
        <v/>
      </c>
      <c r="X927" s="409" t="str">
        <f t="shared" si="59"/>
        <v/>
      </c>
    </row>
    <row r="928" spans="1:24" ht="16" x14ac:dyDescent="0.25">
      <c r="A928" s="399" t="str">
        <f>IF(B928="","",CONCATENATE("GBL",B928," - ",Mantenedor!E932))</f>
        <v/>
      </c>
      <c r="P928" s="399" t="str">
        <f t="shared" si="56"/>
        <v/>
      </c>
      <c r="Q928" s="405" t="str" cm="1">
        <f t="array" ref="Q928">+_xlfn.IFS(O928="Nacional","CLP",O928="Extranjero","USD",O928="","")</f>
        <v/>
      </c>
      <c r="R928" s="406" t="str">
        <f>IFERROR(IF(O928="Nacional",VLOOKUP(P928,PRICING!$D$4:$E$59,2,FALSE),VLOOKUP(P928,PRICING!$J$4:$K$59,2,FALSE)),"")</f>
        <v/>
      </c>
      <c r="S928"/>
      <c r="U928" s="406" t="str">
        <f t="shared" si="57"/>
        <v/>
      </c>
      <c r="W928" s="408" t="str">
        <f t="shared" si="58"/>
        <v/>
      </c>
      <c r="X928" s="409" t="str">
        <f t="shared" si="59"/>
        <v/>
      </c>
    </row>
    <row r="929" spans="1:24" ht="16" x14ac:dyDescent="0.25">
      <c r="A929" s="399" t="str">
        <f>IF(B929="","",CONCATENATE("GBL",B929," - ",Mantenedor!E933))</f>
        <v/>
      </c>
      <c r="P929" s="399" t="str">
        <f t="shared" si="56"/>
        <v/>
      </c>
      <c r="Q929" s="405" t="str" cm="1">
        <f t="array" ref="Q929">+_xlfn.IFS(O929="Nacional","CLP",O929="Extranjero","USD",O929="","")</f>
        <v/>
      </c>
      <c r="R929" s="406" t="str">
        <f>IFERROR(IF(O929="Nacional",VLOOKUP(P929,PRICING!$D$4:$E$59,2,FALSE),VLOOKUP(P929,PRICING!$J$4:$K$59,2,FALSE)),"")</f>
        <v/>
      </c>
      <c r="S929"/>
      <c r="U929" s="406" t="str">
        <f t="shared" si="57"/>
        <v/>
      </c>
      <c r="W929" s="408" t="str">
        <f t="shared" si="58"/>
        <v/>
      </c>
      <c r="X929" s="409" t="str">
        <f t="shared" si="59"/>
        <v/>
      </c>
    </row>
    <row r="930" spans="1:24" ht="16" x14ac:dyDescent="0.25">
      <c r="A930" s="399" t="str">
        <f>IF(B930="","",CONCATENATE("GBL",B930," - ",Mantenedor!E934))</f>
        <v/>
      </c>
      <c r="P930" s="399" t="str">
        <f t="shared" si="56"/>
        <v/>
      </c>
      <c r="Q930" s="405" t="str" cm="1">
        <f t="array" ref="Q930">+_xlfn.IFS(O930="Nacional","CLP",O930="Extranjero","USD",O930="","")</f>
        <v/>
      </c>
      <c r="R930" s="406" t="str">
        <f>IFERROR(IF(O930="Nacional",VLOOKUP(P930,PRICING!$D$4:$E$59,2,FALSE),VLOOKUP(P930,PRICING!$J$4:$K$59,2,FALSE)),"")</f>
        <v/>
      </c>
      <c r="S930"/>
      <c r="U930" s="406" t="str">
        <f t="shared" si="57"/>
        <v/>
      </c>
      <c r="W930" s="408" t="str">
        <f t="shared" si="58"/>
        <v/>
      </c>
      <c r="X930" s="409" t="str">
        <f t="shared" si="59"/>
        <v/>
      </c>
    </row>
    <row r="931" spans="1:24" ht="16" x14ac:dyDescent="0.25">
      <c r="A931" s="399" t="str">
        <f>IF(B931="","",CONCATENATE("GBL",B931," - ",Mantenedor!E935))</f>
        <v/>
      </c>
      <c r="P931" s="399" t="str">
        <f t="shared" si="56"/>
        <v/>
      </c>
      <c r="Q931" s="405" t="str" cm="1">
        <f t="array" ref="Q931">+_xlfn.IFS(O931="Nacional","CLP",O931="Extranjero","USD",O931="","")</f>
        <v/>
      </c>
      <c r="R931" s="406" t="str">
        <f>IFERROR(IF(O931="Nacional",VLOOKUP(P931,PRICING!$D$4:$E$59,2,FALSE),VLOOKUP(P931,PRICING!$J$4:$K$59,2,FALSE)),"")</f>
        <v/>
      </c>
      <c r="S931"/>
      <c r="U931" s="406" t="str">
        <f t="shared" si="57"/>
        <v/>
      </c>
      <c r="W931" s="408" t="str">
        <f t="shared" si="58"/>
        <v/>
      </c>
      <c r="X931" s="409" t="str">
        <f t="shared" si="59"/>
        <v/>
      </c>
    </row>
    <row r="932" spans="1:24" ht="16" x14ac:dyDescent="0.25">
      <c r="A932" s="399" t="str">
        <f>IF(B932="","",CONCATENATE("GBL",B932," - ",Mantenedor!E936))</f>
        <v/>
      </c>
      <c r="P932" s="399" t="str">
        <f t="shared" si="56"/>
        <v/>
      </c>
      <c r="Q932" s="405" t="str" cm="1">
        <f t="array" ref="Q932">+_xlfn.IFS(O932="Nacional","CLP",O932="Extranjero","USD",O932="","")</f>
        <v/>
      </c>
      <c r="R932" s="406" t="str">
        <f>IFERROR(IF(O932="Nacional",VLOOKUP(P932,PRICING!$D$4:$E$59,2,FALSE),VLOOKUP(P932,PRICING!$J$4:$K$59,2,FALSE)),"")</f>
        <v/>
      </c>
      <c r="S932"/>
      <c r="U932" s="406" t="str">
        <f t="shared" si="57"/>
        <v/>
      </c>
      <c r="W932" s="408" t="str">
        <f t="shared" si="58"/>
        <v/>
      </c>
      <c r="X932" s="409" t="str">
        <f t="shared" si="59"/>
        <v/>
      </c>
    </row>
    <row r="933" spans="1:24" ht="16" x14ac:dyDescent="0.25">
      <c r="A933" s="399" t="str">
        <f>IF(B933="","",CONCATENATE("GBL",B933," - ",Mantenedor!E937))</f>
        <v/>
      </c>
      <c r="P933" s="399" t="str">
        <f t="shared" si="56"/>
        <v/>
      </c>
      <c r="Q933" s="405" t="str" cm="1">
        <f t="array" ref="Q933">+_xlfn.IFS(O933="Nacional","CLP",O933="Extranjero","USD",O933="","")</f>
        <v/>
      </c>
      <c r="R933" s="406" t="str">
        <f>IFERROR(IF(O933="Nacional",VLOOKUP(P933,PRICING!$D$4:$E$59,2,FALSE),VLOOKUP(P933,PRICING!$J$4:$K$59,2,FALSE)),"")</f>
        <v/>
      </c>
      <c r="S933"/>
      <c r="U933" s="406" t="str">
        <f t="shared" si="57"/>
        <v/>
      </c>
      <c r="W933" s="408" t="str">
        <f t="shared" si="58"/>
        <v/>
      </c>
      <c r="X933" s="409" t="str">
        <f t="shared" si="59"/>
        <v/>
      </c>
    </row>
    <row r="934" spans="1:24" ht="16" x14ac:dyDescent="0.25">
      <c r="A934" s="399" t="str">
        <f>IF(B934="","",CONCATENATE("GBL",B934," - ",Mantenedor!E938))</f>
        <v/>
      </c>
      <c r="P934" s="399" t="str">
        <f t="shared" si="56"/>
        <v/>
      </c>
      <c r="Q934" s="405" t="str" cm="1">
        <f t="array" ref="Q934">+_xlfn.IFS(O934="Nacional","CLP",O934="Extranjero","USD",O934="","")</f>
        <v/>
      </c>
      <c r="R934" s="406" t="str">
        <f>IFERROR(IF(O934="Nacional",VLOOKUP(P934,PRICING!$D$4:$E$59,2,FALSE),VLOOKUP(P934,PRICING!$J$4:$K$59,2,FALSE)),"")</f>
        <v/>
      </c>
      <c r="S934"/>
      <c r="U934" s="406" t="str">
        <f t="shared" si="57"/>
        <v/>
      </c>
      <c r="W934" s="408" t="str">
        <f t="shared" si="58"/>
        <v/>
      </c>
      <c r="X934" s="409" t="str">
        <f t="shared" si="59"/>
        <v/>
      </c>
    </row>
    <row r="935" spans="1:24" ht="16" x14ac:dyDescent="0.25">
      <c r="A935" s="399" t="str">
        <f>IF(B935="","",CONCATENATE("GBL",B935," - ",Mantenedor!E939))</f>
        <v/>
      </c>
      <c r="P935" s="399" t="str">
        <f t="shared" si="56"/>
        <v/>
      </c>
      <c r="Q935" s="405" t="str" cm="1">
        <f t="array" ref="Q935">+_xlfn.IFS(O935="Nacional","CLP",O935="Extranjero","USD",O935="","")</f>
        <v/>
      </c>
      <c r="R935" s="406" t="str">
        <f>IFERROR(IF(O935="Nacional",VLOOKUP(P935,PRICING!$D$4:$E$59,2,FALSE),VLOOKUP(P935,PRICING!$J$4:$K$59,2,FALSE)),"")</f>
        <v/>
      </c>
      <c r="S935"/>
      <c r="U935" s="406" t="str">
        <f t="shared" si="57"/>
        <v/>
      </c>
      <c r="W935" s="408" t="str">
        <f t="shared" si="58"/>
        <v/>
      </c>
      <c r="X935" s="409" t="str">
        <f t="shared" si="59"/>
        <v/>
      </c>
    </row>
    <row r="936" spans="1:24" ht="16" x14ac:dyDescent="0.25">
      <c r="A936" s="399" t="str">
        <f>IF(B936="","",CONCATENATE("GBL",B936," - ",Mantenedor!E940))</f>
        <v/>
      </c>
      <c r="P936" s="399" t="str">
        <f t="shared" si="56"/>
        <v/>
      </c>
      <c r="Q936" s="405" t="str" cm="1">
        <f t="array" ref="Q936">+_xlfn.IFS(O936="Nacional","CLP",O936="Extranjero","USD",O936="","")</f>
        <v/>
      </c>
      <c r="R936" s="406" t="str">
        <f>IFERROR(IF(O936="Nacional",VLOOKUP(P936,PRICING!$D$4:$E$59,2,FALSE),VLOOKUP(P936,PRICING!$J$4:$K$59,2,FALSE)),"")</f>
        <v/>
      </c>
      <c r="S936"/>
      <c r="U936" s="406" t="str">
        <f t="shared" si="57"/>
        <v/>
      </c>
      <c r="W936" s="408" t="str">
        <f t="shared" si="58"/>
        <v/>
      </c>
      <c r="X936" s="409" t="str">
        <f t="shared" si="59"/>
        <v/>
      </c>
    </row>
    <row r="937" spans="1:24" ht="16" x14ac:dyDescent="0.25">
      <c r="A937" s="399" t="str">
        <f>IF(B937="","",CONCATENATE("GBL",B937," - ",Mantenedor!E941))</f>
        <v/>
      </c>
      <c r="P937" s="399" t="str">
        <f t="shared" si="56"/>
        <v/>
      </c>
      <c r="Q937" s="405" t="str" cm="1">
        <f t="array" ref="Q937">+_xlfn.IFS(O937="Nacional","CLP",O937="Extranjero","USD",O937="","")</f>
        <v/>
      </c>
      <c r="R937" s="406" t="str">
        <f>IFERROR(IF(O937="Nacional",VLOOKUP(P937,PRICING!$D$4:$E$59,2,FALSE),VLOOKUP(P937,PRICING!$J$4:$K$59,2,FALSE)),"")</f>
        <v/>
      </c>
      <c r="S937"/>
      <c r="U937" s="406" t="str">
        <f t="shared" si="57"/>
        <v/>
      </c>
      <c r="W937" s="408" t="str">
        <f t="shared" si="58"/>
        <v/>
      </c>
      <c r="X937" s="409" t="str">
        <f t="shared" si="59"/>
        <v/>
      </c>
    </row>
    <row r="938" spans="1:24" ht="16" x14ac:dyDescent="0.25">
      <c r="A938" s="399" t="str">
        <f>IF(B938="","",CONCATENATE("GBL",B938," - ",Mantenedor!E942))</f>
        <v/>
      </c>
      <c r="P938" s="399" t="str">
        <f t="shared" si="56"/>
        <v/>
      </c>
      <c r="Q938" s="405" t="str" cm="1">
        <f t="array" ref="Q938">+_xlfn.IFS(O938="Nacional","CLP",O938="Extranjero","USD",O938="","")</f>
        <v/>
      </c>
      <c r="R938" s="406" t="str">
        <f>IFERROR(IF(O938="Nacional",VLOOKUP(P938,PRICING!$D$4:$E$59,2,FALSE),VLOOKUP(P938,PRICING!$J$4:$K$59,2,FALSE)),"")</f>
        <v/>
      </c>
      <c r="S938"/>
      <c r="U938" s="406" t="str">
        <f t="shared" si="57"/>
        <v/>
      </c>
      <c r="W938" s="408" t="str">
        <f t="shared" si="58"/>
        <v/>
      </c>
      <c r="X938" s="409" t="str">
        <f t="shared" si="59"/>
        <v/>
      </c>
    </row>
    <row r="939" spans="1:24" ht="16" x14ac:dyDescent="0.25">
      <c r="A939" s="399" t="str">
        <f>IF(B939="","",CONCATENATE("GBL",B939," - ",Mantenedor!E943))</f>
        <v/>
      </c>
      <c r="P939" s="399" t="str">
        <f t="shared" si="56"/>
        <v/>
      </c>
      <c r="Q939" s="405" t="str" cm="1">
        <f t="array" ref="Q939">+_xlfn.IFS(O939="Nacional","CLP",O939="Extranjero","USD",O939="","")</f>
        <v/>
      </c>
      <c r="R939" s="406" t="str">
        <f>IFERROR(IF(O939="Nacional",VLOOKUP(P939,PRICING!$D$4:$E$59,2,FALSE),VLOOKUP(P939,PRICING!$J$4:$K$59,2,FALSE)),"")</f>
        <v/>
      </c>
      <c r="S939"/>
      <c r="U939" s="406" t="str">
        <f t="shared" si="57"/>
        <v/>
      </c>
      <c r="W939" s="408" t="str">
        <f t="shared" si="58"/>
        <v/>
      </c>
      <c r="X939" s="409" t="str">
        <f t="shared" si="59"/>
        <v/>
      </c>
    </row>
    <row r="940" spans="1:24" ht="16" x14ac:dyDescent="0.25">
      <c r="A940" s="399" t="str">
        <f>IF(B940="","",CONCATENATE("GBL",B940," - ",Mantenedor!E944))</f>
        <v/>
      </c>
      <c r="P940" s="399" t="str">
        <f t="shared" si="56"/>
        <v/>
      </c>
      <c r="Q940" s="405" t="str" cm="1">
        <f t="array" ref="Q940">+_xlfn.IFS(O940="Nacional","CLP",O940="Extranjero","USD",O940="","")</f>
        <v/>
      </c>
      <c r="R940" s="406" t="str">
        <f>IFERROR(IF(O940="Nacional",VLOOKUP(P940,PRICING!$D$4:$E$59,2,FALSE),VLOOKUP(P940,PRICING!$J$4:$K$59,2,FALSE)),"")</f>
        <v/>
      </c>
      <c r="S940"/>
      <c r="U940" s="406" t="str">
        <f t="shared" si="57"/>
        <v/>
      </c>
      <c r="W940" s="408" t="str">
        <f t="shared" si="58"/>
        <v/>
      </c>
      <c r="X940" s="409" t="str">
        <f t="shared" si="59"/>
        <v/>
      </c>
    </row>
    <row r="941" spans="1:24" ht="16" x14ac:dyDescent="0.25">
      <c r="A941" s="399" t="str">
        <f>IF(B941="","",CONCATENATE("GBL",B941," - ",Mantenedor!E945))</f>
        <v/>
      </c>
      <c r="P941" s="399" t="str">
        <f t="shared" si="56"/>
        <v/>
      </c>
      <c r="Q941" s="405" t="str" cm="1">
        <f t="array" ref="Q941">+_xlfn.IFS(O941="Nacional","CLP",O941="Extranjero","USD",O941="","")</f>
        <v/>
      </c>
      <c r="R941" s="406" t="str">
        <f>IFERROR(IF(O941="Nacional",VLOOKUP(P941,PRICING!$D$4:$E$59,2,FALSE),VLOOKUP(P941,PRICING!$J$4:$K$59,2,FALSE)),"")</f>
        <v/>
      </c>
      <c r="S941"/>
      <c r="U941" s="406" t="str">
        <f t="shared" si="57"/>
        <v/>
      </c>
      <c r="W941" s="408" t="str">
        <f t="shared" si="58"/>
        <v/>
      </c>
      <c r="X941" s="409" t="str">
        <f t="shared" si="59"/>
        <v/>
      </c>
    </row>
    <row r="942" spans="1:24" ht="16" x14ac:dyDescent="0.25">
      <c r="A942" s="399" t="str">
        <f>IF(B942="","",CONCATENATE("GBL",B942," - ",Mantenedor!E946))</f>
        <v/>
      </c>
      <c r="P942" s="399" t="str">
        <f t="shared" si="56"/>
        <v/>
      </c>
      <c r="Q942" s="405" t="str" cm="1">
        <f t="array" ref="Q942">+_xlfn.IFS(O942="Nacional","CLP",O942="Extranjero","USD",O942="","")</f>
        <v/>
      </c>
      <c r="R942" s="406" t="str">
        <f>IFERROR(IF(O942="Nacional",VLOOKUP(P942,PRICING!$D$4:$E$59,2,FALSE),VLOOKUP(P942,PRICING!$J$4:$K$59,2,FALSE)),"")</f>
        <v/>
      </c>
      <c r="S942"/>
      <c r="U942" s="406" t="str">
        <f t="shared" si="57"/>
        <v/>
      </c>
      <c r="W942" s="408" t="str">
        <f t="shared" si="58"/>
        <v/>
      </c>
      <c r="X942" s="409" t="str">
        <f t="shared" si="59"/>
        <v/>
      </c>
    </row>
    <row r="943" spans="1:24" ht="16" x14ac:dyDescent="0.25">
      <c r="A943" s="399" t="str">
        <f>IF(B943="","",CONCATENATE("GBL",B943," - ",Mantenedor!E947))</f>
        <v/>
      </c>
      <c r="P943" s="399" t="str">
        <f t="shared" si="56"/>
        <v/>
      </c>
      <c r="Q943" s="405" t="str" cm="1">
        <f t="array" ref="Q943">+_xlfn.IFS(O943="Nacional","CLP",O943="Extranjero","USD",O943="","")</f>
        <v/>
      </c>
      <c r="R943" s="406" t="str">
        <f>IFERROR(IF(O943="Nacional",VLOOKUP(P943,PRICING!$D$4:$E$59,2,FALSE),VLOOKUP(P943,PRICING!$J$4:$K$59,2,FALSE)),"")</f>
        <v/>
      </c>
      <c r="S943"/>
      <c r="U943" s="406" t="str">
        <f t="shared" si="57"/>
        <v/>
      </c>
      <c r="W943" s="408" t="str">
        <f t="shared" si="58"/>
        <v/>
      </c>
      <c r="X943" s="409" t="str">
        <f t="shared" si="59"/>
        <v/>
      </c>
    </row>
    <row r="944" spans="1:24" ht="16" x14ac:dyDescent="0.25">
      <c r="A944" s="399" t="str">
        <f>IF(B944="","",CONCATENATE("GBL",B944," - ",Mantenedor!E948))</f>
        <v/>
      </c>
      <c r="P944" s="399" t="str">
        <f t="shared" si="56"/>
        <v/>
      </c>
      <c r="Q944" s="405" t="str" cm="1">
        <f t="array" ref="Q944">+_xlfn.IFS(O944="Nacional","CLP",O944="Extranjero","USD",O944="","")</f>
        <v/>
      </c>
      <c r="R944" s="406" t="str">
        <f>IFERROR(IF(O944="Nacional",VLOOKUP(P944,PRICING!$D$4:$E$59,2,FALSE),VLOOKUP(P944,PRICING!$J$4:$K$59,2,FALSE)),"")</f>
        <v/>
      </c>
      <c r="S944"/>
      <c r="U944" s="406" t="str">
        <f t="shared" si="57"/>
        <v/>
      </c>
      <c r="W944" s="408" t="str">
        <f t="shared" si="58"/>
        <v/>
      </c>
      <c r="X944" s="409" t="str">
        <f t="shared" si="59"/>
        <v/>
      </c>
    </row>
    <row r="945" spans="1:24" ht="16" x14ac:dyDescent="0.25">
      <c r="A945" s="399" t="str">
        <f>IF(B945="","",CONCATENATE("GBL",B945," - ",Mantenedor!E949))</f>
        <v/>
      </c>
      <c r="P945" s="399" t="str">
        <f t="shared" si="56"/>
        <v/>
      </c>
      <c r="Q945" s="405" t="str" cm="1">
        <f t="array" ref="Q945">+_xlfn.IFS(O945="Nacional","CLP",O945="Extranjero","USD",O945="","")</f>
        <v/>
      </c>
      <c r="R945" s="406" t="str">
        <f>IFERROR(IF(O945="Nacional",VLOOKUP(P945,PRICING!$D$4:$E$59,2,FALSE),VLOOKUP(P945,PRICING!$J$4:$K$59,2,FALSE)),"")</f>
        <v/>
      </c>
      <c r="S945"/>
      <c r="U945" s="406" t="str">
        <f t="shared" si="57"/>
        <v/>
      </c>
      <c r="W945" s="408" t="str">
        <f t="shared" si="58"/>
        <v/>
      </c>
      <c r="X945" s="409" t="str">
        <f t="shared" si="59"/>
        <v/>
      </c>
    </row>
    <row r="946" spans="1:24" ht="16" x14ac:dyDescent="0.25">
      <c r="A946" s="399" t="str">
        <f>IF(B946="","",CONCATENATE("GBL",B946," - ",Mantenedor!E950))</f>
        <v/>
      </c>
      <c r="P946" s="399" t="str">
        <f t="shared" si="56"/>
        <v/>
      </c>
      <c r="Q946" s="405" t="str" cm="1">
        <f t="array" ref="Q946">+_xlfn.IFS(O946="Nacional","CLP",O946="Extranjero","USD",O946="","")</f>
        <v/>
      </c>
      <c r="R946" s="406" t="str">
        <f>IFERROR(IF(O946="Nacional",VLOOKUP(P946,PRICING!$D$4:$E$59,2,FALSE),VLOOKUP(P946,PRICING!$J$4:$K$59,2,FALSE)),"")</f>
        <v/>
      </c>
      <c r="S946"/>
      <c r="U946" s="406" t="str">
        <f t="shared" si="57"/>
        <v/>
      </c>
      <c r="W946" s="408" t="str">
        <f t="shared" si="58"/>
        <v/>
      </c>
      <c r="X946" s="409" t="str">
        <f t="shared" si="59"/>
        <v/>
      </c>
    </row>
    <row r="947" spans="1:24" ht="16" x14ac:dyDescent="0.25">
      <c r="A947" s="399" t="str">
        <f>IF(B947="","",CONCATENATE("GBL",B947," - ",Mantenedor!E951))</f>
        <v/>
      </c>
      <c r="P947" s="399" t="str">
        <f t="shared" si="56"/>
        <v/>
      </c>
      <c r="Q947" s="405" t="str" cm="1">
        <f t="array" ref="Q947">+_xlfn.IFS(O947="Nacional","CLP",O947="Extranjero","USD",O947="","")</f>
        <v/>
      </c>
      <c r="R947" s="406" t="str">
        <f>IFERROR(IF(O947="Nacional",VLOOKUP(P947,PRICING!$D$4:$E$59,2,FALSE),VLOOKUP(P947,PRICING!$J$4:$K$59,2,FALSE)),"")</f>
        <v/>
      </c>
      <c r="S947"/>
      <c r="U947" s="406" t="str">
        <f t="shared" si="57"/>
        <v/>
      </c>
      <c r="W947" s="408" t="str">
        <f t="shared" si="58"/>
        <v/>
      </c>
      <c r="X947" s="409" t="str">
        <f t="shared" si="59"/>
        <v/>
      </c>
    </row>
    <row r="948" spans="1:24" ht="16" x14ac:dyDescent="0.25">
      <c r="A948" s="399" t="str">
        <f>IF(B948="","",CONCATENATE("GBL",B948," - ",Mantenedor!E952))</f>
        <v/>
      </c>
      <c r="P948" s="399" t="str">
        <f t="shared" si="56"/>
        <v/>
      </c>
      <c r="Q948" s="405" t="str" cm="1">
        <f t="array" ref="Q948">+_xlfn.IFS(O948="Nacional","CLP",O948="Extranjero","USD",O948="","")</f>
        <v/>
      </c>
      <c r="R948" s="406" t="str">
        <f>IFERROR(IF(O948="Nacional",VLOOKUP(P948,PRICING!$D$4:$E$59,2,FALSE),VLOOKUP(P948,PRICING!$J$4:$K$59,2,FALSE)),"")</f>
        <v/>
      </c>
      <c r="S948"/>
      <c r="U948" s="406" t="str">
        <f t="shared" si="57"/>
        <v/>
      </c>
      <c r="W948" s="408" t="str">
        <f t="shared" si="58"/>
        <v/>
      </c>
      <c r="X948" s="409" t="str">
        <f t="shared" si="59"/>
        <v/>
      </c>
    </row>
    <row r="949" spans="1:24" ht="16" x14ac:dyDescent="0.25">
      <c r="A949" s="399" t="str">
        <f>IF(B949="","",CONCATENATE("GBL",B949," - ",Mantenedor!E953))</f>
        <v/>
      </c>
      <c r="P949" s="399" t="str">
        <f t="shared" si="56"/>
        <v/>
      </c>
      <c r="Q949" s="405" t="str" cm="1">
        <f t="array" ref="Q949">+_xlfn.IFS(O949="Nacional","CLP",O949="Extranjero","USD",O949="","")</f>
        <v/>
      </c>
      <c r="R949" s="406" t="str">
        <f>IFERROR(IF(O949="Nacional",VLOOKUP(P949,PRICING!$D$4:$E$59,2,FALSE),VLOOKUP(P949,PRICING!$J$4:$K$59,2,FALSE)),"")</f>
        <v/>
      </c>
      <c r="S949"/>
      <c r="U949" s="406" t="str">
        <f t="shared" si="57"/>
        <v/>
      </c>
      <c r="W949" s="408" t="str">
        <f t="shared" si="58"/>
        <v/>
      </c>
      <c r="X949" s="409" t="str">
        <f t="shared" si="59"/>
        <v/>
      </c>
    </row>
    <row r="950" spans="1:24" ht="16" x14ac:dyDescent="0.25">
      <c r="A950" s="399" t="str">
        <f>IF(B950="","",CONCATENATE("GBL",B950," - ",Mantenedor!E954))</f>
        <v/>
      </c>
      <c r="P950" s="399" t="str">
        <f t="shared" si="56"/>
        <v/>
      </c>
      <c r="Q950" s="405" t="str" cm="1">
        <f t="array" ref="Q950">+_xlfn.IFS(O950="Nacional","CLP",O950="Extranjero","USD",O950="","")</f>
        <v/>
      </c>
      <c r="R950" s="406" t="str">
        <f>IFERROR(IF(O950="Nacional",VLOOKUP(P950,PRICING!$D$4:$E$59,2,FALSE),VLOOKUP(P950,PRICING!$J$4:$K$59,2,FALSE)),"")</f>
        <v/>
      </c>
      <c r="S950"/>
      <c r="U950" s="406" t="str">
        <f t="shared" si="57"/>
        <v/>
      </c>
      <c r="W950" s="408" t="str">
        <f t="shared" si="58"/>
        <v/>
      </c>
      <c r="X950" s="409" t="str">
        <f t="shared" si="59"/>
        <v/>
      </c>
    </row>
    <row r="951" spans="1:24" ht="16" x14ac:dyDescent="0.25">
      <c r="A951" s="399" t="str">
        <f>IF(B951="","",CONCATENATE("GBL",B951," - ",Mantenedor!E955))</f>
        <v/>
      </c>
      <c r="P951" s="399" t="str">
        <f t="shared" si="56"/>
        <v/>
      </c>
      <c r="Q951" s="405" t="str" cm="1">
        <f t="array" ref="Q951">+_xlfn.IFS(O951="Nacional","CLP",O951="Extranjero","USD",O951="","")</f>
        <v/>
      </c>
      <c r="R951" s="406" t="str">
        <f>IFERROR(IF(O951="Nacional",VLOOKUP(P951,PRICING!$D$4:$E$59,2,FALSE),VLOOKUP(P951,PRICING!$J$4:$K$59,2,FALSE)),"")</f>
        <v/>
      </c>
      <c r="S951"/>
      <c r="U951" s="406" t="str">
        <f t="shared" si="57"/>
        <v/>
      </c>
      <c r="W951" s="408" t="str">
        <f t="shared" si="58"/>
        <v/>
      </c>
      <c r="X951" s="409" t="str">
        <f t="shared" si="59"/>
        <v/>
      </c>
    </row>
    <row r="952" spans="1:24" ht="16" x14ac:dyDescent="0.25">
      <c r="A952" s="399" t="str">
        <f>IF(B952="","",CONCATENATE("GBL",B952," - ",Mantenedor!E956))</f>
        <v/>
      </c>
      <c r="P952" s="399" t="str">
        <f t="shared" si="56"/>
        <v/>
      </c>
      <c r="Q952" s="405" t="str" cm="1">
        <f t="array" ref="Q952">+_xlfn.IFS(O952="Nacional","CLP",O952="Extranjero","USD",O952="","")</f>
        <v/>
      </c>
      <c r="R952" s="406" t="str">
        <f>IFERROR(IF(O952="Nacional",VLOOKUP(P952,PRICING!$D$4:$E$59,2,FALSE),VLOOKUP(P952,PRICING!$J$4:$K$59,2,FALSE)),"")</f>
        <v/>
      </c>
      <c r="S952"/>
      <c r="U952" s="406" t="str">
        <f t="shared" si="57"/>
        <v/>
      </c>
      <c r="W952" s="408" t="str">
        <f t="shared" si="58"/>
        <v/>
      </c>
      <c r="X952" s="409" t="str">
        <f t="shared" si="59"/>
        <v/>
      </c>
    </row>
    <row r="953" spans="1:24" ht="16" x14ac:dyDescent="0.25">
      <c r="A953" s="399" t="str">
        <f>IF(B953="","",CONCATENATE("GBL",B953," - ",Mantenedor!E957))</f>
        <v/>
      </c>
      <c r="P953" s="399" t="str">
        <f t="shared" si="56"/>
        <v/>
      </c>
      <c r="Q953" s="405" t="str" cm="1">
        <f t="array" ref="Q953">+_xlfn.IFS(O953="Nacional","CLP",O953="Extranjero","USD",O953="","")</f>
        <v/>
      </c>
      <c r="R953" s="406" t="str">
        <f>IFERROR(IF(O953="Nacional",VLOOKUP(P953,PRICING!$D$4:$E$59,2,FALSE),VLOOKUP(P953,PRICING!$J$4:$K$59,2,FALSE)),"")</f>
        <v/>
      </c>
      <c r="S953"/>
      <c r="U953" s="406" t="str">
        <f t="shared" si="57"/>
        <v/>
      </c>
      <c r="W953" s="408" t="str">
        <f t="shared" si="58"/>
        <v/>
      </c>
      <c r="X953" s="409" t="str">
        <f t="shared" si="59"/>
        <v/>
      </c>
    </row>
    <row r="954" spans="1:24" ht="16" x14ac:dyDescent="0.25">
      <c r="A954" s="399" t="str">
        <f>IF(B954="","",CONCATENATE("GBL",B954," - ",Mantenedor!E958))</f>
        <v/>
      </c>
      <c r="P954" s="399" t="str">
        <f t="shared" si="56"/>
        <v/>
      </c>
      <c r="Q954" s="405" t="str" cm="1">
        <f t="array" ref="Q954">+_xlfn.IFS(O954="Nacional","CLP",O954="Extranjero","USD",O954="","")</f>
        <v/>
      </c>
      <c r="R954" s="406" t="str">
        <f>IFERROR(IF(O954="Nacional",VLOOKUP(P954,PRICING!$D$4:$E$59,2,FALSE),VLOOKUP(P954,PRICING!$J$4:$K$59,2,FALSE)),"")</f>
        <v/>
      </c>
      <c r="S954"/>
      <c r="U954" s="406" t="str">
        <f t="shared" si="57"/>
        <v/>
      </c>
      <c r="W954" s="408" t="str">
        <f t="shared" si="58"/>
        <v/>
      </c>
      <c r="X954" s="409" t="str">
        <f t="shared" si="59"/>
        <v/>
      </c>
    </row>
    <row r="955" spans="1:24" ht="16" x14ac:dyDescent="0.25">
      <c r="A955" s="399" t="str">
        <f>IF(B955="","",CONCATENATE("GBL",B955," - ",Mantenedor!E959))</f>
        <v/>
      </c>
      <c r="P955" s="399" t="str">
        <f t="shared" si="56"/>
        <v/>
      </c>
      <c r="Q955" s="405" t="str" cm="1">
        <f t="array" ref="Q955">+_xlfn.IFS(O955="Nacional","CLP",O955="Extranjero","USD",O955="","")</f>
        <v/>
      </c>
      <c r="R955" s="406" t="str">
        <f>IFERROR(IF(O955="Nacional",VLOOKUP(P955,PRICING!$D$4:$E$59,2,FALSE),VLOOKUP(P955,PRICING!$J$4:$K$59,2,FALSE)),"")</f>
        <v/>
      </c>
      <c r="S955"/>
      <c r="U955" s="406" t="str">
        <f t="shared" si="57"/>
        <v/>
      </c>
      <c r="W955" s="408" t="str">
        <f t="shared" si="58"/>
        <v/>
      </c>
      <c r="X955" s="409" t="str">
        <f t="shared" si="59"/>
        <v/>
      </c>
    </row>
    <row r="956" spans="1:24" ht="16" x14ac:dyDescent="0.25">
      <c r="A956" s="399" t="str">
        <f>IF(B956="","",CONCATENATE("GBL",B956," - ",Mantenedor!E960))</f>
        <v/>
      </c>
      <c r="P956" s="399" t="str">
        <f t="shared" si="56"/>
        <v/>
      </c>
      <c r="Q956" s="405" t="str" cm="1">
        <f t="array" ref="Q956">+_xlfn.IFS(O956="Nacional","CLP",O956="Extranjero","USD",O956="","")</f>
        <v/>
      </c>
      <c r="R956" s="406" t="str">
        <f>IFERROR(IF(O956="Nacional",VLOOKUP(P956,PRICING!$D$4:$E$59,2,FALSE),VLOOKUP(P956,PRICING!$J$4:$K$59,2,FALSE)),"")</f>
        <v/>
      </c>
      <c r="S956"/>
      <c r="U956" s="406" t="str">
        <f t="shared" si="57"/>
        <v/>
      </c>
      <c r="W956" s="408" t="str">
        <f t="shared" si="58"/>
        <v/>
      </c>
      <c r="X956" s="409" t="str">
        <f t="shared" si="59"/>
        <v/>
      </c>
    </row>
    <row r="957" spans="1:24" ht="16" x14ac:dyDescent="0.25">
      <c r="A957" s="399" t="str">
        <f>IF(B957="","",CONCATENATE("GBL",B957," - ",Mantenedor!E961))</f>
        <v/>
      </c>
      <c r="P957" s="399" t="str">
        <f t="shared" si="56"/>
        <v/>
      </c>
      <c r="Q957" s="405" t="str" cm="1">
        <f t="array" ref="Q957">+_xlfn.IFS(O957="Nacional","CLP",O957="Extranjero","USD",O957="","")</f>
        <v/>
      </c>
      <c r="R957" s="406" t="str">
        <f>IFERROR(IF(O957="Nacional",VLOOKUP(P957,PRICING!$D$4:$E$59,2,FALSE),VLOOKUP(P957,PRICING!$J$4:$K$59,2,FALSE)),"")</f>
        <v/>
      </c>
      <c r="S957"/>
      <c r="U957" s="406" t="str">
        <f t="shared" si="57"/>
        <v/>
      </c>
      <c r="W957" s="408" t="str">
        <f t="shared" si="58"/>
        <v/>
      </c>
      <c r="X957" s="409" t="str">
        <f t="shared" si="59"/>
        <v/>
      </c>
    </row>
    <row r="958" spans="1:24" ht="16" x14ac:dyDescent="0.25">
      <c r="A958" s="399" t="str">
        <f>IF(B958="","",CONCATENATE("GBL",B958," - ",Mantenedor!E962))</f>
        <v/>
      </c>
      <c r="P958" s="399" t="str">
        <f t="shared" si="56"/>
        <v/>
      </c>
      <c r="Q958" s="405" t="str" cm="1">
        <f t="array" ref="Q958">+_xlfn.IFS(O958="Nacional","CLP",O958="Extranjero","USD",O958="","")</f>
        <v/>
      </c>
      <c r="R958" s="406" t="str">
        <f>IFERROR(IF(O958="Nacional",VLOOKUP(P958,PRICING!$D$4:$E$59,2,FALSE),VLOOKUP(P958,PRICING!$J$4:$K$59,2,FALSE)),"")</f>
        <v/>
      </c>
      <c r="S958"/>
      <c r="U958" s="406" t="str">
        <f t="shared" si="57"/>
        <v/>
      </c>
      <c r="W958" s="408" t="str">
        <f t="shared" si="58"/>
        <v/>
      </c>
      <c r="X958" s="409" t="str">
        <f t="shared" si="59"/>
        <v/>
      </c>
    </row>
    <row r="959" spans="1:24" ht="16" x14ac:dyDescent="0.25">
      <c r="A959" s="399" t="str">
        <f>IF(B959="","",CONCATENATE("GBL",B959," - ",Mantenedor!E963))</f>
        <v/>
      </c>
      <c r="P959" s="399" t="str">
        <f t="shared" ref="P959:P996" si="60">IF(N959="","",(IF(L959=1,(CONCATENATE("Base ",N959," ",L959," noche")),(CONCATENATE("Base ",N959," ",L959," noches")))))</f>
        <v/>
      </c>
      <c r="Q959" s="405" t="str" cm="1">
        <f t="array" ref="Q959">+_xlfn.IFS(O959="Nacional","CLP",O959="Extranjero","USD",O959="","")</f>
        <v/>
      </c>
      <c r="R959" s="406" t="str">
        <f>IFERROR(IF(O959="Nacional",VLOOKUP(P959,PRICING!$D$4:$E$59,2,FALSE),VLOOKUP(P959,PRICING!$J$4:$K$59,2,FALSE)),"")</f>
        <v/>
      </c>
      <c r="S959"/>
      <c r="U959" s="406" t="str">
        <f t="shared" ref="U959:U996" si="61">IFERROR(+R959*(1-S959),"")</f>
        <v/>
      </c>
      <c r="W959" s="408" t="str">
        <f t="shared" ref="W959:W996" si="62">+IF(U959="","","50"%)</f>
        <v/>
      </c>
      <c r="X959" s="409" t="str">
        <f t="shared" si="59"/>
        <v/>
      </c>
    </row>
    <row r="960" spans="1:24" ht="16" x14ac:dyDescent="0.25">
      <c r="A960" s="399" t="str">
        <f>IF(B960="","",CONCATENATE("GBL",B960," - ",Mantenedor!E964))</f>
        <v/>
      </c>
      <c r="P960" s="399" t="str">
        <f t="shared" si="60"/>
        <v/>
      </c>
      <c r="Q960" s="405" t="str" cm="1">
        <f t="array" ref="Q960">+_xlfn.IFS(O960="Nacional","CLP",O960="Extranjero","USD",O960="","")</f>
        <v/>
      </c>
      <c r="R960" s="406" t="str">
        <f>IFERROR(IF(O960="Nacional",VLOOKUP(P960,PRICING!$D$4:$E$59,2,FALSE),VLOOKUP(P960,PRICING!$J$4:$K$59,2,FALSE)),"")</f>
        <v/>
      </c>
      <c r="S960"/>
      <c r="U960" s="406" t="str">
        <f t="shared" si="61"/>
        <v/>
      </c>
      <c r="W960" s="408" t="str">
        <f t="shared" si="62"/>
        <v/>
      </c>
      <c r="X960" s="409" t="str">
        <f t="shared" ref="X960:X996" si="63">+IF(W960="","",(1-W960))</f>
        <v/>
      </c>
    </row>
    <row r="961" spans="1:24" ht="16" x14ac:dyDescent="0.25">
      <c r="A961" s="399" t="str">
        <f>IF(B961="","",CONCATENATE("GBL",B961," - ",Mantenedor!E965))</f>
        <v/>
      </c>
      <c r="P961" s="399" t="str">
        <f t="shared" si="60"/>
        <v/>
      </c>
      <c r="Q961" s="405" t="str" cm="1">
        <f t="array" ref="Q961">+_xlfn.IFS(O961="Nacional","CLP",O961="Extranjero","USD",O961="","")</f>
        <v/>
      </c>
      <c r="R961" s="406" t="str">
        <f>IFERROR(IF(O961="Nacional",VLOOKUP(P961,PRICING!$D$4:$E$59,2,FALSE),VLOOKUP(P961,PRICING!$J$4:$K$59,2,FALSE)),"")</f>
        <v/>
      </c>
      <c r="S961"/>
      <c r="U961" s="406" t="str">
        <f t="shared" si="61"/>
        <v/>
      </c>
      <c r="W961" s="408" t="str">
        <f t="shared" si="62"/>
        <v/>
      </c>
      <c r="X961" s="409" t="str">
        <f t="shared" si="63"/>
        <v/>
      </c>
    </row>
    <row r="962" spans="1:24" ht="16" x14ac:dyDescent="0.25">
      <c r="A962" s="399" t="str">
        <f>IF(B962="","",CONCATENATE("GBL",B962," - ",Mantenedor!E966))</f>
        <v/>
      </c>
      <c r="P962" s="399" t="str">
        <f t="shared" si="60"/>
        <v/>
      </c>
      <c r="Q962" s="405" t="str" cm="1">
        <f t="array" ref="Q962">+_xlfn.IFS(O962="Nacional","CLP",O962="Extranjero","USD",O962="","")</f>
        <v/>
      </c>
      <c r="R962" s="406" t="str">
        <f>IFERROR(IF(O962="Nacional",VLOOKUP(P962,PRICING!$D$4:$E$59,2,FALSE),VLOOKUP(P962,PRICING!$J$4:$K$59,2,FALSE)),"")</f>
        <v/>
      </c>
      <c r="S962"/>
      <c r="U962" s="406" t="str">
        <f t="shared" si="61"/>
        <v/>
      </c>
      <c r="W962" s="408" t="str">
        <f t="shared" si="62"/>
        <v/>
      </c>
      <c r="X962" s="409" t="str">
        <f t="shared" si="63"/>
        <v/>
      </c>
    </row>
    <row r="963" spans="1:24" ht="16" x14ac:dyDescent="0.25">
      <c r="A963" s="399" t="str">
        <f>IF(B963="","",CONCATENATE("GBL",B963," - ",Mantenedor!E967))</f>
        <v/>
      </c>
      <c r="P963" s="399" t="str">
        <f t="shared" si="60"/>
        <v/>
      </c>
      <c r="Q963" s="405" t="str" cm="1">
        <f t="array" ref="Q963">+_xlfn.IFS(O963="Nacional","CLP",O963="Extranjero","USD",O963="","")</f>
        <v/>
      </c>
      <c r="R963" s="406" t="str">
        <f>IFERROR(IF(O963="Nacional",VLOOKUP(P963,PRICING!$D$4:$E$59,2,FALSE),VLOOKUP(P963,PRICING!$J$4:$K$59,2,FALSE)),"")</f>
        <v/>
      </c>
      <c r="S963"/>
      <c r="U963" s="406" t="str">
        <f t="shared" si="61"/>
        <v/>
      </c>
      <c r="W963" s="408" t="str">
        <f t="shared" si="62"/>
        <v/>
      </c>
      <c r="X963" s="409" t="str">
        <f t="shared" si="63"/>
        <v/>
      </c>
    </row>
    <row r="964" spans="1:24" ht="16" x14ac:dyDescent="0.25">
      <c r="A964" s="399" t="str">
        <f>IF(B964="","",CONCATENATE("GBL",B964," - ",Mantenedor!E968))</f>
        <v/>
      </c>
      <c r="P964" s="399" t="str">
        <f t="shared" si="60"/>
        <v/>
      </c>
      <c r="Q964" s="405" t="str" cm="1">
        <f t="array" ref="Q964">+_xlfn.IFS(O964="Nacional","CLP",O964="Extranjero","USD",O964="","")</f>
        <v/>
      </c>
      <c r="R964" s="406" t="str">
        <f>IFERROR(IF(O964="Nacional",VLOOKUP(P964,PRICING!$D$4:$E$59,2,FALSE),VLOOKUP(P964,PRICING!$J$4:$K$59,2,FALSE)),"")</f>
        <v/>
      </c>
      <c r="S964"/>
      <c r="U964" s="406" t="str">
        <f t="shared" si="61"/>
        <v/>
      </c>
      <c r="W964" s="408" t="str">
        <f t="shared" si="62"/>
        <v/>
      </c>
      <c r="X964" s="409" t="str">
        <f t="shared" si="63"/>
        <v/>
      </c>
    </row>
    <row r="965" spans="1:24" ht="16" x14ac:dyDescent="0.25">
      <c r="A965" s="399" t="str">
        <f>IF(B965="","",CONCATENATE("GBL",B965," - ",Mantenedor!E969))</f>
        <v/>
      </c>
      <c r="P965" s="399" t="str">
        <f t="shared" si="60"/>
        <v/>
      </c>
      <c r="Q965" s="405" t="str" cm="1">
        <f t="array" ref="Q965">+_xlfn.IFS(O965="Nacional","CLP",O965="Extranjero","USD",O965="","")</f>
        <v/>
      </c>
      <c r="R965" s="406" t="str">
        <f>IFERROR(IF(O965="Nacional",VLOOKUP(P965,PRICING!$D$4:$E$59,2,FALSE),VLOOKUP(P965,PRICING!$J$4:$K$59,2,FALSE)),"")</f>
        <v/>
      </c>
      <c r="S965"/>
      <c r="U965" s="406" t="str">
        <f t="shared" si="61"/>
        <v/>
      </c>
      <c r="W965" s="408" t="str">
        <f t="shared" si="62"/>
        <v/>
      </c>
      <c r="X965" s="409" t="str">
        <f t="shared" si="63"/>
        <v/>
      </c>
    </row>
    <row r="966" spans="1:24" ht="16" x14ac:dyDescent="0.25">
      <c r="A966" s="399" t="str">
        <f>IF(B966="","",CONCATENATE("GBL",B966," - ",Mantenedor!E970))</f>
        <v/>
      </c>
      <c r="P966" s="399" t="str">
        <f t="shared" si="60"/>
        <v/>
      </c>
      <c r="Q966" s="405" t="str" cm="1">
        <f t="array" ref="Q966">+_xlfn.IFS(O966="Nacional","CLP",O966="Extranjero","USD",O966="","")</f>
        <v/>
      </c>
      <c r="R966" s="406" t="str">
        <f>IFERROR(IF(O966="Nacional",VLOOKUP(P966,PRICING!$D$4:$E$59,2,FALSE),VLOOKUP(P966,PRICING!$J$4:$K$59,2,FALSE)),"")</f>
        <v/>
      </c>
      <c r="S966"/>
      <c r="U966" s="406" t="str">
        <f t="shared" si="61"/>
        <v/>
      </c>
      <c r="W966" s="408" t="str">
        <f t="shared" si="62"/>
        <v/>
      </c>
      <c r="X966" s="409" t="str">
        <f t="shared" si="63"/>
        <v/>
      </c>
    </row>
    <row r="967" spans="1:24" ht="16" x14ac:dyDescent="0.25">
      <c r="A967" s="399" t="str">
        <f>IF(B967="","",CONCATENATE("GBL",B967," - ",Mantenedor!E971))</f>
        <v/>
      </c>
      <c r="P967" s="399" t="str">
        <f t="shared" si="60"/>
        <v/>
      </c>
      <c r="Q967" s="405" t="str" cm="1">
        <f t="array" ref="Q967">+_xlfn.IFS(O967="Nacional","CLP",O967="Extranjero","USD",O967="","")</f>
        <v/>
      </c>
      <c r="R967" s="406" t="str">
        <f>IFERROR(IF(O967="Nacional",VLOOKUP(P967,PRICING!$D$4:$E$59,2,FALSE),VLOOKUP(P967,PRICING!$J$4:$K$59,2,FALSE)),"")</f>
        <v/>
      </c>
      <c r="S967"/>
      <c r="U967" s="406" t="str">
        <f t="shared" si="61"/>
        <v/>
      </c>
      <c r="W967" s="408" t="str">
        <f t="shared" si="62"/>
        <v/>
      </c>
      <c r="X967" s="409" t="str">
        <f t="shared" si="63"/>
        <v/>
      </c>
    </row>
    <row r="968" spans="1:24" ht="16" x14ac:dyDescent="0.25">
      <c r="A968" s="399" t="str">
        <f>IF(B968="","",CONCATENATE("GBL",B968," - ",Mantenedor!E972))</f>
        <v/>
      </c>
      <c r="P968" s="399" t="str">
        <f t="shared" si="60"/>
        <v/>
      </c>
      <c r="Q968" s="405" t="str" cm="1">
        <f t="array" ref="Q968">+_xlfn.IFS(O968="Nacional","CLP",O968="Extranjero","USD",O968="","")</f>
        <v/>
      </c>
      <c r="R968" s="406" t="str">
        <f>IFERROR(IF(O968="Nacional",VLOOKUP(P968,PRICING!$D$4:$E$59,2,FALSE),VLOOKUP(P968,PRICING!$J$4:$K$59,2,FALSE)),"")</f>
        <v/>
      </c>
      <c r="S968"/>
      <c r="U968" s="406" t="str">
        <f t="shared" si="61"/>
        <v/>
      </c>
      <c r="W968" s="408" t="str">
        <f t="shared" si="62"/>
        <v/>
      </c>
      <c r="X968" s="409" t="str">
        <f t="shared" si="63"/>
        <v/>
      </c>
    </row>
    <row r="969" spans="1:24" ht="16" x14ac:dyDescent="0.25">
      <c r="A969" s="399" t="str">
        <f>IF(B969="","",CONCATENATE("GBL",B969," - ",Mantenedor!E973))</f>
        <v/>
      </c>
      <c r="P969" s="399" t="str">
        <f t="shared" si="60"/>
        <v/>
      </c>
      <c r="Q969" s="405" t="str" cm="1">
        <f t="array" ref="Q969">+_xlfn.IFS(O969="Nacional","CLP",O969="Extranjero","USD",O969="","")</f>
        <v/>
      </c>
      <c r="R969" s="406" t="str">
        <f>IFERROR(IF(O969="Nacional",VLOOKUP(P969,PRICING!$D$4:$E$59,2,FALSE),VLOOKUP(P969,PRICING!$J$4:$K$59,2,FALSE)),"")</f>
        <v/>
      </c>
      <c r="S969"/>
      <c r="U969" s="406" t="str">
        <f t="shared" si="61"/>
        <v/>
      </c>
      <c r="W969" s="408" t="str">
        <f t="shared" si="62"/>
        <v/>
      </c>
      <c r="X969" s="409" t="str">
        <f t="shared" si="63"/>
        <v/>
      </c>
    </row>
    <row r="970" spans="1:24" ht="16" x14ac:dyDescent="0.25">
      <c r="A970" s="399" t="str">
        <f>IF(B970="","",CONCATENATE("GBL",B970," - ",Mantenedor!E974))</f>
        <v/>
      </c>
      <c r="P970" s="399" t="str">
        <f t="shared" si="60"/>
        <v/>
      </c>
      <c r="Q970" s="405" t="str" cm="1">
        <f t="array" ref="Q970">+_xlfn.IFS(O970="Nacional","CLP",O970="Extranjero","USD",O970="","")</f>
        <v/>
      </c>
      <c r="R970" s="406" t="str">
        <f>IFERROR(IF(O970="Nacional",VLOOKUP(P970,PRICING!$D$4:$E$59,2,FALSE),VLOOKUP(P970,PRICING!$J$4:$K$59,2,FALSE)),"")</f>
        <v/>
      </c>
      <c r="S970"/>
      <c r="U970" s="406" t="str">
        <f t="shared" si="61"/>
        <v/>
      </c>
      <c r="W970" s="408" t="str">
        <f t="shared" si="62"/>
        <v/>
      </c>
      <c r="X970" s="409" t="str">
        <f t="shared" si="63"/>
        <v/>
      </c>
    </row>
    <row r="971" spans="1:24" ht="16" x14ac:dyDescent="0.25">
      <c r="A971" s="399" t="str">
        <f>IF(B971="","",CONCATENATE("GBL",B971," - ",Mantenedor!E975))</f>
        <v/>
      </c>
      <c r="P971" s="399" t="str">
        <f t="shared" si="60"/>
        <v/>
      </c>
      <c r="Q971" s="405" t="str" cm="1">
        <f t="array" ref="Q971">+_xlfn.IFS(O971="Nacional","CLP",O971="Extranjero","USD",O971="","")</f>
        <v/>
      </c>
      <c r="R971" s="406" t="str">
        <f>IFERROR(IF(O971="Nacional",VLOOKUP(P971,PRICING!$D$4:$E$59,2,FALSE),VLOOKUP(P971,PRICING!$J$4:$K$59,2,FALSE)),"")</f>
        <v/>
      </c>
      <c r="S971"/>
      <c r="U971" s="406" t="str">
        <f t="shared" si="61"/>
        <v/>
      </c>
      <c r="W971" s="408" t="str">
        <f t="shared" si="62"/>
        <v/>
      </c>
      <c r="X971" s="409" t="str">
        <f t="shared" si="63"/>
        <v/>
      </c>
    </row>
    <row r="972" spans="1:24" ht="16" x14ac:dyDescent="0.25">
      <c r="A972" s="399" t="str">
        <f>IF(B972="","",CONCATENATE("GBL",B972," - ",Mantenedor!E976))</f>
        <v/>
      </c>
      <c r="P972" s="399" t="str">
        <f t="shared" si="60"/>
        <v/>
      </c>
      <c r="Q972" s="405" t="str" cm="1">
        <f t="array" ref="Q972">+_xlfn.IFS(O972="Nacional","CLP",O972="Extranjero","USD",O972="","")</f>
        <v/>
      </c>
      <c r="R972" s="406" t="str">
        <f>IFERROR(IF(O972="Nacional",VLOOKUP(P972,PRICING!$D$4:$E$59,2,FALSE),VLOOKUP(P972,PRICING!$J$4:$K$59,2,FALSE)),"")</f>
        <v/>
      </c>
      <c r="S972"/>
      <c r="U972" s="406" t="str">
        <f t="shared" si="61"/>
        <v/>
      </c>
      <c r="W972" s="408" t="str">
        <f t="shared" si="62"/>
        <v/>
      </c>
      <c r="X972" s="409" t="str">
        <f t="shared" si="63"/>
        <v/>
      </c>
    </row>
    <row r="973" spans="1:24" ht="16" x14ac:dyDescent="0.25">
      <c r="A973" s="399" t="str">
        <f>IF(B973="","",CONCATENATE("GBL",B973," - ",Mantenedor!E977))</f>
        <v/>
      </c>
      <c r="P973" s="399" t="str">
        <f t="shared" si="60"/>
        <v/>
      </c>
      <c r="Q973" s="405" t="str" cm="1">
        <f t="array" ref="Q973">+_xlfn.IFS(O973="Nacional","CLP",O973="Extranjero","USD",O973="","")</f>
        <v/>
      </c>
      <c r="R973" s="406" t="str">
        <f>IFERROR(IF(O973="Nacional",VLOOKUP(P973,PRICING!$D$4:$E$59,2,FALSE),VLOOKUP(P973,PRICING!$J$4:$K$59,2,FALSE)),"")</f>
        <v/>
      </c>
      <c r="S973"/>
      <c r="U973" s="406" t="str">
        <f t="shared" si="61"/>
        <v/>
      </c>
      <c r="W973" s="408" t="str">
        <f t="shared" si="62"/>
        <v/>
      </c>
      <c r="X973" s="409" t="str">
        <f t="shared" si="63"/>
        <v/>
      </c>
    </row>
    <row r="974" spans="1:24" ht="16" x14ac:dyDescent="0.25">
      <c r="A974" s="399" t="str">
        <f>IF(B974="","",CONCATENATE("GBL",B974," - ",Mantenedor!E978))</f>
        <v/>
      </c>
      <c r="P974" s="399" t="str">
        <f t="shared" si="60"/>
        <v/>
      </c>
      <c r="Q974" s="405" t="str" cm="1">
        <f t="array" ref="Q974">+_xlfn.IFS(O974="Nacional","CLP",O974="Extranjero","USD",O974="","")</f>
        <v/>
      </c>
      <c r="R974" s="406" t="str">
        <f>IFERROR(IF(O974="Nacional",VLOOKUP(P974,PRICING!$D$4:$E$59,2,FALSE),VLOOKUP(P974,PRICING!$J$4:$K$59,2,FALSE)),"")</f>
        <v/>
      </c>
      <c r="S974"/>
      <c r="U974" s="406" t="str">
        <f t="shared" si="61"/>
        <v/>
      </c>
      <c r="W974" s="408" t="str">
        <f t="shared" si="62"/>
        <v/>
      </c>
      <c r="X974" s="409" t="str">
        <f t="shared" si="63"/>
        <v/>
      </c>
    </row>
    <row r="975" spans="1:24" ht="16" x14ac:dyDescent="0.25">
      <c r="A975" s="399" t="str">
        <f>IF(B975="","",CONCATENATE("GBL",B975," - ",Mantenedor!E979))</f>
        <v/>
      </c>
      <c r="P975" s="399" t="str">
        <f t="shared" si="60"/>
        <v/>
      </c>
      <c r="Q975" s="405" t="str" cm="1">
        <f t="array" ref="Q975">+_xlfn.IFS(O975="Nacional","CLP",O975="Extranjero","USD",O975="","")</f>
        <v/>
      </c>
      <c r="R975" s="406" t="str">
        <f>IFERROR(IF(O975="Nacional",VLOOKUP(P975,PRICING!$D$4:$E$59,2,FALSE),VLOOKUP(P975,PRICING!$J$4:$K$59,2,FALSE)),"")</f>
        <v/>
      </c>
      <c r="S975"/>
      <c r="U975" s="406" t="str">
        <f t="shared" si="61"/>
        <v/>
      </c>
      <c r="W975" s="408" t="str">
        <f t="shared" si="62"/>
        <v/>
      </c>
      <c r="X975" s="409" t="str">
        <f t="shared" si="63"/>
        <v/>
      </c>
    </row>
    <row r="976" spans="1:24" ht="16" x14ac:dyDescent="0.25">
      <c r="A976" s="399" t="str">
        <f>IF(B976="","",CONCATENATE("GBL",B976," - ",Mantenedor!E980))</f>
        <v/>
      </c>
      <c r="P976" s="399" t="str">
        <f t="shared" si="60"/>
        <v/>
      </c>
      <c r="Q976" s="405" t="str" cm="1">
        <f t="array" ref="Q976">+_xlfn.IFS(O976="Nacional","CLP",O976="Extranjero","USD",O976="","")</f>
        <v/>
      </c>
      <c r="R976" s="406" t="str">
        <f>IFERROR(IF(O976="Nacional",VLOOKUP(P976,PRICING!$D$4:$E$59,2,FALSE),VLOOKUP(P976,PRICING!$J$4:$K$59,2,FALSE)),"")</f>
        <v/>
      </c>
      <c r="S976"/>
      <c r="U976" s="406" t="str">
        <f t="shared" si="61"/>
        <v/>
      </c>
      <c r="W976" s="408" t="str">
        <f t="shared" si="62"/>
        <v/>
      </c>
      <c r="X976" s="409" t="str">
        <f t="shared" si="63"/>
        <v/>
      </c>
    </row>
    <row r="977" spans="1:24" ht="16" x14ac:dyDescent="0.25">
      <c r="A977" s="399" t="str">
        <f>IF(B977="","",CONCATENATE("GBL",B977," - ",Mantenedor!E981))</f>
        <v/>
      </c>
      <c r="P977" s="399" t="str">
        <f t="shared" si="60"/>
        <v/>
      </c>
      <c r="Q977" s="405" t="str" cm="1">
        <f t="array" ref="Q977">+_xlfn.IFS(O977="Nacional","CLP",O977="Extranjero","USD",O977="","")</f>
        <v/>
      </c>
      <c r="R977" s="406" t="str">
        <f>IFERROR(IF(O977="Nacional",VLOOKUP(P977,PRICING!$D$4:$E$59,2,FALSE),VLOOKUP(P977,PRICING!$J$4:$K$59,2,FALSE)),"")</f>
        <v/>
      </c>
      <c r="S977"/>
      <c r="U977" s="406" t="str">
        <f t="shared" si="61"/>
        <v/>
      </c>
      <c r="W977" s="408" t="str">
        <f t="shared" si="62"/>
        <v/>
      </c>
      <c r="X977" s="409" t="str">
        <f t="shared" si="63"/>
        <v/>
      </c>
    </row>
    <row r="978" spans="1:24" ht="16" x14ac:dyDescent="0.25">
      <c r="A978" s="399" t="str">
        <f>IF(B978="","",CONCATENATE("GBL",B978," - ",Mantenedor!E982))</f>
        <v/>
      </c>
      <c r="P978" s="399" t="str">
        <f t="shared" si="60"/>
        <v/>
      </c>
      <c r="Q978" s="405" t="str" cm="1">
        <f t="array" ref="Q978">+_xlfn.IFS(O978="Nacional","CLP",O978="Extranjero","USD",O978="","")</f>
        <v/>
      </c>
      <c r="R978" s="406" t="str">
        <f>IFERROR(IF(O978="Nacional",VLOOKUP(P978,PRICING!$D$4:$E$59,2,FALSE),VLOOKUP(P978,PRICING!$J$4:$K$59,2,FALSE)),"")</f>
        <v/>
      </c>
      <c r="S978"/>
      <c r="U978" s="406" t="str">
        <f t="shared" si="61"/>
        <v/>
      </c>
      <c r="W978" s="408" t="str">
        <f t="shared" si="62"/>
        <v/>
      </c>
      <c r="X978" s="409" t="str">
        <f t="shared" si="63"/>
        <v/>
      </c>
    </row>
    <row r="979" spans="1:24" ht="16" x14ac:dyDescent="0.25">
      <c r="A979" s="399" t="str">
        <f>IF(B979="","",CONCATENATE("GBL",B979," - ",Mantenedor!E983))</f>
        <v/>
      </c>
      <c r="P979" s="399" t="str">
        <f t="shared" si="60"/>
        <v/>
      </c>
      <c r="Q979" s="405" t="str" cm="1">
        <f t="array" ref="Q979">+_xlfn.IFS(O979="Nacional","CLP",O979="Extranjero","USD",O979="","")</f>
        <v/>
      </c>
      <c r="R979" s="406" t="str">
        <f>IFERROR(IF(O979="Nacional",VLOOKUP(P979,PRICING!$D$4:$E$59,2,FALSE),VLOOKUP(P979,PRICING!$J$4:$K$59,2,FALSE)),"")</f>
        <v/>
      </c>
      <c r="S979"/>
      <c r="U979" s="406" t="str">
        <f t="shared" si="61"/>
        <v/>
      </c>
      <c r="W979" s="408" t="str">
        <f t="shared" si="62"/>
        <v/>
      </c>
      <c r="X979" s="409" t="str">
        <f t="shared" si="63"/>
        <v/>
      </c>
    </row>
    <row r="980" spans="1:24" ht="16" x14ac:dyDescent="0.25">
      <c r="A980" s="399" t="str">
        <f>IF(B980="","",CONCATENATE("GBL",B980," - ",Mantenedor!E984))</f>
        <v/>
      </c>
      <c r="P980" s="399" t="str">
        <f t="shared" si="60"/>
        <v/>
      </c>
      <c r="Q980" s="405" t="str" cm="1">
        <f t="array" ref="Q980">+_xlfn.IFS(O980="Nacional","CLP",O980="Extranjero","USD",O980="","")</f>
        <v/>
      </c>
      <c r="R980" s="406" t="str">
        <f>IFERROR(IF(O980="Nacional",VLOOKUP(P980,PRICING!$D$4:$E$59,2,FALSE),VLOOKUP(P980,PRICING!$J$4:$K$59,2,FALSE)),"")</f>
        <v/>
      </c>
      <c r="S980"/>
      <c r="U980" s="406" t="str">
        <f t="shared" si="61"/>
        <v/>
      </c>
      <c r="W980" s="408" t="str">
        <f t="shared" si="62"/>
        <v/>
      </c>
      <c r="X980" s="409" t="str">
        <f t="shared" si="63"/>
        <v/>
      </c>
    </row>
    <row r="981" spans="1:24" ht="16" x14ac:dyDescent="0.25">
      <c r="A981" s="399" t="str">
        <f>IF(B981="","",CONCATENATE("GBL",B981," - ",Mantenedor!E985))</f>
        <v/>
      </c>
      <c r="P981" s="399" t="str">
        <f t="shared" si="60"/>
        <v/>
      </c>
      <c r="Q981" s="405" t="str" cm="1">
        <f t="array" ref="Q981">+_xlfn.IFS(O981="Nacional","CLP",O981="Extranjero","USD",O981="","")</f>
        <v/>
      </c>
      <c r="R981" s="406" t="str">
        <f>IFERROR(IF(O981="Nacional",VLOOKUP(P981,PRICING!$D$4:$E$59,2,FALSE),VLOOKUP(P981,PRICING!$J$4:$K$59,2,FALSE)),"")</f>
        <v/>
      </c>
      <c r="S981"/>
      <c r="U981" s="406" t="str">
        <f t="shared" si="61"/>
        <v/>
      </c>
      <c r="W981" s="408" t="str">
        <f t="shared" si="62"/>
        <v/>
      </c>
      <c r="X981" s="409" t="str">
        <f t="shared" si="63"/>
        <v/>
      </c>
    </row>
    <row r="982" spans="1:24" ht="16" x14ac:dyDescent="0.25">
      <c r="A982" s="399" t="str">
        <f>IF(B982="","",CONCATENATE("GBL",B982," - ",Mantenedor!E986))</f>
        <v/>
      </c>
      <c r="P982" s="399" t="str">
        <f t="shared" si="60"/>
        <v/>
      </c>
      <c r="Q982" s="405" t="str" cm="1">
        <f t="array" ref="Q982">+_xlfn.IFS(O982="Nacional","CLP",O982="Extranjero","USD",O982="","")</f>
        <v/>
      </c>
      <c r="R982" s="406" t="str">
        <f>IFERROR(IF(O982="Nacional",VLOOKUP(P982,PRICING!$D$4:$E$59,2,FALSE),VLOOKUP(P982,PRICING!$J$4:$K$59,2,FALSE)),"")</f>
        <v/>
      </c>
      <c r="S982"/>
      <c r="U982" s="406" t="str">
        <f t="shared" si="61"/>
        <v/>
      </c>
      <c r="W982" s="408" t="str">
        <f t="shared" si="62"/>
        <v/>
      </c>
      <c r="X982" s="409" t="str">
        <f t="shared" si="63"/>
        <v/>
      </c>
    </row>
    <row r="983" spans="1:24" ht="16" x14ac:dyDescent="0.25">
      <c r="A983" s="399" t="str">
        <f>IF(B983="","",CONCATENATE("GBL",B983," - ",Mantenedor!E987))</f>
        <v/>
      </c>
      <c r="P983" s="399" t="str">
        <f t="shared" si="60"/>
        <v/>
      </c>
      <c r="Q983" s="405" t="str" cm="1">
        <f t="array" ref="Q983">+_xlfn.IFS(O983="Nacional","CLP",O983="Extranjero","USD",O983="","")</f>
        <v/>
      </c>
      <c r="R983" s="406" t="str">
        <f>IFERROR(IF(O983="Nacional",VLOOKUP(P983,PRICING!$D$4:$E$59,2,FALSE),VLOOKUP(P983,PRICING!$J$4:$K$59,2,FALSE)),"")</f>
        <v/>
      </c>
      <c r="S983"/>
      <c r="U983" s="406" t="str">
        <f t="shared" si="61"/>
        <v/>
      </c>
      <c r="W983" s="408" t="str">
        <f t="shared" si="62"/>
        <v/>
      </c>
      <c r="X983" s="409" t="str">
        <f t="shared" si="63"/>
        <v/>
      </c>
    </row>
    <row r="984" spans="1:24" ht="16" x14ac:dyDescent="0.25">
      <c r="A984" s="399" t="str">
        <f>IF(B984="","",CONCATENATE("GBL",B984," - ",Mantenedor!E988))</f>
        <v/>
      </c>
      <c r="P984" s="399" t="str">
        <f t="shared" si="60"/>
        <v/>
      </c>
      <c r="Q984" s="405" t="str" cm="1">
        <f t="array" ref="Q984">+_xlfn.IFS(O984="Nacional","CLP",O984="Extranjero","USD",O984="","")</f>
        <v/>
      </c>
      <c r="R984" s="406" t="str">
        <f>IFERROR(IF(O984="Nacional",VLOOKUP(P984,PRICING!$D$4:$E$59,2,FALSE),VLOOKUP(P984,PRICING!$J$4:$K$59,2,FALSE)),"")</f>
        <v/>
      </c>
      <c r="S984"/>
      <c r="U984" s="406" t="str">
        <f t="shared" si="61"/>
        <v/>
      </c>
      <c r="W984" s="408" t="str">
        <f t="shared" si="62"/>
        <v/>
      </c>
      <c r="X984" s="409" t="str">
        <f t="shared" si="63"/>
        <v/>
      </c>
    </row>
    <row r="985" spans="1:24" ht="16" x14ac:dyDescent="0.25">
      <c r="A985" s="399" t="str">
        <f>IF(B985="","",CONCATENATE("GBL",B985," - ",Mantenedor!E989))</f>
        <v/>
      </c>
      <c r="P985" s="399" t="str">
        <f t="shared" si="60"/>
        <v/>
      </c>
      <c r="Q985" s="405" t="str" cm="1">
        <f t="array" ref="Q985">+_xlfn.IFS(O985="Nacional","CLP",O985="Extranjero","USD",O985="","")</f>
        <v/>
      </c>
      <c r="R985" s="406" t="str">
        <f>IFERROR(IF(O985="Nacional",VLOOKUP(P985,PRICING!$D$4:$E$59,2,FALSE),VLOOKUP(P985,PRICING!$J$4:$K$59,2,FALSE)),"")</f>
        <v/>
      </c>
      <c r="S985"/>
      <c r="U985" s="406" t="str">
        <f t="shared" si="61"/>
        <v/>
      </c>
      <c r="W985" s="408" t="str">
        <f t="shared" si="62"/>
        <v/>
      </c>
      <c r="X985" s="409" t="str">
        <f t="shared" si="63"/>
        <v/>
      </c>
    </row>
    <row r="986" spans="1:24" ht="16" x14ac:dyDescent="0.25">
      <c r="A986" s="399" t="str">
        <f>IF(B986="","",CONCATENATE("GBL",B986," - ",Mantenedor!E990))</f>
        <v/>
      </c>
      <c r="P986" s="399" t="str">
        <f t="shared" si="60"/>
        <v/>
      </c>
      <c r="Q986" s="405" t="str" cm="1">
        <f t="array" ref="Q986">+_xlfn.IFS(O986="Nacional","CLP",O986="Extranjero","USD",O986="","")</f>
        <v/>
      </c>
      <c r="R986" s="406" t="str">
        <f>IFERROR(IF(O986="Nacional",VLOOKUP(P986,PRICING!$D$4:$E$59,2,FALSE),VLOOKUP(P986,PRICING!$J$4:$K$59,2,FALSE)),"")</f>
        <v/>
      </c>
      <c r="S986"/>
      <c r="U986" s="406" t="str">
        <f t="shared" si="61"/>
        <v/>
      </c>
      <c r="W986" s="408" t="str">
        <f t="shared" si="62"/>
        <v/>
      </c>
      <c r="X986" s="409" t="str">
        <f t="shared" si="63"/>
        <v/>
      </c>
    </row>
    <row r="987" spans="1:24" ht="16" x14ac:dyDescent="0.25">
      <c r="A987" s="399" t="str">
        <f>IF(B987="","",CONCATENATE("GBL",B987," - ",Mantenedor!E991))</f>
        <v/>
      </c>
      <c r="P987" s="399" t="str">
        <f t="shared" si="60"/>
        <v/>
      </c>
      <c r="Q987" s="405" t="str" cm="1">
        <f t="array" ref="Q987">+_xlfn.IFS(O987="Nacional","CLP",O987="Extranjero","USD",O987="","")</f>
        <v/>
      </c>
      <c r="R987" s="406" t="str">
        <f>IFERROR(IF(O987="Nacional",VLOOKUP(P987,PRICING!$D$4:$E$59,2,FALSE),VLOOKUP(P987,PRICING!$J$4:$K$59,2,FALSE)),"")</f>
        <v/>
      </c>
      <c r="S987"/>
      <c r="U987" s="406" t="str">
        <f t="shared" si="61"/>
        <v/>
      </c>
      <c r="W987" s="408" t="str">
        <f t="shared" si="62"/>
        <v/>
      </c>
      <c r="X987" s="409" t="str">
        <f t="shared" si="63"/>
        <v/>
      </c>
    </row>
    <row r="988" spans="1:24" ht="16" x14ac:dyDescent="0.25">
      <c r="A988" s="399" t="str">
        <f>IF(B988="","",CONCATENATE("GBL",B988," - ",Mantenedor!E992))</f>
        <v/>
      </c>
      <c r="P988" s="399" t="str">
        <f t="shared" si="60"/>
        <v/>
      </c>
      <c r="Q988" s="405" t="str" cm="1">
        <f t="array" ref="Q988">+_xlfn.IFS(O988="Nacional","CLP",O988="Extranjero","USD",O988="","")</f>
        <v/>
      </c>
      <c r="R988" s="406" t="str">
        <f>IFERROR(IF(O988="Nacional",VLOOKUP(P988,PRICING!$D$4:$E$59,2,FALSE),VLOOKUP(P988,PRICING!$J$4:$K$59,2,FALSE)),"")</f>
        <v/>
      </c>
      <c r="S988"/>
      <c r="U988" s="406" t="str">
        <f t="shared" si="61"/>
        <v/>
      </c>
      <c r="W988" s="408" t="str">
        <f t="shared" si="62"/>
        <v/>
      </c>
      <c r="X988" s="409" t="str">
        <f t="shared" si="63"/>
        <v/>
      </c>
    </row>
    <row r="989" spans="1:24" ht="16" x14ac:dyDescent="0.25">
      <c r="A989" s="399" t="str">
        <f>IF(B989="","",CONCATENATE("GBL",B989," - ",Mantenedor!E993))</f>
        <v/>
      </c>
      <c r="P989" s="399" t="str">
        <f t="shared" si="60"/>
        <v/>
      </c>
      <c r="Q989" s="405" t="str" cm="1">
        <f t="array" ref="Q989">+_xlfn.IFS(O989="Nacional","CLP",O989="Extranjero","USD",O989="","")</f>
        <v/>
      </c>
      <c r="R989" s="406" t="str">
        <f>IFERROR(IF(O989="Nacional",VLOOKUP(P989,PRICING!$D$4:$E$59,2,FALSE),VLOOKUP(P989,PRICING!$J$4:$K$59,2,FALSE)),"")</f>
        <v/>
      </c>
      <c r="S989"/>
      <c r="U989" s="406" t="str">
        <f t="shared" si="61"/>
        <v/>
      </c>
      <c r="W989" s="408" t="str">
        <f t="shared" si="62"/>
        <v/>
      </c>
      <c r="X989" s="409" t="str">
        <f t="shared" si="63"/>
        <v/>
      </c>
    </row>
    <row r="990" spans="1:24" ht="16" x14ac:dyDescent="0.25">
      <c r="A990" s="399" t="str">
        <f>IF(B990="","",CONCATENATE("GBL",B990," - ",Mantenedor!E994))</f>
        <v/>
      </c>
      <c r="P990" s="399" t="str">
        <f t="shared" si="60"/>
        <v/>
      </c>
      <c r="Q990" s="405" t="str" cm="1">
        <f t="array" ref="Q990">+_xlfn.IFS(O990="Nacional","CLP",O990="Extranjero","USD",O990="","")</f>
        <v/>
      </c>
      <c r="R990" s="406" t="str">
        <f>IFERROR(IF(O990="Nacional",VLOOKUP(P990,PRICING!$D$4:$E$59,2,FALSE),VLOOKUP(P990,PRICING!$J$4:$K$59,2,FALSE)),"")</f>
        <v/>
      </c>
      <c r="S990"/>
      <c r="U990" s="406" t="str">
        <f t="shared" si="61"/>
        <v/>
      </c>
      <c r="W990" s="408" t="str">
        <f t="shared" si="62"/>
        <v/>
      </c>
      <c r="X990" s="409" t="str">
        <f t="shared" si="63"/>
        <v/>
      </c>
    </row>
    <row r="991" spans="1:24" ht="16" x14ac:dyDescent="0.25">
      <c r="A991" s="399" t="str">
        <f>IF(B991="","",CONCATENATE("GBL",B991," - ",Mantenedor!E995))</f>
        <v/>
      </c>
      <c r="P991" s="399" t="str">
        <f t="shared" si="60"/>
        <v/>
      </c>
      <c r="Q991" s="405" t="str" cm="1">
        <f t="array" ref="Q991">+_xlfn.IFS(O991="Nacional","CLP",O991="Extranjero","USD",O991="","")</f>
        <v/>
      </c>
      <c r="R991" s="406" t="str">
        <f>IFERROR(IF(O991="Nacional",VLOOKUP(P991,PRICING!$D$4:$E$59,2,FALSE),VLOOKUP(P991,PRICING!$J$4:$K$59,2,FALSE)),"")</f>
        <v/>
      </c>
      <c r="S991"/>
      <c r="U991" s="406" t="str">
        <f t="shared" si="61"/>
        <v/>
      </c>
      <c r="W991" s="408" t="str">
        <f t="shared" si="62"/>
        <v/>
      </c>
      <c r="X991" s="409" t="str">
        <f t="shared" si="63"/>
        <v/>
      </c>
    </row>
    <row r="992" spans="1:24" ht="16" x14ac:dyDescent="0.25">
      <c r="A992" s="399" t="str">
        <f>IF(B992="","",CONCATENATE("GBL",B992," - ",Mantenedor!E996))</f>
        <v/>
      </c>
      <c r="P992" s="399" t="str">
        <f t="shared" si="60"/>
        <v/>
      </c>
      <c r="Q992" s="405" t="str" cm="1">
        <f t="array" ref="Q992">+_xlfn.IFS(O992="Nacional","CLP",O992="Extranjero","USD",O992="","")</f>
        <v/>
      </c>
      <c r="R992" s="406" t="str">
        <f>IFERROR(IF(O992="Nacional",VLOOKUP(P992,PRICING!$D$4:$E$59,2,FALSE),VLOOKUP(P992,PRICING!$J$4:$K$59,2,FALSE)),"")</f>
        <v/>
      </c>
      <c r="S992"/>
      <c r="U992" s="406" t="str">
        <f t="shared" si="61"/>
        <v/>
      </c>
      <c r="W992" s="408" t="str">
        <f t="shared" si="62"/>
        <v/>
      </c>
      <c r="X992" s="409" t="str">
        <f t="shared" si="63"/>
        <v/>
      </c>
    </row>
    <row r="993" spans="1:24" ht="16" x14ac:dyDescent="0.25">
      <c r="A993" s="399" t="str">
        <f>IF(B993="","",CONCATENATE("GBL",B993," - ",Mantenedor!E997))</f>
        <v/>
      </c>
      <c r="P993" s="399" t="str">
        <f t="shared" si="60"/>
        <v/>
      </c>
      <c r="Q993" s="405" t="str" cm="1">
        <f t="array" ref="Q993">+_xlfn.IFS(O993="Nacional","CLP",O993="Extranjero","USD",O993="","")</f>
        <v/>
      </c>
      <c r="R993" s="406" t="str">
        <f>IFERROR(IF(O993="Nacional",VLOOKUP(P993,PRICING!$D$4:$E$59,2,FALSE),VLOOKUP(P993,PRICING!$J$4:$K$59,2,FALSE)),"")</f>
        <v/>
      </c>
      <c r="S993"/>
      <c r="U993" s="406" t="str">
        <f t="shared" si="61"/>
        <v/>
      </c>
      <c r="W993" s="408" t="str">
        <f t="shared" si="62"/>
        <v/>
      </c>
      <c r="X993" s="409" t="str">
        <f t="shared" si="63"/>
        <v/>
      </c>
    </row>
    <row r="994" spans="1:24" ht="16" x14ac:dyDescent="0.25">
      <c r="A994" s="399" t="str">
        <f>IF(B994="","",CONCATENATE("GBL",B994," - ",Mantenedor!E998))</f>
        <v/>
      </c>
      <c r="P994" s="399" t="str">
        <f t="shared" si="60"/>
        <v/>
      </c>
      <c r="Q994" s="405" t="str" cm="1">
        <f t="array" ref="Q994">+_xlfn.IFS(O994="Nacional","CLP",O994="Extranjero","USD",O994="","")</f>
        <v/>
      </c>
      <c r="R994" s="406" t="str">
        <f>IFERROR(IF(O994="Nacional",VLOOKUP(P994,PRICING!$D$4:$E$59,2,FALSE),VLOOKUP(P994,PRICING!$J$4:$K$59,2,FALSE)),"")</f>
        <v/>
      </c>
      <c r="S994"/>
      <c r="U994" s="406" t="str">
        <f t="shared" si="61"/>
        <v/>
      </c>
      <c r="W994" s="408" t="str">
        <f t="shared" si="62"/>
        <v/>
      </c>
      <c r="X994" s="409" t="str">
        <f t="shared" si="63"/>
        <v/>
      </c>
    </row>
    <row r="995" spans="1:24" ht="16" x14ac:dyDescent="0.25">
      <c r="A995" s="399" t="str">
        <f>IF(B995="","",CONCATENATE("GBL",B995," - ",Mantenedor!E999))</f>
        <v/>
      </c>
      <c r="P995" s="399" t="str">
        <f t="shared" si="60"/>
        <v/>
      </c>
      <c r="Q995" s="405" t="str" cm="1">
        <f t="array" ref="Q995">+_xlfn.IFS(O995="Nacional","CLP",O995="Extranjero","USD",O995="","")</f>
        <v/>
      </c>
      <c r="R995" s="406" t="str">
        <f>IFERROR(IF(O995="Nacional",VLOOKUP(P995,PRICING!$D$4:$E$59,2,FALSE),VLOOKUP(P995,PRICING!$J$4:$K$59,2,FALSE)),"")</f>
        <v/>
      </c>
      <c r="S995"/>
      <c r="U995" s="406" t="str">
        <f t="shared" si="61"/>
        <v/>
      </c>
      <c r="W995" s="408" t="str">
        <f t="shared" si="62"/>
        <v/>
      </c>
      <c r="X995" s="409" t="str">
        <f t="shared" si="63"/>
        <v/>
      </c>
    </row>
    <row r="996" spans="1:24" ht="16" x14ac:dyDescent="0.25">
      <c r="A996" s="399" t="str">
        <f>IF(B996="","",CONCATENATE("GBL",B996," - ",Mantenedor!E1000))</f>
        <v/>
      </c>
      <c r="P996" s="399" t="str">
        <f t="shared" si="60"/>
        <v/>
      </c>
      <c r="Q996" s="405" t="str" cm="1">
        <f t="array" ref="Q996">+_xlfn.IFS(O996="Nacional","CLP",O996="Extranjero","USD",O996="","")</f>
        <v/>
      </c>
      <c r="R996" s="406" t="str">
        <f>IFERROR(IF(O996="Nacional",VLOOKUP(P996,PRICING!$D$4:$E$59,2,FALSE),VLOOKUP(P996,PRICING!$J$4:$K$59,2,FALSE)),"")</f>
        <v/>
      </c>
      <c r="S996"/>
      <c r="U996" s="406" t="str">
        <f t="shared" si="61"/>
        <v/>
      </c>
      <c r="W996" s="408" t="str">
        <f t="shared" si="62"/>
        <v/>
      </c>
      <c r="X996" s="409" t="str">
        <f t="shared" si="63"/>
        <v/>
      </c>
    </row>
    <row r="997" spans="1:24" ht="16" x14ac:dyDescent="0.25">
      <c r="W997" s="408"/>
    </row>
    <row r="998" spans="1:24" ht="16" x14ac:dyDescent="0.25">
      <c r="W998" s="408"/>
    </row>
    <row r="999" spans="1:24" ht="16" x14ac:dyDescent="0.25">
      <c r="W999" s="408"/>
    </row>
    <row r="1000" spans="1:24" ht="16" x14ac:dyDescent="0.25">
      <c r="W1000" s="408"/>
    </row>
    <row r="1001" spans="1:24" ht="16" x14ac:dyDescent="0.25">
      <c r="W1001" s="408"/>
    </row>
    <row r="1002" spans="1:24" ht="16" x14ac:dyDescent="0.25">
      <c r="W1002" s="408"/>
    </row>
    <row r="1003" spans="1:24" ht="16" x14ac:dyDescent="0.25">
      <c r="W1003" s="408"/>
    </row>
    <row r="1004" spans="1:24" ht="16" x14ac:dyDescent="0.25">
      <c r="W1004" s="408"/>
    </row>
    <row r="1005" spans="1:24" ht="16" x14ac:dyDescent="0.25">
      <c r="W1005" s="408"/>
    </row>
    <row r="1006" spans="1:24" ht="16" x14ac:dyDescent="0.25">
      <c r="W1006" s="408"/>
    </row>
    <row r="1007" spans="1:24" ht="16" x14ac:dyDescent="0.25">
      <c r="W1007" s="408"/>
    </row>
    <row r="1008" spans="1:24" ht="16" x14ac:dyDescent="0.25">
      <c r="W1008" s="408"/>
    </row>
    <row r="1009" spans="23:23" ht="16" x14ac:dyDescent="0.25">
      <c r="W1009" s="408"/>
    </row>
    <row r="1010" spans="23:23" ht="16" x14ac:dyDescent="0.25">
      <c r="W1010" s="408"/>
    </row>
    <row r="1011" spans="23:23" ht="16" x14ac:dyDescent="0.25">
      <c r="W1011" s="408"/>
    </row>
    <row r="1012" spans="23:23" ht="16" x14ac:dyDescent="0.25">
      <c r="W1012" s="408"/>
    </row>
    <row r="1013" spans="23:23" ht="16" x14ac:dyDescent="0.25">
      <c r="W1013" s="408"/>
    </row>
    <row r="1014" spans="23:23" ht="16" x14ac:dyDescent="0.25">
      <c r="W1014" s="408"/>
    </row>
    <row r="1015" spans="23:23" ht="16" x14ac:dyDescent="0.25">
      <c r="W1015" s="408"/>
    </row>
    <row r="1016" spans="23:23" ht="16" x14ac:dyDescent="0.25">
      <c r="W1016" s="408"/>
    </row>
    <row r="1017" spans="23:23" ht="16" x14ac:dyDescent="0.25">
      <c r="W1017" s="408"/>
    </row>
    <row r="1018" spans="23:23" ht="16" x14ac:dyDescent="0.25">
      <c r="W1018" s="408"/>
    </row>
    <row r="1019" spans="23:23" ht="16" x14ac:dyDescent="0.25">
      <c r="W1019" s="408"/>
    </row>
    <row r="1020" spans="23:23" ht="16" x14ac:dyDescent="0.25">
      <c r="W1020" s="408"/>
    </row>
    <row r="1021" spans="23:23" ht="16" x14ac:dyDescent="0.25">
      <c r="W1021" s="408"/>
    </row>
    <row r="1022" spans="23:23" ht="16" x14ac:dyDescent="0.25">
      <c r="W1022" s="408"/>
    </row>
    <row r="1023" spans="23:23" ht="16" x14ac:dyDescent="0.25">
      <c r="W1023" s="408"/>
    </row>
    <row r="1024" spans="23:23" ht="16" x14ac:dyDescent="0.25">
      <c r="W1024" s="408"/>
    </row>
    <row r="1025" spans="23:23" ht="16" x14ac:dyDescent="0.25">
      <c r="W1025" s="408"/>
    </row>
    <row r="1026" spans="23:23" ht="16" x14ac:dyDescent="0.25">
      <c r="W1026" s="408"/>
    </row>
    <row r="1027" spans="23:23" ht="16" x14ac:dyDescent="0.25">
      <c r="W1027" s="408"/>
    </row>
    <row r="1028" spans="23:23" ht="16" x14ac:dyDescent="0.25">
      <c r="W1028" s="408"/>
    </row>
    <row r="1029" spans="23:23" ht="16" x14ac:dyDescent="0.25">
      <c r="W1029" s="408"/>
    </row>
    <row r="1030" spans="23:23" ht="16" x14ac:dyDescent="0.25">
      <c r="W1030" s="408"/>
    </row>
    <row r="1031" spans="23:23" ht="16" x14ac:dyDescent="0.25">
      <c r="W1031" s="408"/>
    </row>
    <row r="1032" spans="23:23" ht="16" x14ac:dyDescent="0.25">
      <c r="W1032" s="408"/>
    </row>
    <row r="1033" spans="23:23" ht="16" x14ac:dyDescent="0.25">
      <c r="W1033" s="408"/>
    </row>
    <row r="1034" spans="23:23" ht="16" x14ac:dyDescent="0.25">
      <c r="W1034" s="408"/>
    </row>
    <row r="1035" spans="23:23" ht="16" x14ac:dyDescent="0.25">
      <c r="W1035" s="408"/>
    </row>
    <row r="1036" spans="23:23" ht="16" x14ac:dyDescent="0.25">
      <c r="W1036" s="408"/>
    </row>
    <row r="1037" spans="23:23" ht="16" x14ac:dyDescent="0.25">
      <c r="W1037" s="408"/>
    </row>
    <row r="1038" spans="23:23" ht="16" x14ac:dyDescent="0.25">
      <c r="W1038" s="408"/>
    </row>
    <row r="1039" spans="23:23" ht="16" x14ac:dyDescent="0.25">
      <c r="W1039" s="408"/>
    </row>
    <row r="1040" spans="23:23" ht="16" x14ac:dyDescent="0.25">
      <c r="W1040" s="408"/>
    </row>
    <row r="1041" spans="23:23" ht="16" x14ac:dyDescent="0.25">
      <c r="W1041" s="408"/>
    </row>
    <row r="1042" spans="23:23" ht="16" x14ac:dyDescent="0.25">
      <c r="W1042" s="408"/>
    </row>
    <row r="1043" spans="23:23" ht="16" x14ac:dyDescent="0.25">
      <c r="W1043" s="408"/>
    </row>
    <row r="1044" spans="23:23" ht="16" x14ac:dyDescent="0.25">
      <c r="W1044" s="408"/>
    </row>
    <row r="1045" spans="23:23" ht="16" x14ac:dyDescent="0.25">
      <c r="W1045" s="408"/>
    </row>
    <row r="1046" spans="23:23" ht="16" x14ac:dyDescent="0.25">
      <c r="W1046" s="408"/>
    </row>
    <row r="1047" spans="23:23" ht="16" x14ac:dyDescent="0.25">
      <c r="W1047" s="408"/>
    </row>
    <row r="1048" spans="23:23" ht="16" x14ac:dyDescent="0.25">
      <c r="W1048" s="408"/>
    </row>
    <row r="1049" spans="23:23" ht="16" x14ac:dyDescent="0.25">
      <c r="W1049" s="408"/>
    </row>
    <row r="1050" spans="23:23" ht="16" x14ac:dyDescent="0.25">
      <c r="W1050" s="408"/>
    </row>
    <row r="1051" spans="23:23" ht="16" x14ac:dyDescent="0.25">
      <c r="W1051" s="408"/>
    </row>
    <row r="1052" spans="23:23" ht="16" x14ac:dyDescent="0.25">
      <c r="W1052" s="408"/>
    </row>
    <row r="1053" spans="23:23" ht="16" x14ac:dyDescent="0.25">
      <c r="W1053" s="408"/>
    </row>
    <row r="1054" spans="23:23" ht="16" x14ac:dyDescent="0.25">
      <c r="W1054" s="408"/>
    </row>
    <row r="1055" spans="23:23" ht="16" x14ac:dyDescent="0.25">
      <c r="W1055" s="408"/>
    </row>
    <row r="1056" spans="23:23" ht="16" x14ac:dyDescent="0.25">
      <c r="W1056" s="408"/>
    </row>
    <row r="1057" spans="23:23" ht="16" x14ac:dyDescent="0.25">
      <c r="W1057" s="408"/>
    </row>
    <row r="1058" spans="23:23" ht="16" x14ac:dyDescent="0.25">
      <c r="W1058" s="408"/>
    </row>
    <row r="1059" spans="23:23" ht="16" x14ac:dyDescent="0.25">
      <c r="W1059" s="408"/>
    </row>
    <row r="1060" spans="23:23" ht="16" x14ac:dyDescent="0.25">
      <c r="W1060" s="408"/>
    </row>
    <row r="1061" spans="23:23" ht="16" x14ac:dyDescent="0.25">
      <c r="W1061" s="408"/>
    </row>
    <row r="1062" spans="23:23" ht="16" x14ac:dyDescent="0.25">
      <c r="W1062" s="408"/>
    </row>
    <row r="1063" spans="23:23" ht="16" x14ac:dyDescent="0.25">
      <c r="W1063" s="408"/>
    </row>
    <row r="1064" spans="23:23" ht="16" x14ac:dyDescent="0.25">
      <c r="W1064" s="408"/>
    </row>
    <row r="1065" spans="23:23" ht="16" x14ac:dyDescent="0.25">
      <c r="W1065" s="408"/>
    </row>
    <row r="1066" spans="23:23" ht="16" x14ac:dyDescent="0.25">
      <c r="W1066" s="408"/>
    </row>
    <row r="1067" spans="23:23" ht="16" x14ac:dyDescent="0.25">
      <c r="W1067" s="408"/>
    </row>
    <row r="1068" spans="23:23" ht="16" x14ac:dyDescent="0.25">
      <c r="W1068" s="408"/>
    </row>
    <row r="1069" spans="23:23" ht="16" x14ac:dyDescent="0.25">
      <c r="W1069" s="408"/>
    </row>
    <row r="1070" spans="23:23" ht="16" x14ac:dyDescent="0.25">
      <c r="W1070" s="408"/>
    </row>
    <row r="1071" spans="23:23" ht="16" x14ac:dyDescent="0.25">
      <c r="W1071" s="408"/>
    </row>
    <row r="1072" spans="23:23" ht="16" x14ac:dyDescent="0.25">
      <c r="W1072" s="408"/>
    </row>
    <row r="1073" spans="23:23" ht="16" x14ac:dyDescent="0.25">
      <c r="W1073" s="408"/>
    </row>
    <row r="1074" spans="23:23" ht="16" x14ac:dyDescent="0.25">
      <c r="W1074" s="408"/>
    </row>
    <row r="1075" spans="23:23" ht="16" x14ac:dyDescent="0.25">
      <c r="W1075" s="408"/>
    </row>
    <row r="1076" spans="23:23" ht="16" x14ac:dyDescent="0.25">
      <c r="W1076" s="408"/>
    </row>
    <row r="1077" spans="23:23" ht="16" x14ac:dyDescent="0.25">
      <c r="W1077" s="408"/>
    </row>
    <row r="1078" spans="23:23" ht="16" x14ac:dyDescent="0.25">
      <c r="W1078" s="408"/>
    </row>
    <row r="1079" spans="23:23" ht="16" x14ac:dyDescent="0.25">
      <c r="W1079" s="408"/>
    </row>
    <row r="1080" spans="23:23" ht="16" x14ac:dyDescent="0.25">
      <c r="W1080" s="408"/>
    </row>
    <row r="1081" spans="23:23" ht="16" x14ac:dyDescent="0.25">
      <c r="W1081" s="408"/>
    </row>
    <row r="1082" spans="23:23" ht="16" x14ac:dyDescent="0.25">
      <c r="W1082" s="408"/>
    </row>
    <row r="1083" spans="23:23" ht="16" x14ac:dyDescent="0.25">
      <c r="W1083" s="408"/>
    </row>
    <row r="1084" spans="23:23" ht="16" x14ac:dyDescent="0.25">
      <c r="W1084" s="408"/>
    </row>
    <row r="1085" spans="23:23" ht="16" x14ac:dyDescent="0.25">
      <c r="W1085" s="408"/>
    </row>
    <row r="1086" spans="23:23" ht="16" x14ac:dyDescent="0.25">
      <c r="W1086" s="408"/>
    </row>
    <row r="1087" spans="23:23" ht="16" x14ac:dyDescent="0.25">
      <c r="W1087" s="408"/>
    </row>
    <row r="1088" spans="23:23" ht="16" x14ac:dyDescent="0.25">
      <c r="W1088" s="408"/>
    </row>
    <row r="1089" spans="23:23" ht="16" x14ac:dyDescent="0.25">
      <c r="W1089" s="408"/>
    </row>
    <row r="1090" spans="23:23" ht="16" x14ac:dyDescent="0.25">
      <c r="W1090" s="408"/>
    </row>
    <row r="1091" spans="23:23" ht="16" x14ac:dyDescent="0.25">
      <c r="W1091" s="408"/>
    </row>
    <row r="1092" spans="23:23" ht="16" x14ac:dyDescent="0.25">
      <c r="W1092" s="408"/>
    </row>
    <row r="1093" spans="23:23" ht="16" x14ac:dyDescent="0.25">
      <c r="W1093" s="408"/>
    </row>
    <row r="1094" spans="23:23" ht="16" x14ac:dyDescent="0.25">
      <c r="W1094" s="408"/>
    </row>
    <row r="1095" spans="23:23" ht="16" x14ac:dyDescent="0.25">
      <c r="W1095" s="408"/>
    </row>
    <row r="1096" spans="23:23" ht="16" x14ac:dyDescent="0.25">
      <c r="W1096" s="408"/>
    </row>
    <row r="1097" spans="23:23" ht="16" x14ac:dyDescent="0.25">
      <c r="W1097" s="408"/>
    </row>
    <row r="1098" spans="23:23" ht="16" x14ac:dyDescent="0.25">
      <c r="W1098" s="408"/>
    </row>
    <row r="1099" spans="23:23" ht="16" x14ac:dyDescent="0.25">
      <c r="W1099" s="408"/>
    </row>
    <row r="1100" spans="23:23" ht="16" x14ac:dyDescent="0.25">
      <c r="W1100" s="408"/>
    </row>
    <row r="1101" spans="23:23" ht="16" x14ac:dyDescent="0.25">
      <c r="W1101" s="408"/>
    </row>
    <row r="1102" spans="23:23" ht="16" x14ac:dyDescent="0.25">
      <c r="W1102" s="408"/>
    </row>
    <row r="1103" spans="23:23" ht="16" x14ac:dyDescent="0.25">
      <c r="W1103" s="408"/>
    </row>
    <row r="1104" spans="23:23" ht="16" x14ac:dyDescent="0.25">
      <c r="W1104" s="408"/>
    </row>
    <row r="1105" spans="23:23" ht="16" x14ac:dyDescent="0.25">
      <c r="W1105" s="408"/>
    </row>
    <row r="1106" spans="23:23" ht="16" x14ac:dyDescent="0.25">
      <c r="W1106" s="408"/>
    </row>
    <row r="1107" spans="23:23" ht="16" x14ac:dyDescent="0.25">
      <c r="W1107" s="408"/>
    </row>
    <row r="1108" spans="23:23" ht="16" x14ac:dyDescent="0.25">
      <c r="W1108" s="408"/>
    </row>
    <row r="1109" spans="23:23" ht="16" x14ac:dyDescent="0.25">
      <c r="W1109" s="408"/>
    </row>
    <row r="1110" spans="23:23" ht="16" x14ac:dyDescent="0.25">
      <c r="W1110" s="408"/>
    </row>
    <row r="1111" spans="23:23" ht="16" x14ac:dyDescent="0.25">
      <c r="W1111" s="408"/>
    </row>
    <row r="1112" spans="23:23" ht="16" x14ac:dyDescent="0.25">
      <c r="W1112" s="408"/>
    </row>
    <row r="1113" spans="23:23" ht="16" x14ac:dyDescent="0.25">
      <c r="W1113" s="408"/>
    </row>
    <row r="1114" spans="23:23" ht="16" x14ac:dyDescent="0.25">
      <c r="W1114" s="408"/>
    </row>
    <row r="1115" spans="23:23" ht="16" x14ac:dyDescent="0.25">
      <c r="W1115" s="408"/>
    </row>
    <row r="1116" spans="23:23" ht="16" x14ac:dyDescent="0.25">
      <c r="W1116" s="408"/>
    </row>
    <row r="1117" spans="23:23" ht="16" x14ac:dyDescent="0.25">
      <c r="W1117" s="408"/>
    </row>
    <row r="1118" spans="23:23" ht="16" x14ac:dyDescent="0.25">
      <c r="W1118" s="408"/>
    </row>
    <row r="1119" spans="23:23" ht="16" x14ac:dyDescent="0.25">
      <c r="W1119" s="408"/>
    </row>
    <row r="1120" spans="23:23" ht="16" x14ac:dyDescent="0.25">
      <c r="W1120" s="408"/>
    </row>
    <row r="1121" spans="23:23" ht="16" x14ac:dyDescent="0.25">
      <c r="W1121" s="408"/>
    </row>
    <row r="1122" spans="23:23" ht="16" x14ac:dyDescent="0.25">
      <c r="W1122" s="408"/>
    </row>
    <row r="1123" spans="23:23" ht="16" x14ac:dyDescent="0.25">
      <c r="W1123" s="408"/>
    </row>
    <row r="1124" spans="23:23" ht="16" x14ac:dyDescent="0.25">
      <c r="W1124" s="408"/>
    </row>
    <row r="1125" spans="23:23" ht="16" x14ac:dyDescent="0.25">
      <c r="W1125" s="408"/>
    </row>
    <row r="1126" spans="23:23" ht="16" x14ac:dyDescent="0.25">
      <c r="W1126" s="408"/>
    </row>
    <row r="1127" spans="23:23" ht="16" x14ac:dyDescent="0.25">
      <c r="W1127" s="408"/>
    </row>
    <row r="1128" spans="23:23" ht="16" x14ac:dyDescent="0.25">
      <c r="W1128" s="408"/>
    </row>
    <row r="1129" spans="23:23" ht="16" x14ac:dyDescent="0.25">
      <c r="W1129" s="408"/>
    </row>
    <row r="1130" spans="23:23" ht="16" x14ac:dyDescent="0.25">
      <c r="W1130" s="408"/>
    </row>
    <row r="1131" spans="23:23" ht="16" x14ac:dyDescent="0.25">
      <c r="W1131" s="408"/>
    </row>
    <row r="1132" spans="23:23" ht="16" x14ac:dyDescent="0.25">
      <c r="W1132" s="408"/>
    </row>
    <row r="1133" spans="23:23" ht="16" x14ac:dyDescent="0.25">
      <c r="W1133" s="408"/>
    </row>
    <row r="1134" spans="23:23" ht="16" x14ac:dyDescent="0.25">
      <c r="W1134" s="408"/>
    </row>
    <row r="1135" spans="23:23" ht="16" x14ac:dyDescent="0.25">
      <c r="W1135" s="408"/>
    </row>
    <row r="1136" spans="23:23" ht="16" x14ac:dyDescent="0.25">
      <c r="W1136" s="408"/>
    </row>
    <row r="1137" spans="23:23" ht="16" x14ac:dyDescent="0.25">
      <c r="W1137" s="408"/>
    </row>
    <row r="1138" spans="23:23" ht="16" x14ac:dyDescent="0.25">
      <c r="W1138" s="408"/>
    </row>
    <row r="1139" spans="23:23" ht="16" x14ac:dyDescent="0.25">
      <c r="W1139" s="408"/>
    </row>
    <row r="1140" spans="23:23" ht="16" x14ac:dyDescent="0.25">
      <c r="W1140" s="408"/>
    </row>
    <row r="1141" spans="23:23" ht="16" x14ac:dyDescent="0.25">
      <c r="W1141" s="408"/>
    </row>
    <row r="1142" spans="23:23" ht="16" x14ac:dyDescent="0.25">
      <c r="W1142" s="408"/>
    </row>
    <row r="1143" spans="23:23" ht="16" x14ac:dyDescent="0.25">
      <c r="W1143" s="408"/>
    </row>
    <row r="1144" spans="23:23" ht="16" x14ac:dyDescent="0.25">
      <c r="W1144" s="408"/>
    </row>
    <row r="1145" spans="23:23" ht="16" x14ac:dyDescent="0.25">
      <c r="W1145" s="408"/>
    </row>
    <row r="1146" spans="23:23" ht="16" x14ac:dyDescent="0.25">
      <c r="W1146" s="408"/>
    </row>
    <row r="1147" spans="23:23" ht="16" x14ac:dyDescent="0.25">
      <c r="W1147" s="408"/>
    </row>
    <row r="1148" spans="23:23" ht="16" x14ac:dyDescent="0.25">
      <c r="W1148" s="408"/>
    </row>
    <row r="1149" spans="23:23" ht="16" x14ac:dyDescent="0.25">
      <c r="W1149" s="408"/>
    </row>
    <row r="1150" spans="23:23" ht="16" x14ac:dyDescent="0.25">
      <c r="W1150" s="408"/>
    </row>
    <row r="1151" spans="23:23" ht="16" x14ac:dyDescent="0.25">
      <c r="W1151" s="408"/>
    </row>
    <row r="1152" spans="23:23" ht="16" x14ac:dyDescent="0.25">
      <c r="W1152" s="408"/>
    </row>
    <row r="1153" spans="23:23" ht="16" x14ac:dyDescent="0.25">
      <c r="W1153" s="408"/>
    </row>
    <row r="1154" spans="23:23" ht="16" x14ac:dyDescent="0.25">
      <c r="W1154" s="408"/>
    </row>
    <row r="1155" spans="23:23" ht="16" x14ac:dyDescent="0.25">
      <c r="W1155" s="408"/>
    </row>
    <row r="1156" spans="23:23" ht="16" x14ac:dyDescent="0.25">
      <c r="W1156" s="408"/>
    </row>
    <row r="1157" spans="23:23" ht="16" x14ac:dyDescent="0.25">
      <c r="W1157" s="408"/>
    </row>
    <row r="1158" spans="23:23" ht="16" x14ac:dyDescent="0.25">
      <c r="W1158" s="408"/>
    </row>
    <row r="1159" spans="23:23" ht="16" x14ac:dyDescent="0.25">
      <c r="W1159" s="408"/>
    </row>
    <row r="1160" spans="23:23" ht="16" x14ac:dyDescent="0.25">
      <c r="W1160" s="408"/>
    </row>
    <row r="1161" spans="23:23" ht="16" x14ac:dyDescent="0.25">
      <c r="W1161" s="408"/>
    </row>
    <row r="1162" spans="23:23" ht="16" x14ac:dyDescent="0.25">
      <c r="W1162" s="408"/>
    </row>
    <row r="1163" spans="23:23" ht="16" x14ac:dyDescent="0.25">
      <c r="W1163" s="408"/>
    </row>
    <row r="1164" spans="23:23" ht="16" x14ac:dyDescent="0.25">
      <c r="W1164" s="408"/>
    </row>
    <row r="1165" spans="23:23" ht="16" x14ac:dyDescent="0.25">
      <c r="W1165" s="408"/>
    </row>
    <row r="1166" spans="23:23" ht="16" x14ac:dyDescent="0.25">
      <c r="W1166" s="408"/>
    </row>
    <row r="1167" spans="23:23" ht="16" x14ac:dyDescent="0.25">
      <c r="W1167" s="408"/>
    </row>
    <row r="1168" spans="23:23" ht="16" x14ac:dyDescent="0.25">
      <c r="W1168" s="408"/>
    </row>
    <row r="1169" spans="23:23" ht="16" x14ac:dyDescent="0.25">
      <c r="W1169" s="408"/>
    </row>
    <row r="1170" spans="23:23" ht="16" x14ac:dyDescent="0.25">
      <c r="W1170" s="408"/>
    </row>
    <row r="1171" spans="23:23" ht="16" x14ac:dyDescent="0.25">
      <c r="W1171" s="408"/>
    </row>
    <row r="1172" spans="23:23" ht="16" x14ac:dyDescent="0.25">
      <c r="W1172" s="408"/>
    </row>
    <row r="1173" spans="23:23" ht="16" x14ac:dyDescent="0.25">
      <c r="W1173" s="408"/>
    </row>
    <row r="1174" spans="23:23" ht="16" x14ac:dyDescent="0.25">
      <c r="W1174" s="408"/>
    </row>
    <row r="1175" spans="23:23" ht="16" x14ac:dyDescent="0.25">
      <c r="W1175" s="408"/>
    </row>
    <row r="1176" spans="23:23" ht="16" x14ac:dyDescent="0.25">
      <c r="W1176" s="408"/>
    </row>
    <row r="1177" spans="23:23" ht="16" x14ac:dyDescent="0.25">
      <c r="W1177" s="408"/>
    </row>
    <row r="1178" spans="23:23" ht="16" x14ac:dyDescent="0.25">
      <c r="W1178" s="408"/>
    </row>
    <row r="1179" spans="23:23" ht="16" x14ac:dyDescent="0.25">
      <c r="W1179" s="408"/>
    </row>
    <row r="1180" spans="23:23" ht="16" x14ac:dyDescent="0.25">
      <c r="W1180" s="408"/>
    </row>
    <row r="1181" spans="23:23" ht="16" x14ac:dyDescent="0.25">
      <c r="W1181" s="408"/>
    </row>
    <row r="1182" spans="23:23" ht="16" x14ac:dyDescent="0.25">
      <c r="W1182" s="408"/>
    </row>
    <row r="1183" spans="23:23" ht="16" x14ac:dyDescent="0.25">
      <c r="W1183" s="408"/>
    </row>
    <row r="1184" spans="23:23" ht="16" x14ac:dyDescent="0.25">
      <c r="W1184" s="408"/>
    </row>
    <row r="1185" spans="23:23" ht="16" x14ac:dyDescent="0.25">
      <c r="W1185" s="408"/>
    </row>
    <row r="1186" spans="23:23" ht="16" x14ac:dyDescent="0.25">
      <c r="W1186" s="408"/>
    </row>
    <row r="1187" spans="23:23" ht="16" x14ac:dyDescent="0.25">
      <c r="W1187" s="408"/>
    </row>
    <row r="1188" spans="23:23" ht="16" x14ac:dyDescent="0.25">
      <c r="W1188" s="408"/>
    </row>
    <row r="1189" spans="23:23" ht="16" x14ac:dyDescent="0.25">
      <c r="W1189" s="408"/>
    </row>
    <row r="1190" spans="23:23" ht="16" x14ac:dyDescent="0.25">
      <c r="W1190" s="408"/>
    </row>
    <row r="1191" spans="23:23" ht="16" x14ac:dyDescent="0.25">
      <c r="W1191" s="408"/>
    </row>
    <row r="1192" spans="23:23" ht="16" x14ac:dyDescent="0.25">
      <c r="W1192" s="408"/>
    </row>
    <row r="1193" spans="23:23" ht="16" x14ac:dyDescent="0.25">
      <c r="W1193" s="408"/>
    </row>
    <row r="1194" spans="23:23" ht="16" x14ac:dyDescent="0.25">
      <c r="W1194" s="408"/>
    </row>
    <row r="1195" spans="23:23" ht="16" x14ac:dyDescent="0.25">
      <c r="W1195" s="408"/>
    </row>
    <row r="1196" spans="23:23" ht="16" x14ac:dyDescent="0.25">
      <c r="W1196" s="408"/>
    </row>
    <row r="1197" spans="23:23" ht="16" x14ac:dyDescent="0.25">
      <c r="W1197" s="408"/>
    </row>
    <row r="1198" spans="23:23" ht="16" x14ac:dyDescent="0.25">
      <c r="W1198" s="40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F3FC894-6039-0A43-AAE4-31992A7C9434}">
          <x14:formula1>
            <xm:f>Mantenedor!$H$2:$H$5</xm:f>
          </x14:formula1>
          <xm:sqref>T2:T269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EE5BE-0C67-A044-B72A-9DAC1F94EC0D}">
  <sheetPr codeName="Hoja3">
    <tabColor theme="9" tint="0.79998168889431442"/>
  </sheetPr>
  <dimension ref="A1:L33"/>
  <sheetViews>
    <sheetView topLeftCell="F1" zoomScale="113" zoomScaleNormal="113" workbookViewId="0">
      <selection activeCell="C8" sqref="C8"/>
    </sheetView>
  </sheetViews>
  <sheetFormatPr baseColWidth="10" defaultRowHeight="15" x14ac:dyDescent="0.2"/>
  <cols>
    <col min="1" max="1" width="4" customWidth="1"/>
    <col min="2" max="2" width="22.5" customWidth="1"/>
    <col min="3" max="3" width="16.83203125" customWidth="1"/>
    <col min="4" max="4" width="17.6640625" bestFit="1" customWidth="1"/>
    <col min="5" max="10" width="19.6640625" customWidth="1"/>
    <col min="11" max="11" width="19.1640625" customWidth="1"/>
    <col min="12" max="12" width="14.83203125" customWidth="1"/>
  </cols>
  <sheetData>
    <row r="1" spans="1:12" ht="87" customHeight="1" x14ac:dyDescent="0.2">
      <c r="D1" s="291"/>
      <c r="E1" s="291"/>
      <c r="F1" s="153"/>
      <c r="G1" s="153"/>
      <c r="H1" s="153"/>
      <c r="I1" s="153"/>
      <c r="J1" s="153"/>
      <c r="K1" s="154"/>
      <c r="L1" s="154"/>
    </row>
    <row r="2" spans="1:12" ht="80" customHeight="1" x14ac:dyDescent="0.2"/>
    <row r="3" spans="1:12" ht="44" customHeight="1" x14ac:dyDescent="0.2">
      <c r="B3" s="174" t="s">
        <v>185</v>
      </c>
    </row>
    <row r="4" spans="1:12" ht="30" customHeight="1" thickBot="1" x14ac:dyDescent="0.25"/>
    <row r="5" spans="1:12" ht="23" thickBot="1" x14ac:dyDescent="0.35">
      <c r="B5" s="283" t="s">
        <v>163</v>
      </c>
      <c r="C5" s="284"/>
      <c r="D5" s="284"/>
      <c r="E5" s="284"/>
      <c r="F5" s="284"/>
      <c r="G5" s="284"/>
      <c r="H5" s="284"/>
      <c r="I5" s="284"/>
      <c r="J5" s="284"/>
      <c r="K5" s="285"/>
    </row>
    <row r="6" spans="1:12" ht="22" x14ac:dyDescent="0.3">
      <c r="B6" s="286" t="s">
        <v>184</v>
      </c>
      <c r="C6" s="287"/>
      <c r="D6" s="287"/>
      <c r="E6" s="287"/>
      <c r="F6" s="287"/>
      <c r="G6" s="288" t="s">
        <v>183</v>
      </c>
      <c r="H6" s="289"/>
      <c r="I6" s="289"/>
      <c r="J6" s="289"/>
      <c r="K6" s="290"/>
    </row>
    <row r="7" spans="1:12" ht="17" thickBot="1" x14ac:dyDescent="0.25">
      <c r="B7" s="164" t="s">
        <v>178</v>
      </c>
      <c r="C7" s="165" t="s">
        <v>161</v>
      </c>
      <c r="D7" s="165" t="s">
        <v>162</v>
      </c>
      <c r="E7" s="165" t="s">
        <v>136</v>
      </c>
      <c r="F7" s="165" t="s">
        <v>182</v>
      </c>
      <c r="G7" s="168" t="s">
        <v>138</v>
      </c>
      <c r="H7" s="169" t="s">
        <v>180</v>
      </c>
      <c r="I7" s="169" t="s">
        <v>175</v>
      </c>
      <c r="J7" s="169" t="s">
        <v>181</v>
      </c>
      <c r="K7" s="170" t="s">
        <v>176</v>
      </c>
    </row>
    <row r="8" spans="1:12" x14ac:dyDescent="0.2">
      <c r="B8" s="166" t="s">
        <v>164</v>
      </c>
      <c r="C8" s="167" t="s">
        <v>179</v>
      </c>
      <c r="D8" s="167">
        <v>12312413</v>
      </c>
      <c r="E8" s="167" t="e" cm="1">
        <f t="array" ref="E8">IF(#REF!="","",(_xlfn.IFS(#REF!="No",#REF!="",#REF!="Si",#REF!="")))</f>
        <v>#REF!</v>
      </c>
      <c r="F8" s="167"/>
      <c r="G8" s="171" t="s">
        <v>143</v>
      </c>
      <c r="H8" s="172"/>
      <c r="I8" s="172"/>
      <c r="J8" s="172">
        <f>+H8+I8</f>
        <v>0</v>
      </c>
      <c r="K8" s="173" t="s">
        <v>142</v>
      </c>
    </row>
    <row r="9" spans="1:12" x14ac:dyDescent="0.2">
      <c r="B9" s="156" t="s">
        <v>165</v>
      </c>
      <c r="C9" s="157"/>
      <c r="D9" s="157"/>
      <c r="E9" s="157"/>
      <c r="F9" s="157"/>
      <c r="G9" s="162" t="s">
        <v>143</v>
      </c>
      <c r="H9" s="158"/>
      <c r="I9" s="158"/>
      <c r="J9" s="158">
        <f t="shared" ref="J9:J12" si="0">+H9+I9</f>
        <v>0</v>
      </c>
      <c r="K9" s="159" t="s">
        <v>142</v>
      </c>
    </row>
    <row r="10" spans="1:12" x14ac:dyDescent="0.2">
      <c r="B10" s="156" t="s">
        <v>166</v>
      </c>
      <c r="C10" s="157"/>
      <c r="D10" s="157"/>
      <c r="E10" s="157"/>
      <c r="F10" s="157"/>
      <c r="G10" s="162" t="s">
        <v>144</v>
      </c>
      <c r="H10" s="158"/>
      <c r="I10" s="158"/>
      <c r="J10" s="158">
        <f t="shared" si="0"/>
        <v>0</v>
      </c>
      <c r="K10" s="159" t="s">
        <v>142</v>
      </c>
    </row>
    <row r="11" spans="1:12" x14ac:dyDescent="0.2">
      <c r="A11" t="s">
        <v>140</v>
      </c>
      <c r="B11" s="156" t="s">
        <v>167</v>
      </c>
      <c r="C11" s="157"/>
      <c r="D11" s="157"/>
      <c r="E11" s="157"/>
      <c r="F11" s="157"/>
      <c r="G11" s="162" t="s">
        <v>144</v>
      </c>
      <c r="H11" s="158"/>
      <c r="I11" s="158"/>
      <c r="J11" s="158">
        <f t="shared" si="0"/>
        <v>0</v>
      </c>
      <c r="K11" s="159" t="s">
        <v>142</v>
      </c>
    </row>
    <row r="12" spans="1:12" x14ac:dyDescent="0.2">
      <c r="A12" t="s">
        <v>140</v>
      </c>
      <c r="B12" s="156" t="s">
        <v>168</v>
      </c>
      <c r="C12" s="157"/>
      <c r="D12" s="157"/>
      <c r="E12" s="157"/>
      <c r="F12" s="157"/>
      <c r="G12" s="162" t="s">
        <v>143</v>
      </c>
      <c r="H12" s="158"/>
      <c r="I12" s="158"/>
      <c r="J12" s="158">
        <f t="shared" si="0"/>
        <v>0</v>
      </c>
      <c r="K12" s="159" t="s">
        <v>142</v>
      </c>
    </row>
    <row r="13" spans="1:12" x14ac:dyDescent="0.2">
      <c r="A13" t="s">
        <v>140</v>
      </c>
      <c r="B13" s="156" t="s">
        <v>169</v>
      </c>
      <c r="C13" s="157"/>
      <c r="D13" s="157"/>
      <c r="E13" s="157"/>
      <c r="F13" s="157"/>
      <c r="G13" s="162"/>
      <c r="H13" s="158"/>
      <c r="I13" s="158"/>
      <c r="J13" s="158"/>
      <c r="K13" s="159" t="s">
        <v>142</v>
      </c>
    </row>
    <row r="14" spans="1:12" hidden="1" x14ac:dyDescent="0.2">
      <c r="A14" t="s">
        <v>141</v>
      </c>
      <c r="B14" s="156" t="s">
        <v>170</v>
      </c>
      <c r="C14" s="157"/>
      <c r="D14" s="157"/>
      <c r="E14" s="157"/>
      <c r="F14" s="157"/>
      <c r="G14" s="162"/>
      <c r="H14" s="158"/>
      <c r="I14" s="158"/>
      <c r="J14" s="158"/>
      <c r="K14" s="159" t="s">
        <v>142</v>
      </c>
    </row>
    <row r="15" spans="1:12" hidden="1" x14ac:dyDescent="0.2">
      <c r="A15" t="s">
        <v>141</v>
      </c>
      <c r="B15" s="156" t="s">
        <v>171</v>
      </c>
      <c r="C15" s="157"/>
      <c r="D15" s="157"/>
      <c r="E15" s="157"/>
      <c r="F15" s="157"/>
      <c r="G15" s="162"/>
      <c r="H15" s="158"/>
      <c r="I15" s="158"/>
      <c r="J15" s="158"/>
      <c r="K15" s="159" t="s">
        <v>142</v>
      </c>
    </row>
    <row r="16" spans="1:12" hidden="1" x14ac:dyDescent="0.2">
      <c r="A16" t="s">
        <v>141</v>
      </c>
      <c r="B16" s="156" t="s">
        <v>172</v>
      </c>
      <c r="C16" s="157"/>
      <c r="D16" s="157"/>
      <c r="E16" s="157"/>
      <c r="F16" s="157"/>
      <c r="G16" s="162"/>
      <c r="H16" s="158"/>
      <c r="I16" s="158"/>
      <c r="J16" s="158"/>
      <c r="K16" s="159" t="s">
        <v>142</v>
      </c>
    </row>
    <row r="17" spans="2:12" ht="16" thickBot="1" x14ac:dyDescent="0.25">
      <c r="B17" s="150" t="s">
        <v>173</v>
      </c>
      <c r="C17" s="149"/>
      <c r="D17" s="149"/>
      <c r="E17" s="149"/>
      <c r="F17" s="149"/>
      <c r="G17" s="163"/>
      <c r="H17" s="160"/>
      <c r="I17" s="160"/>
      <c r="J17" s="160"/>
      <c r="K17" s="161" t="s">
        <v>142</v>
      </c>
    </row>
    <row r="23" spans="2:12" ht="16" x14ac:dyDescent="0.2">
      <c r="L23" s="155"/>
    </row>
    <row r="29" spans="2:12" hidden="1" x14ac:dyDescent="0.2"/>
    <row r="30" spans="2:12" hidden="1" x14ac:dyDescent="0.2"/>
    <row r="31" spans="2:12" hidden="1" x14ac:dyDescent="0.2"/>
    <row r="32" spans="2:12" hidden="1" x14ac:dyDescent="0.2"/>
    <row r="33" hidden="1" x14ac:dyDescent="0.2"/>
  </sheetData>
  <mergeCells count="4">
    <mergeCell ref="B5:K5"/>
    <mergeCell ref="B6:F6"/>
    <mergeCell ref="G6:K6"/>
    <mergeCell ref="D1:E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6888E1-2F3A-8D4B-947F-E745CF4E9F71}">
          <x14:formula1>
            <xm:f>Mantenedor!$G$2:$G$3</xm:f>
          </x14:formula1>
          <xm:sqref>F8:F12</xm:sqref>
        </x14:dataValidation>
        <x14:dataValidation type="list" allowBlank="1" showInputMessage="1" showErrorMessage="1" xr:uid="{1EC49A17-30B3-0E45-A849-653DAF12CD79}">
          <x14:formula1>
            <xm:f>Mantenedor!$B$2:$B$11</xm:f>
          </x14:formula1>
          <xm:sqref>I8:I12</xm:sqref>
        </x14:dataValidation>
        <x14:dataValidation type="list" allowBlank="1" showInputMessage="1" showErrorMessage="1" xr:uid="{8604F1EA-3695-FD4C-BAC9-0B4F9CC1F9F6}">
          <x14:formula1>
            <xm:f>Mantenedor!$D$2:$D$4</xm:f>
          </x14:formula1>
          <xm:sqref>G8:H16 I13:J16</xm:sqref>
        </x14:dataValidation>
        <x14:dataValidation type="list" allowBlank="1" showInputMessage="1" showErrorMessage="1" xr:uid="{81F792F5-931B-6040-A282-DB4D34BBECE3}">
          <x14:formula1>
            <xm:f>Mantenedor!$C$2:$C$3</xm:f>
          </x14:formula1>
          <xm:sqref>K8:K17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ED35-24B6-4724-99F4-EBC7C1271275}">
  <sheetPr codeName="Hoja5"/>
  <dimension ref="A1:T55"/>
  <sheetViews>
    <sheetView zoomScale="80" zoomScaleNormal="80" workbookViewId="0">
      <selection activeCell="H59" sqref="H59"/>
    </sheetView>
  </sheetViews>
  <sheetFormatPr baseColWidth="10" defaultRowHeight="15" customHeight="1" x14ac:dyDescent="0.2"/>
  <cols>
    <col min="1" max="1" width="7.1640625" customWidth="1"/>
    <col min="2" max="2" width="28.83203125" customWidth="1"/>
    <col min="3" max="3" width="35.83203125" customWidth="1"/>
    <col min="4" max="4" width="7.5" bestFit="1" customWidth="1"/>
    <col min="5" max="5" width="13.5" customWidth="1"/>
    <col min="6" max="6" width="9.83203125" customWidth="1"/>
    <col min="7" max="7" width="12" customWidth="1"/>
    <col min="8" max="8" width="15.1640625" customWidth="1"/>
    <col min="9" max="9" width="8.83203125" customWidth="1"/>
    <col min="10" max="10" width="12.5" customWidth="1"/>
    <col min="11" max="14" width="12.83203125" customWidth="1"/>
    <col min="20" max="20" width="41.83203125" customWidth="1"/>
  </cols>
  <sheetData>
    <row r="1" spans="1:11" ht="15" customHeight="1" x14ac:dyDescent="0.2">
      <c r="A1" s="27" t="s">
        <v>37</v>
      </c>
      <c r="C1" s="119">
        <v>45929</v>
      </c>
      <c r="F1" s="3" t="s">
        <v>110</v>
      </c>
      <c r="G1" s="3"/>
      <c r="H1" s="121"/>
      <c r="I1" t="s">
        <v>111</v>
      </c>
    </row>
    <row r="2" spans="1:11" ht="15" customHeight="1" x14ac:dyDescent="0.2">
      <c r="A2" s="27" t="s">
        <v>38</v>
      </c>
      <c r="F2" s="3" t="s">
        <v>110</v>
      </c>
      <c r="G2" s="3"/>
      <c r="H2" s="120"/>
      <c r="I2" t="s">
        <v>111</v>
      </c>
    </row>
    <row r="3" spans="1:11" ht="15" customHeight="1" x14ac:dyDescent="0.2">
      <c r="A3" s="27" t="s">
        <v>189</v>
      </c>
      <c r="B3" s="2"/>
      <c r="C3" s="2"/>
      <c r="D3" s="2"/>
      <c r="E3" s="2"/>
      <c r="F3" s="2"/>
      <c r="G3" s="2"/>
      <c r="H3" s="2"/>
      <c r="I3" s="2"/>
    </row>
    <row r="4" spans="1:11" ht="15" customHeight="1" thickBot="1" x14ac:dyDescent="0.25">
      <c r="B4" s="2"/>
      <c r="C4" s="2"/>
      <c r="D4" s="2"/>
      <c r="E4" s="2"/>
      <c r="F4" s="2"/>
      <c r="G4" s="2"/>
      <c r="H4" s="2"/>
      <c r="I4" s="2"/>
    </row>
    <row r="5" spans="1:11" ht="15" customHeight="1" thickBot="1" x14ac:dyDescent="0.25">
      <c r="A5" s="4" t="s">
        <v>10</v>
      </c>
      <c r="B5" s="292" t="s">
        <v>0</v>
      </c>
      <c r="C5" s="293"/>
      <c r="D5" s="293"/>
      <c r="E5" s="293"/>
      <c r="F5" s="293"/>
      <c r="G5" s="293"/>
      <c r="H5" s="293"/>
      <c r="I5" s="294"/>
    </row>
    <row r="6" spans="1:11" ht="15" customHeight="1" x14ac:dyDescent="0.2">
      <c r="A6" s="10"/>
      <c r="B6" s="29" t="s">
        <v>19</v>
      </c>
      <c r="C6" s="52">
        <v>45853</v>
      </c>
      <c r="D6" s="53"/>
      <c r="E6" s="53"/>
      <c r="F6" s="53"/>
      <c r="G6" s="53"/>
      <c r="H6" s="53"/>
      <c r="I6" s="54"/>
    </row>
    <row r="7" spans="1:11" ht="15" customHeight="1" x14ac:dyDescent="0.2">
      <c r="A7" s="15"/>
      <c r="B7" s="14" t="s">
        <v>3</v>
      </c>
      <c r="C7" s="39" t="s">
        <v>40</v>
      </c>
      <c r="D7" s="1"/>
      <c r="E7" s="116" t="s">
        <v>106</v>
      </c>
      <c r="F7" s="117" t="s">
        <v>102</v>
      </c>
      <c r="G7" s="117"/>
      <c r="H7" s="118"/>
      <c r="I7" s="141" t="s">
        <v>108</v>
      </c>
    </row>
    <row r="8" spans="1:11" ht="15" customHeight="1" x14ac:dyDescent="0.2">
      <c r="A8" s="15"/>
      <c r="B8" s="14" t="s">
        <v>1</v>
      </c>
      <c r="C8" s="40" t="s">
        <v>41</v>
      </c>
      <c r="D8" s="1"/>
      <c r="E8" s="116" t="s">
        <v>106</v>
      </c>
      <c r="F8" s="117" t="s">
        <v>107</v>
      </c>
      <c r="G8" s="117"/>
      <c r="H8" s="118"/>
      <c r="I8" s="141"/>
    </row>
    <row r="9" spans="1:11" ht="15" customHeight="1" x14ac:dyDescent="0.2">
      <c r="A9" s="15"/>
      <c r="B9" s="14" t="s">
        <v>2</v>
      </c>
      <c r="C9" s="39" t="s">
        <v>42</v>
      </c>
      <c r="D9" s="1"/>
      <c r="E9" s="116" t="s">
        <v>106</v>
      </c>
      <c r="F9" s="117" t="s">
        <v>107</v>
      </c>
      <c r="G9" s="117"/>
      <c r="H9" s="118"/>
      <c r="I9" s="141"/>
    </row>
    <row r="10" spans="1:11" ht="15" customHeight="1" x14ac:dyDescent="0.2">
      <c r="A10" s="15"/>
      <c r="B10" s="14" t="s">
        <v>9</v>
      </c>
      <c r="C10" s="33">
        <f>+precio!B6</f>
        <v>0</v>
      </c>
      <c r="D10" s="1"/>
      <c r="E10" s="1"/>
      <c r="F10" s="1"/>
      <c r="G10" s="1"/>
      <c r="H10" s="1"/>
      <c r="I10" s="31">
        <f>COUNT(I7:I9)</f>
        <v>0</v>
      </c>
    </row>
    <row r="11" spans="1:11" ht="15" customHeight="1" x14ac:dyDescent="0.2">
      <c r="A11" s="15"/>
      <c r="B11" s="36" t="s">
        <v>4</v>
      </c>
      <c r="C11" s="41">
        <v>46006</v>
      </c>
      <c r="D11" s="1"/>
      <c r="E11" s="1"/>
      <c r="F11" s="1"/>
      <c r="G11" s="1"/>
      <c r="H11" s="1"/>
      <c r="I11" s="31"/>
    </row>
    <row r="12" spans="1:11" ht="15" customHeight="1" x14ac:dyDescent="0.2">
      <c r="A12" s="15"/>
      <c r="B12" s="14" t="s">
        <v>5</v>
      </c>
      <c r="C12" s="38">
        <f>+C11+C13</f>
        <v>46012</v>
      </c>
      <c r="D12" s="1"/>
      <c r="E12" s="1"/>
      <c r="F12" s="1"/>
      <c r="G12" s="1"/>
      <c r="H12" s="1"/>
      <c r="I12" s="31"/>
    </row>
    <row r="13" spans="1:11" ht="15" customHeight="1" x14ac:dyDescent="0.2">
      <c r="A13" s="15"/>
      <c r="B13" s="14" t="s">
        <v>47</v>
      </c>
      <c r="C13" s="43">
        <v>6</v>
      </c>
      <c r="D13" s="1"/>
      <c r="E13" s="1"/>
      <c r="F13" s="1"/>
      <c r="G13" s="1"/>
      <c r="H13" s="1"/>
      <c r="I13" s="31"/>
    </row>
    <row r="14" spans="1:11" ht="15" customHeight="1" x14ac:dyDescent="0.2">
      <c r="A14" s="32"/>
      <c r="B14" s="15"/>
      <c r="D14" s="295" t="s">
        <v>109</v>
      </c>
      <c r="E14" s="295"/>
      <c r="F14" s="295"/>
      <c r="G14" s="295"/>
      <c r="H14" s="295"/>
      <c r="I14" s="296"/>
    </row>
    <row r="15" spans="1:11" ht="15" customHeight="1" x14ac:dyDescent="0.2">
      <c r="A15" s="15"/>
      <c r="B15" s="16" t="s">
        <v>18</v>
      </c>
      <c r="C15" s="12" t="s">
        <v>14</v>
      </c>
      <c r="D15" s="6" t="s">
        <v>15</v>
      </c>
      <c r="E15" s="6" t="s">
        <v>99</v>
      </c>
      <c r="F15" s="6" t="s">
        <v>100</v>
      </c>
      <c r="G15" s="6"/>
      <c r="H15" s="6" t="s">
        <v>101</v>
      </c>
      <c r="I15" s="17" t="s">
        <v>39</v>
      </c>
    </row>
    <row r="16" spans="1:11" ht="15" customHeight="1" x14ac:dyDescent="0.2">
      <c r="A16" s="11">
        <v>0</v>
      </c>
      <c r="B16" s="56" t="s">
        <v>119</v>
      </c>
      <c r="C16" s="39"/>
      <c r="D16" s="34">
        <f>+C13</f>
        <v>6</v>
      </c>
      <c r="E16" s="34">
        <f>+precio!B6</f>
        <v>0</v>
      </c>
      <c r="F16" s="44">
        <v>0.2</v>
      </c>
      <c r="G16" s="44"/>
      <c r="H16" s="34">
        <f>+E16*(1-F16)</f>
        <v>0</v>
      </c>
      <c r="I16" s="45" t="s">
        <v>46</v>
      </c>
      <c r="K16">
        <f>17*200</f>
        <v>3400</v>
      </c>
    </row>
    <row r="17" spans="1:20" ht="15" customHeight="1" x14ac:dyDescent="0.2">
      <c r="A17" s="11">
        <v>0</v>
      </c>
      <c r="B17" s="111" t="s">
        <v>43</v>
      </c>
      <c r="C17" s="112"/>
      <c r="D17" s="113">
        <f>+D16</f>
        <v>6</v>
      </c>
      <c r="E17" s="113">
        <f>+precio!B6</f>
        <v>0</v>
      </c>
      <c r="F17" s="114">
        <v>1</v>
      </c>
      <c r="G17" s="114"/>
      <c r="H17" s="113">
        <v>0</v>
      </c>
      <c r="I17" s="115" t="str">
        <f>+I16</f>
        <v>FSN</v>
      </c>
    </row>
    <row r="18" spans="1:20" ht="15" customHeight="1" x14ac:dyDescent="0.2">
      <c r="A18" s="11"/>
      <c r="B18" s="56" t="s">
        <v>44</v>
      </c>
      <c r="C18" s="39"/>
      <c r="D18" s="34">
        <f>+D17</f>
        <v>6</v>
      </c>
      <c r="E18" s="34">
        <f>+precio!B6</f>
        <v>0</v>
      </c>
      <c r="F18" s="44">
        <v>0.2</v>
      </c>
      <c r="G18" s="44"/>
      <c r="H18" s="34">
        <f>+E18*(1-F18)</f>
        <v>0</v>
      </c>
      <c r="I18" s="45" t="str">
        <f t="shared" ref="I18:I20" si="0">+I17</f>
        <v>FSN</v>
      </c>
    </row>
    <row r="19" spans="1:20" ht="15" customHeight="1" x14ac:dyDescent="0.2">
      <c r="A19" s="11"/>
      <c r="B19" s="105" t="s">
        <v>102</v>
      </c>
      <c r="C19" s="106"/>
      <c r="D19" s="107">
        <f t="shared" ref="D19:D20" si="1">+D18</f>
        <v>6</v>
      </c>
      <c r="E19" s="107">
        <f>+precio!B7</f>
        <v>0</v>
      </c>
      <c r="F19" s="108">
        <v>0.2</v>
      </c>
      <c r="G19" s="108"/>
      <c r="H19" s="107"/>
      <c r="I19" s="109" t="str">
        <f t="shared" si="0"/>
        <v>FSN</v>
      </c>
    </row>
    <row r="20" spans="1:20" ht="15" customHeight="1" x14ac:dyDescent="0.2">
      <c r="A20" s="11"/>
      <c r="B20" s="56" t="s">
        <v>103</v>
      </c>
      <c r="C20" s="39"/>
      <c r="D20" s="34">
        <f t="shared" si="1"/>
        <v>6</v>
      </c>
      <c r="E20" s="34">
        <f>+precio!B8</f>
        <v>0</v>
      </c>
      <c r="F20" s="44">
        <v>0.2</v>
      </c>
      <c r="G20" s="44"/>
      <c r="H20" s="34"/>
      <c r="I20" s="45" t="str">
        <f t="shared" si="0"/>
        <v>FSN</v>
      </c>
    </row>
    <row r="21" spans="1:20" ht="15" customHeight="1" x14ac:dyDescent="0.2">
      <c r="A21" s="11"/>
      <c r="B21" s="56" t="s">
        <v>45</v>
      </c>
      <c r="C21" s="39"/>
      <c r="D21" s="34">
        <f>+D18</f>
        <v>6</v>
      </c>
      <c r="E21" s="34">
        <f>+precio!B6</f>
        <v>0</v>
      </c>
      <c r="F21" s="44">
        <f t="shared" ref="F21" si="2">+F18</f>
        <v>0.2</v>
      </c>
      <c r="G21" s="44"/>
      <c r="H21" s="34">
        <f>+E21*(1-F21)</f>
        <v>0</v>
      </c>
      <c r="I21" s="45" t="str">
        <f>+I18</f>
        <v>FSN</v>
      </c>
    </row>
    <row r="22" spans="1:20" ht="15" customHeight="1" thickBot="1" x14ac:dyDescent="0.25">
      <c r="A22" s="15"/>
      <c r="B22" s="175" t="s">
        <v>105</v>
      </c>
      <c r="C22" s="8"/>
      <c r="D22" s="35">
        <f>SUM(D16:D21)</f>
        <v>36</v>
      </c>
      <c r="E22" s="55">
        <f>+(D22-F22)/D22</f>
        <v>1</v>
      </c>
      <c r="F22" s="35">
        <f>SUM(H16:H21)</f>
        <v>0</v>
      </c>
      <c r="G22" s="137"/>
      <c r="H22" s="9"/>
      <c r="I22" s="9"/>
    </row>
    <row r="24" spans="1:20" ht="15" hidden="1" customHeight="1" thickBot="1" x14ac:dyDescent="0.25">
      <c r="B24" s="2"/>
      <c r="C24" s="2"/>
      <c r="D24" s="2"/>
      <c r="E24" s="2"/>
      <c r="F24" s="2"/>
      <c r="G24" s="2"/>
      <c r="H24" s="2"/>
      <c r="I24" s="2"/>
      <c r="J24" s="13" t="s">
        <v>6</v>
      </c>
      <c r="K24" s="297" t="s">
        <v>34</v>
      </c>
      <c r="L24" s="298"/>
      <c r="M24" s="297" t="s">
        <v>35</v>
      </c>
      <c r="N24" s="299"/>
      <c r="O24" s="83" t="s">
        <v>16</v>
      </c>
      <c r="P24" s="85" t="s">
        <v>7</v>
      </c>
      <c r="Q24" s="85" t="s">
        <v>33</v>
      </c>
      <c r="R24" s="85" t="s">
        <v>8</v>
      </c>
      <c r="S24" s="84" t="s">
        <v>8</v>
      </c>
      <c r="T24" s="131" t="s">
        <v>20</v>
      </c>
    </row>
    <row r="25" spans="1:20" ht="15" hidden="1" customHeight="1" thickBot="1" x14ac:dyDescent="0.25">
      <c r="A25" s="4" t="s">
        <v>10</v>
      </c>
      <c r="B25" s="292" t="s">
        <v>0</v>
      </c>
      <c r="C25" s="293"/>
      <c r="D25" s="293"/>
      <c r="E25" s="293"/>
      <c r="F25" s="293"/>
      <c r="G25" s="293"/>
      <c r="H25" s="293"/>
      <c r="I25" s="294"/>
      <c r="J25" s="75" t="s">
        <v>13</v>
      </c>
      <c r="K25" s="7" t="s">
        <v>28</v>
      </c>
      <c r="L25" s="9" t="s">
        <v>16</v>
      </c>
      <c r="M25" s="7" t="s">
        <v>28</v>
      </c>
      <c r="N25" s="28" t="s">
        <v>16</v>
      </c>
      <c r="O25" s="7" t="s">
        <v>12</v>
      </c>
      <c r="P25" s="8" t="s">
        <v>17</v>
      </c>
      <c r="Q25" s="8" t="s">
        <v>12</v>
      </c>
      <c r="R25" s="8" t="s">
        <v>11</v>
      </c>
      <c r="S25" s="9" t="s">
        <v>49</v>
      </c>
      <c r="T25" s="132"/>
    </row>
    <row r="26" spans="1:20" ht="15" hidden="1" customHeight="1" thickBot="1" x14ac:dyDescent="0.25">
      <c r="A26" s="10"/>
      <c r="B26" s="29" t="s">
        <v>19</v>
      </c>
      <c r="C26" s="52"/>
      <c r="D26" s="53"/>
      <c r="E26" s="53"/>
      <c r="F26" s="126" t="s">
        <v>120</v>
      </c>
      <c r="G26" s="147"/>
      <c r="H26" s="300" t="s">
        <v>133</v>
      </c>
      <c r="I26" s="301"/>
      <c r="J26" s="146"/>
      <c r="K26" s="25" t="s">
        <v>125</v>
      </c>
      <c r="L26" s="130"/>
      <c r="M26" s="25" t="s">
        <v>29</v>
      </c>
      <c r="N26" s="78">
        <f>+C31-45</f>
        <v>45950</v>
      </c>
      <c r="O26" s="57"/>
      <c r="P26" s="59"/>
      <c r="Q26" s="46"/>
      <c r="R26" s="65" t="e">
        <f>+(F41/2)-P26</f>
        <v>#DIV/0!</v>
      </c>
      <c r="S26" s="58" t="e">
        <f>+F41-P26</f>
        <v>#DIV/0!</v>
      </c>
      <c r="T26" s="22"/>
    </row>
    <row r="27" spans="1:20" ht="15" hidden="1" customHeight="1" thickBot="1" x14ac:dyDescent="0.25">
      <c r="A27" s="15"/>
      <c r="B27" s="14" t="s">
        <v>3</v>
      </c>
      <c r="C27" s="122" t="s">
        <v>113</v>
      </c>
      <c r="D27" s="1"/>
      <c r="E27" s="116" t="s">
        <v>106</v>
      </c>
      <c r="F27" s="116"/>
      <c r="G27" s="117"/>
      <c r="H27" s="118"/>
      <c r="I27" s="141"/>
      <c r="K27" s="18" t="s">
        <v>126</v>
      </c>
      <c r="L27" s="77"/>
      <c r="M27" s="18" t="s">
        <v>30</v>
      </c>
      <c r="N27" s="79">
        <f>+C31-30</f>
        <v>45965</v>
      </c>
      <c r="O27" s="47"/>
      <c r="P27" s="60"/>
      <c r="Q27" s="48"/>
      <c r="R27" s="66"/>
      <c r="S27" s="67"/>
      <c r="T27" s="23"/>
    </row>
    <row r="28" spans="1:20" ht="15" hidden="1" customHeight="1" thickBot="1" x14ac:dyDescent="0.25">
      <c r="A28" s="15"/>
      <c r="B28" s="14" t="s">
        <v>1</v>
      </c>
      <c r="C28" s="123" t="s">
        <v>114</v>
      </c>
      <c r="D28" s="1"/>
      <c r="E28" s="116" t="s">
        <v>106</v>
      </c>
      <c r="F28" s="116"/>
      <c r="G28" s="117"/>
      <c r="H28" s="118"/>
      <c r="I28" s="141"/>
      <c r="K28" s="18" t="s">
        <v>127</v>
      </c>
      <c r="L28" s="77"/>
      <c r="M28" s="18" t="s">
        <v>31</v>
      </c>
      <c r="N28" s="79">
        <f>+C31-15</f>
        <v>45980</v>
      </c>
      <c r="O28" s="47"/>
      <c r="P28" s="60"/>
      <c r="Q28" s="48"/>
      <c r="R28" s="66"/>
      <c r="S28" s="67"/>
      <c r="T28" s="23"/>
    </row>
    <row r="29" spans="1:20" ht="15" hidden="1" customHeight="1" x14ac:dyDescent="0.2">
      <c r="A29" s="15"/>
      <c r="B29" s="14" t="s">
        <v>2</v>
      </c>
      <c r="C29" s="39"/>
      <c r="D29" s="1"/>
      <c r="E29" s="116" t="s">
        <v>106</v>
      </c>
      <c r="F29" s="116"/>
      <c r="G29" s="117"/>
      <c r="H29" s="118"/>
      <c r="I29" s="141"/>
      <c r="K29" s="18" t="s">
        <v>128</v>
      </c>
      <c r="L29" s="77"/>
      <c r="M29" s="18" t="s">
        <v>32</v>
      </c>
      <c r="N29" s="79">
        <f>+C31-7</f>
        <v>45988</v>
      </c>
      <c r="O29" s="47"/>
      <c r="P29" s="60"/>
      <c r="Q29" s="48"/>
      <c r="R29" s="66"/>
      <c r="S29" s="67"/>
      <c r="T29" s="23"/>
    </row>
    <row r="30" spans="1:20" ht="15" hidden="1" customHeight="1" thickBot="1" x14ac:dyDescent="0.25">
      <c r="A30" s="15"/>
      <c r="B30" s="14" t="s">
        <v>9</v>
      </c>
      <c r="C30" s="33"/>
      <c r="D30" s="1"/>
      <c r="H30" s="129" t="s">
        <v>122</v>
      </c>
      <c r="I30" s="142"/>
      <c r="K30" s="18" t="s">
        <v>129</v>
      </c>
      <c r="L30" s="77"/>
      <c r="M30" s="7" t="s">
        <v>27</v>
      </c>
      <c r="N30" s="20"/>
      <c r="O30" s="49"/>
      <c r="P30" s="61"/>
      <c r="Q30" s="50"/>
      <c r="R30" s="68"/>
      <c r="S30" s="69"/>
      <c r="T30" s="37"/>
    </row>
    <row r="31" spans="1:20" ht="15" hidden="1" customHeight="1" thickBot="1" x14ac:dyDescent="0.25">
      <c r="A31" s="15"/>
      <c r="B31" s="36" t="s">
        <v>4</v>
      </c>
      <c r="C31" s="125">
        <v>45995</v>
      </c>
      <c r="D31" s="1"/>
      <c r="E31" s="127" t="s">
        <v>121</v>
      </c>
      <c r="F31" s="127"/>
      <c r="G31" s="127"/>
      <c r="H31" s="127"/>
      <c r="I31" s="128"/>
      <c r="K31" s="18" t="s">
        <v>130</v>
      </c>
      <c r="L31" s="77"/>
      <c r="O31" s="51"/>
      <c r="P31" s="62"/>
      <c r="Q31" s="42"/>
      <c r="R31" s="70"/>
      <c r="S31" s="71"/>
      <c r="T31" s="24"/>
    </row>
    <row r="32" spans="1:20" ht="15" hidden="1" customHeight="1" thickBot="1" x14ac:dyDescent="0.25">
      <c r="A32" s="15"/>
      <c r="B32" s="14" t="s">
        <v>5</v>
      </c>
      <c r="C32" s="135">
        <f>+C31+C33</f>
        <v>45999</v>
      </c>
      <c r="D32" s="1"/>
      <c r="E32" s="1"/>
      <c r="F32" s="1"/>
      <c r="G32" s="1"/>
      <c r="H32" s="1"/>
      <c r="I32" s="31"/>
      <c r="K32" s="7" t="s">
        <v>27</v>
      </c>
      <c r="L32" s="19"/>
    </row>
    <row r="33" spans="1:12" ht="15" hidden="1" customHeight="1" thickBot="1" x14ac:dyDescent="0.25">
      <c r="A33" s="15"/>
      <c r="B33" s="14" t="s">
        <v>47</v>
      </c>
      <c r="C33" s="124">
        <v>4</v>
      </c>
      <c r="D33" s="1"/>
      <c r="E33" s="1"/>
      <c r="F33" s="1"/>
      <c r="G33" s="1"/>
      <c r="H33" s="1"/>
      <c r="I33" s="31"/>
    </row>
    <row r="34" spans="1:12" ht="15" hidden="1" customHeight="1" x14ac:dyDescent="0.2">
      <c r="A34" s="32"/>
      <c r="B34" s="15"/>
      <c r="D34" s="295" t="s">
        <v>124</v>
      </c>
      <c r="E34" s="295"/>
      <c r="F34" s="295"/>
      <c r="G34" s="295"/>
      <c r="H34" s="295"/>
      <c r="I34" s="296"/>
    </row>
    <row r="35" spans="1:12" ht="15" hidden="1" customHeight="1" thickBot="1" x14ac:dyDescent="0.25">
      <c r="A35" s="15"/>
      <c r="B35" s="133" t="s">
        <v>18</v>
      </c>
      <c r="C35" s="134" t="s">
        <v>14</v>
      </c>
      <c r="D35" s="6" t="s">
        <v>15</v>
      </c>
      <c r="E35" s="6" t="s">
        <v>132</v>
      </c>
      <c r="F35" s="6" t="s">
        <v>123</v>
      </c>
      <c r="G35" s="6" t="s">
        <v>131</v>
      </c>
      <c r="H35" s="6" t="s">
        <v>101</v>
      </c>
      <c r="I35" s="17" t="s">
        <v>39</v>
      </c>
    </row>
    <row r="36" spans="1:12" ht="15" hidden="1" customHeight="1" thickBot="1" x14ac:dyDescent="0.25">
      <c r="A36" s="139">
        <v>1</v>
      </c>
      <c r="B36" s="143" t="s">
        <v>113</v>
      </c>
      <c r="C36" s="48"/>
      <c r="D36" s="34" t="e">
        <f>+#REF!</f>
        <v>#REF!</v>
      </c>
      <c r="E36" s="34">
        <f>+C30</f>
        <v>0</v>
      </c>
      <c r="F36" s="136">
        <v>0</v>
      </c>
      <c r="G36" s="136">
        <v>0</v>
      </c>
      <c r="H36" s="34"/>
      <c r="I36" s="17"/>
    </row>
    <row r="37" spans="1:12" ht="15" hidden="1" customHeight="1" thickBot="1" x14ac:dyDescent="0.25">
      <c r="A37" s="139">
        <f>+A36+1</f>
        <v>2</v>
      </c>
      <c r="B37" s="143" t="s">
        <v>115</v>
      </c>
      <c r="C37" s="48"/>
      <c r="D37" s="34" t="e">
        <f>+#REF!</f>
        <v>#REF!</v>
      </c>
      <c r="E37" s="34"/>
      <c r="F37" s="136">
        <f>+F36</f>
        <v>0</v>
      </c>
      <c r="G37" s="136"/>
      <c r="H37" s="34"/>
      <c r="I37" s="17"/>
    </row>
    <row r="38" spans="1:12" ht="15" hidden="1" customHeight="1" thickBot="1" x14ac:dyDescent="0.25">
      <c r="A38" s="139">
        <f t="shared" ref="A38:A40" si="3">+A37+1</f>
        <v>3</v>
      </c>
      <c r="B38" s="143" t="s">
        <v>116</v>
      </c>
      <c r="C38" s="48"/>
      <c r="D38" s="34" t="e">
        <f>+#REF!</f>
        <v>#REF!</v>
      </c>
      <c r="E38" s="34"/>
      <c r="F38" s="136">
        <f t="shared" ref="F38:F40" si="4">+F37</f>
        <v>0</v>
      </c>
      <c r="G38" s="136"/>
      <c r="H38" s="34"/>
      <c r="I38" s="17"/>
    </row>
    <row r="39" spans="1:12" ht="15" hidden="1" customHeight="1" thickBot="1" x14ac:dyDescent="0.25">
      <c r="A39" s="139">
        <f t="shared" si="3"/>
        <v>4</v>
      </c>
      <c r="B39" s="143" t="s">
        <v>117</v>
      </c>
      <c r="C39" s="48"/>
      <c r="D39" s="34" t="e">
        <f>+#REF!</f>
        <v>#REF!</v>
      </c>
      <c r="E39" s="34"/>
      <c r="F39" s="136">
        <f t="shared" si="4"/>
        <v>0</v>
      </c>
      <c r="G39" s="136"/>
      <c r="H39" s="34"/>
      <c r="I39" s="17"/>
    </row>
    <row r="40" spans="1:12" ht="15" hidden="1" customHeight="1" thickBot="1" x14ac:dyDescent="0.25">
      <c r="A40" s="140">
        <f t="shared" si="3"/>
        <v>5</v>
      </c>
      <c r="B40" s="144" t="s">
        <v>118</v>
      </c>
      <c r="C40" s="48"/>
      <c r="D40" s="34" t="e">
        <f>+#REF!</f>
        <v>#REF!</v>
      </c>
      <c r="E40" s="34"/>
      <c r="F40" s="136">
        <f t="shared" si="4"/>
        <v>0</v>
      </c>
      <c r="G40" s="148"/>
      <c r="H40" s="138"/>
      <c r="I40" s="21"/>
    </row>
    <row r="41" spans="1:12" ht="15" hidden="1" customHeight="1" thickBot="1" x14ac:dyDescent="0.25">
      <c r="A41" s="15"/>
      <c r="B41" s="145" t="s">
        <v>105</v>
      </c>
      <c r="C41" s="26"/>
      <c r="D41" s="35" t="e">
        <f>SUM(D36:D40)</f>
        <v>#REF!</v>
      </c>
      <c r="E41" s="55"/>
      <c r="F41" s="137" t="e">
        <f>+(E41-H41)/E41</f>
        <v>#DIV/0!</v>
      </c>
      <c r="G41" s="137"/>
      <c r="H41" s="8"/>
      <c r="I41" s="9"/>
    </row>
    <row r="44" spans="1:12" ht="15" customHeight="1" x14ac:dyDescent="0.2">
      <c r="A44" s="27" t="s">
        <v>188</v>
      </c>
    </row>
    <row r="45" spans="1:12" ht="15" customHeight="1" thickBot="1" x14ac:dyDescent="0.25"/>
    <row r="46" spans="1:12" ht="15" customHeight="1" thickBot="1" x14ac:dyDescent="0.25">
      <c r="G46" s="297" t="s">
        <v>36</v>
      </c>
      <c r="H46" s="302"/>
      <c r="I46" s="302"/>
      <c r="J46" s="302"/>
      <c r="K46" s="298"/>
    </row>
    <row r="47" spans="1:12" ht="15" customHeight="1" x14ac:dyDescent="0.2">
      <c r="B47" s="13" t="s">
        <v>6</v>
      </c>
      <c r="C47" s="297" t="s">
        <v>34</v>
      </c>
      <c r="D47" s="298"/>
      <c r="E47" s="297" t="s">
        <v>35</v>
      </c>
      <c r="F47" s="299"/>
      <c r="G47" s="30" t="s">
        <v>16</v>
      </c>
      <c r="H47" s="3" t="s">
        <v>7</v>
      </c>
      <c r="I47" s="3" t="s">
        <v>33</v>
      </c>
      <c r="J47" s="3" t="s">
        <v>8</v>
      </c>
      <c r="K47" s="72" t="s">
        <v>8</v>
      </c>
      <c r="L47" s="63" t="s">
        <v>20</v>
      </c>
    </row>
    <row r="48" spans="1:12" ht="15" customHeight="1" thickBot="1" x14ac:dyDescent="0.25">
      <c r="B48" s="75" t="s">
        <v>13</v>
      </c>
      <c r="C48" s="7" t="s">
        <v>28</v>
      </c>
      <c r="D48" s="9" t="s">
        <v>16</v>
      </c>
      <c r="E48" s="7" t="s">
        <v>28</v>
      </c>
      <c r="F48" s="28" t="s">
        <v>16</v>
      </c>
      <c r="G48" s="73" t="s">
        <v>12</v>
      </c>
      <c r="H48" s="74" t="s">
        <v>17</v>
      </c>
      <c r="I48" s="74" t="s">
        <v>12</v>
      </c>
      <c r="J48" s="74" t="s">
        <v>11</v>
      </c>
      <c r="K48" s="75" t="s">
        <v>49</v>
      </c>
      <c r="L48" s="64"/>
    </row>
    <row r="49" spans="2:12" ht="15" customHeight="1" thickBot="1" x14ac:dyDescent="0.25">
      <c r="B49" s="76">
        <v>45855</v>
      </c>
      <c r="C49" s="25" t="s">
        <v>21</v>
      </c>
      <c r="D49" s="81">
        <f>+C6+30</f>
        <v>45883</v>
      </c>
      <c r="E49" s="25" t="s">
        <v>29</v>
      </c>
      <c r="F49" s="78">
        <f>+C11-45</f>
        <v>45961</v>
      </c>
      <c r="G49" s="57">
        <v>45912</v>
      </c>
      <c r="H49" s="59">
        <v>3500000</v>
      </c>
      <c r="I49" s="46" t="s">
        <v>48</v>
      </c>
      <c r="J49" s="65">
        <f>+(F22/2)-H49</f>
        <v>-3500000</v>
      </c>
      <c r="K49" s="58">
        <f>+F22-H49</f>
        <v>-3500000</v>
      </c>
      <c r="L49" s="22" t="s">
        <v>50</v>
      </c>
    </row>
    <row r="50" spans="2:12" ht="15" customHeight="1" x14ac:dyDescent="0.2">
      <c r="C50" s="18" t="s">
        <v>22</v>
      </c>
      <c r="D50" s="82">
        <f>+C6+45</f>
        <v>45898</v>
      </c>
      <c r="E50" s="18" t="s">
        <v>30</v>
      </c>
      <c r="F50" s="79">
        <f>+C11-30</f>
        <v>45976</v>
      </c>
      <c r="G50" s="47"/>
      <c r="H50" s="60"/>
      <c r="I50" s="48"/>
      <c r="J50" s="66"/>
      <c r="K50" s="67"/>
      <c r="L50" s="110" t="s">
        <v>104</v>
      </c>
    </row>
    <row r="51" spans="2:12" ht="15" customHeight="1" x14ac:dyDescent="0.2">
      <c r="C51" s="18" t="s">
        <v>23</v>
      </c>
      <c r="D51" s="77">
        <f>+C6+60</f>
        <v>45913</v>
      </c>
      <c r="E51" s="18" t="s">
        <v>31</v>
      </c>
      <c r="F51" s="79">
        <f>+C11-15</f>
        <v>45991</v>
      </c>
      <c r="G51" s="47"/>
      <c r="H51" s="60"/>
      <c r="I51" s="48"/>
      <c r="J51" s="66"/>
      <c r="K51" s="67"/>
      <c r="L51" s="23"/>
    </row>
    <row r="52" spans="2:12" ht="15" customHeight="1" x14ac:dyDescent="0.2">
      <c r="C52" s="18" t="s">
        <v>24</v>
      </c>
      <c r="D52" s="77">
        <f>+C6+75</f>
        <v>45928</v>
      </c>
      <c r="E52" s="18" t="s">
        <v>32</v>
      </c>
      <c r="F52" s="79">
        <f>+C11-7</f>
        <v>45999</v>
      </c>
      <c r="G52" s="47"/>
      <c r="H52" s="60"/>
      <c r="I52" s="48"/>
      <c r="J52" s="66"/>
      <c r="K52" s="67"/>
      <c r="L52" s="23"/>
    </row>
    <row r="53" spans="2:12" ht="15" customHeight="1" thickBot="1" x14ac:dyDescent="0.25">
      <c r="C53" s="18" t="s">
        <v>25</v>
      </c>
      <c r="D53" s="77">
        <f>+C6+90</f>
        <v>45943</v>
      </c>
      <c r="E53" s="7" t="s">
        <v>27</v>
      </c>
      <c r="F53" s="20"/>
      <c r="G53" s="49"/>
      <c r="H53" s="61"/>
      <c r="I53" s="50"/>
      <c r="J53" s="68"/>
      <c r="K53" s="69"/>
      <c r="L53" s="37"/>
    </row>
    <row r="54" spans="2:12" ht="15" customHeight="1" thickBot="1" x14ac:dyDescent="0.25">
      <c r="C54" s="18" t="s">
        <v>26</v>
      </c>
      <c r="D54" s="77">
        <f>+C6+105</f>
        <v>45958</v>
      </c>
      <c r="G54" s="51"/>
      <c r="H54" s="62"/>
      <c r="I54" s="42"/>
      <c r="J54" s="70"/>
      <c r="K54" s="71"/>
      <c r="L54" s="24"/>
    </row>
    <row r="55" spans="2:12" ht="15" customHeight="1" thickBot="1" x14ac:dyDescent="0.25">
      <c r="C55" s="7" t="s">
        <v>27</v>
      </c>
      <c r="D55" s="19"/>
    </row>
  </sheetData>
  <mergeCells count="10">
    <mergeCell ref="D34:I34"/>
    <mergeCell ref="H26:I26"/>
    <mergeCell ref="E47:F47"/>
    <mergeCell ref="C47:D47"/>
    <mergeCell ref="G46:K46"/>
    <mergeCell ref="B5:I5"/>
    <mergeCell ref="D14:I14"/>
    <mergeCell ref="K24:L24"/>
    <mergeCell ref="M24:N24"/>
    <mergeCell ref="B25:I25"/>
  </mergeCells>
  <phoneticPr fontId="3" type="noConversion"/>
  <hyperlinks>
    <hyperlink ref="C8" r:id="rId1" xr:uid="{BAD73A44-485D-4653-81D1-5BCD03D25E17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23E4-6C45-491E-A519-E2AD8A0A56EC}">
  <sheetPr codeName="Hoja6"/>
  <dimension ref="A1:K59"/>
  <sheetViews>
    <sheetView topLeftCell="A4" zoomScale="80" zoomScaleNormal="80" workbookViewId="0">
      <selection activeCell="B4" sqref="B4"/>
    </sheetView>
  </sheetViews>
  <sheetFormatPr baseColWidth="10" defaultRowHeight="15" x14ac:dyDescent="0.2"/>
  <cols>
    <col min="1" max="1" width="17" bestFit="1" customWidth="1"/>
    <col min="4" max="4" width="26.5" bestFit="1" customWidth="1"/>
    <col min="5" max="5" width="17.5" bestFit="1" customWidth="1"/>
    <col min="11" max="11" width="17.83203125" bestFit="1" customWidth="1"/>
  </cols>
  <sheetData>
    <row r="1" spans="1:11" ht="16" thickBot="1" x14ac:dyDescent="0.25"/>
    <row r="2" spans="1:11" ht="27" x14ac:dyDescent="0.35">
      <c r="A2" s="303" t="s">
        <v>286</v>
      </c>
      <c r="B2" s="304"/>
      <c r="C2" s="304"/>
      <c r="D2" s="304"/>
      <c r="E2" s="305"/>
      <c r="G2" s="303" t="s">
        <v>287</v>
      </c>
      <c r="H2" s="304"/>
      <c r="I2" s="304"/>
      <c r="J2" s="304"/>
      <c r="K2" s="305"/>
    </row>
    <row r="3" spans="1:11" ht="16" thickBot="1" x14ac:dyDescent="0.25">
      <c r="A3" s="240" t="s">
        <v>213</v>
      </c>
      <c r="B3" s="241" t="s">
        <v>226</v>
      </c>
      <c r="C3" s="241" t="s">
        <v>200</v>
      </c>
      <c r="D3" s="241" t="s">
        <v>227</v>
      </c>
      <c r="E3" s="239" t="s">
        <v>228</v>
      </c>
      <c r="G3" s="232" t="s">
        <v>213</v>
      </c>
      <c r="H3" s="237" t="s">
        <v>226</v>
      </c>
      <c r="I3" s="237" t="s">
        <v>200</v>
      </c>
      <c r="J3" s="237" t="s">
        <v>227</v>
      </c>
      <c r="K3" s="239" t="s">
        <v>229</v>
      </c>
    </row>
    <row r="4" spans="1:11" x14ac:dyDescent="0.2">
      <c r="A4" s="229" t="s">
        <v>83</v>
      </c>
      <c r="B4" s="3">
        <v>1</v>
      </c>
      <c r="C4" s="230" t="s">
        <v>69</v>
      </c>
      <c r="D4" s="230" t="str">
        <f>+CONCATENATE(A4," ",C4)</f>
        <v>Base single 1 noche</v>
      </c>
      <c r="E4" s="231">
        <v>770000</v>
      </c>
      <c r="G4" s="229" t="s">
        <v>83</v>
      </c>
      <c r="H4">
        <v>1</v>
      </c>
      <c r="I4" t="s">
        <v>69</v>
      </c>
      <c r="J4" t="s">
        <v>230</v>
      </c>
      <c r="K4" s="236">
        <v>1889.9999999999998</v>
      </c>
    </row>
    <row r="5" spans="1:11" x14ac:dyDescent="0.2">
      <c r="A5" s="229" t="s">
        <v>84</v>
      </c>
      <c r="B5" s="3">
        <v>1</v>
      </c>
      <c r="C5" s="230" t="s">
        <v>69</v>
      </c>
      <c r="D5" s="230" t="str">
        <f t="shared" ref="D5:D59" si="0">+CONCATENATE(A5," ",C5)</f>
        <v>Base doble 1 noche</v>
      </c>
      <c r="E5" s="231">
        <v>550000</v>
      </c>
      <c r="G5" s="229" t="s">
        <v>84</v>
      </c>
      <c r="H5">
        <v>1</v>
      </c>
      <c r="I5" t="s">
        <v>69</v>
      </c>
      <c r="J5" t="s">
        <v>231</v>
      </c>
      <c r="K5" s="236">
        <v>1350</v>
      </c>
    </row>
    <row r="6" spans="1:11" x14ac:dyDescent="0.2">
      <c r="A6" s="229" t="s">
        <v>85</v>
      </c>
      <c r="B6" s="3">
        <v>1</v>
      </c>
      <c r="C6" s="230" t="s">
        <v>69</v>
      </c>
      <c r="D6" s="230" t="str">
        <f t="shared" si="0"/>
        <v>Non angler nacional 1 noche</v>
      </c>
      <c r="E6" s="231">
        <v>550000</v>
      </c>
      <c r="G6" s="229" t="s">
        <v>85</v>
      </c>
      <c r="H6">
        <v>1</v>
      </c>
      <c r="I6" t="s">
        <v>69</v>
      </c>
      <c r="J6" t="s">
        <v>232</v>
      </c>
      <c r="K6" s="236">
        <v>944.99999999999989</v>
      </c>
    </row>
    <row r="7" spans="1:11" x14ac:dyDescent="0.2">
      <c r="A7" s="229" t="s">
        <v>83</v>
      </c>
      <c r="B7" s="3">
        <f>+B4+1</f>
        <v>2</v>
      </c>
      <c r="C7" s="230" t="s">
        <v>70</v>
      </c>
      <c r="D7" s="230" t="str">
        <f t="shared" si="0"/>
        <v>Base single 2 noches</v>
      </c>
      <c r="E7" s="231">
        <v>1330000</v>
      </c>
      <c r="G7" s="229" t="s">
        <v>83</v>
      </c>
      <c r="H7">
        <v>2</v>
      </c>
      <c r="I7" t="s">
        <v>70</v>
      </c>
      <c r="J7" t="s">
        <v>233</v>
      </c>
      <c r="K7" s="236">
        <v>3150</v>
      </c>
    </row>
    <row r="8" spans="1:11" x14ac:dyDescent="0.2">
      <c r="A8" s="229" t="s">
        <v>84</v>
      </c>
      <c r="B8" s="3">
        <f t="shared" ref="B8:B45" si="1">+B5+1</f>
        <v>2</v>
      </c>
      <c r="C8" s="230" t="s">
        <v>70</v>
      </c>
      <c r="D8" s="230" t="str">
        <f t="shared" si="0"/>
        <v>Base doble 2 noches</v>
      </c>
      <c r="E8" s="231">
        <v>950000</v>
      </c>
      <c r="G8" s="229" t="s">
        <v>84</v>
      </c>
      <c r="H8">
        <v>2</v>
      </c>
      <c r="I8" t="s">
        <v>70</v>
      </c>
      <c r="J8" t="s">
        <v>234</v>
      </c>
      <c r="K8" s="236">
        <v>2250</v>
      </c>
    </row>
    <row r="9" spans="1:11" x14ac:dyDescent="0.2">
      <c r="A9" s="229" t="s">
        <v>85</v>
      </c>
      <c r="B9" s="3">
        <f t="shared" si="1"/>
        <v>2</v>
      </c>
      <c r="C9" s="230" t="s">
        <v>70</v>
      </c>
      <c r="D9" s="230" t="str">
        <f t="shared" si="0"/>
        <v>Non angler nacional 2 noches</v>
      </c>
      <c r="E9" s="231">
        <v>950000</v>
      </c>
      <c r="G9" s="229" t="s">
        <v>85</v>
      </c>
      <c r="H9">
        <v>2</v>
      </c>
      <c r="I9" t="s">
        <v>70</v>
      </c>
      <c r="J9" t="s">
        <v>235</v>
      </c>
      <c r="K9" s="236">
        <v>1575</v>
      </c>
    </row>
    <row r="10" spans="1:11" x14ac:dyDescent="0.2">
      <c r="A10" s="229" t="s">
        <v>83</v>
      </c>
      <c r="B10" s="3">
        <f t="shared" si="1"/>
        <v>3</v>
      </c>
      <c r="C10" s="230" t="s">
        <v>71</v>
      </c>
      <c r="D10" s="230" t="str">
        <f t="shared" si="0"/>
        <v>Base single 3 noches</v>
      </c>
      <c r="E10" s="231">
        <v>1889999.9999999998</v>
      </c>
      <c r="G10" s="229" t="s">
        <v>83</v>
      </c>
      <c r="H10">
        <v>3</v>
      </c>
      <c r="I10" t="s">
        <v>71</v>
      </c>
      <c r="J10" t="s">
        <v>236</v>
      </c>
      <c r="K10" s="236">
        <v>4410</v>
      </c>
    </row>
    <row r="11" spans="1:11" x14ac:dyDescent="0.2">
      <c r="A11" s="229" t="s">
        <v>84</v>
      </c>
      <c r="B11" s="3">
        <f t="shared" si="1"/>
        <v>3</v>
      </c>
      <c r="C11" s="230" t="s">
        <v>71</v>
      </c>
      <c r="D11" s="230" t="str">
        <f t="shared" si="0"/>
        <v>Base doble 3 noches</v>
      </c>
      <c r="E11" s="231">
        <v>1350000</v>
      </c>
      <c r="G11" s="229" t="s">
        <v>84</v>
      </c>
      <c r="H11">
        <v>3</v>
      </c>
      <c r="I11" t="s">
        <v>71</v>
      </c>
      <c r="J11" t="s">
        <v>237</v>
      </c>
      <c r="K11" s="236">
        <v>3150</v>
      </c>
    </row>
    <row r="12" spans="1:11" x14ac:dyDescent="0.2">
      <c r="A12" s="229" t="s">
        <v>85</v>
      </c>
      <c r="B12" s="3">
        <f t="shared" si="1"/>
        <v>3</v>
      </c>
      <c r="C12" s="230" t="s">
        <v>71</v>
      </c>
      <c r="D12" s="230" t="str">
        <f t="shared" si="0"/>
        <v>Non angler nacional 3 noches</v>
      </c>
      <c r="E12" s="231">
        <v>1350000</v>
      </c>
      <c r="G12" s="229" t="s">
        <v>85</v>
      </c>
      <c r="H12">
        <v>3</v>
      </c>
      <c r="I12" t="s">
        <v>71</v>
      </c>
      <c r="J12" t="s">
        <v>238</v>
      </c>
      <c r="K12" s="236">
        <v>2205</v>
      </c>
    </row>
    <row r="13" spans="1:11" x14ac:dyDescent="0.2">
      <c r="A13" s="229" t="s">
        <v>83</v>
      </c>
      <c r="B13" s="3">
        <f t="shared" si="1"/>
        <v>4</v>
      </c>
      <c r="C13" s="230" t="s">
        <v>72</v>
      </c>
      <c r="D13" s="230" t="str">
        <f t="shared" si="0"/>
        <v>Base single 4 noches</v>
      </c>
      <c r="E13" s="231">
        <v>2450000</v>
      </c>
      <c r="G13" s="229" t="s">
        <v>83</v>
      </c>
      <c r="H13">
        <v>4</v>
      </c>
      <c r="I13" t="s">
        <v>72</v>
      </c>
      <c r="J13" t="s">
        <v>239</v>
      </c>
      <c r="K13" s="236">
        <v>5670</v>
      </c>
    </row>
    <row r="14" spans="1:11" x14ac:dyDescent="0.2">
      <c r="A14" s="229" t="s">
        <v>84</v>
      </c>
      <c r="B14" s="3">
        <f t="shared" si="1"/>
        <v>4</v>
      </c>
      <c r="C14" s="230" t="s">
        <v>72</v>
      </c>
      <c r="D14" s="230" t="str">
        <f t="shared" si="0"/>
        <v>Base doble 4 noches</v>
      </c>
      <c r="E14" s="231">
        <v>1750000</v>
      </c>
      <c r="G14" s="229" t="s">
        <v>84</v>
      </c>
      <c r="H14">
        <v>4</v>
      </c>
      <c r="I14" t="s">
        <v>72</v>
      </c>
      <c r="J14" t="s">
        <v>240</v>
      </c>
      <c r="K14" s="236">
        <v>4050</v>
      </c>
    </row>
    <row r="15" spans="1:11" x14ac:dyDescent="0.2">
      <c r="A15" s="229" t="s">
        <v>85</v>
      </c>
      <c r="B15" s="3">
        <f t="shared" si="1"/>
        <v>4</v>
      </c>
      <c r="C15" s="230" t="s">
        <v>72</v>
      </c>
      <c r="D15" s="230" t="str">
        <f t="shared" si="0"/>
        <v>Non angler nacional 4 noches</v>
      </c>
      <c r="E15" s="231">
        <v>1750000</v>
      </c>
      <c r="G15" s="229" t="s">
        <v>85</v>
      </c>
      <c r="H15">
        <v>4</v>
      </c>
      <c r="I15" t="s">
        <v>72</v>
      </c>
      <c r="J15" t="s">
        <v>241</v>
      </c>
      <c r="K15" s="236">
        <v>2835</v>
      </c>
    </row>
    <row r="16" spans="1:11" x14ac:dyDescent="0.2">
      <c r="A16" s="229" t="s">
        <v>83</v>
      </c>
      <c r="B16" s="3">
        <f t="shared" si="1"/>
        <v>5</v>
      </c>
      <c r="C16" s="230" t="s">
        <v>73</v>
      </c>
      <c r="D16" s="230" t="str">
        <f t="shared" si="0"/>
        <v>Base single 5 noches</v>
      </c>
      <c r="E16" s="231">
        <v>3010000</v>
      </c>
      <c r="G16" s="229" t="s">
        <v>83</v>
      </c>
      <c r="H16">
        <v>5</v>
      </c>
      <c r="I16" t="s">
        <v>73</v>
      </c>
      <c r="J16" t="s">
        <v>242</v>
      </c>
      <c r="K16" s="236">
        <v>6930</v>
      </c>
    </row>
    <row r="17" spans="1:11" x14ac:dyDescent="0.2">
      <c r="A17" s="229" t="s">
        <v>84</v>
      </c>
      <c r="B17" s="3">
        <f t="shared" si="1"/>
        <v>5</v>
      </c>
      <c r="C17" s="230" t="s">
        <v>73</v>
      </c>
      <c r="D17" s="230" t="str">
        <f t="shared" si="0"/>
        <v>Base doble 5 noches</v>
      </c>
      <c r="E17" s="231">
        <v>2150000</v>
      </c>
      <c r="G17" s="229" t="s">
        <v>84</v>
      </c>
      <c r="H17">
        <v>5</v>
      </c>
      <c r="I17" t="s">
        <v>73</v>
      </c>
      <c r="J17" t="s">
        <v>243</v>
      </c>
      <c r="K17" s="236">
        <v>4950</v>
      </c>
    </row>
    <row r="18" spans="1:11" x14ac:dyDescent="0.2">
      <c r="A18" s="229" t="s">
        <v>85</v>
      </c>
      <c r="B18" s="3">
        <f t="shared" si="1"/>
        <v>5</v>
      </c>
      <c r="C18" s="230" t="s">
        <v>73</v>
      </c>
      <c r="D18" s="230" t="str">
        <f t="shared" si="0"/>
        <v>Non angler nacional 5 noches</v>
      </c>
      <c r="E18" s="231">
        <v>2150000</v>
      </c>
      <c r="G18" s="229" t="s">
        <v>85</v>
      </c>
      <c r="H18">
        <v>5</v>
      </c>
      <c r="I18" t="s">
        <v>73</v>
      </c>
      <c r="J18" t="s">
        <v>244</v>
      </c>
      <c r="K18" s="236">
        <v>3465</v>
      </c>
    </row>
    <row r="19" spans="1:11" x14ac:dyDescent="0.2">
      <c r="A19" s="229" t="s">
        <v>83</v>
      </c>
      <c r="B19" s="3">
        <f t="shared" si="1"/>
        <v>6</v>
      </c>
      <c r="C19" s="230" t="s">
        <v>74</v>
      </c>
      <c r="D19" s="230" t="str">
        <f t="shared" si="0"/>
        <v>Base single 6 noches</v>
      </c>
      <c r="E19" s="231">
        <v>3570000</v>
      </c>
      <c r="G19" s="229" t="s">
        <v>83</v>
      </c>
      <c r="H19">
        <v>6</v>
      </c>
      <c r="I19" t="s">
        <v>74</v>
      </c>
      <c r="J19" t="s">
        <v>245</v>
      </c>
      <c r="K19" s="236">
        <v>8189.9999999999991</v>
      </c>
    </row>
    <row r="20" spans="1:11" x14ac:dyDescent="0.2">
      <c r="A20" s="229" t="s">
        <v>84</v>
      </c>
      <c r="B20" s="3">
        <f t="shared" si="1"/>
        <v>6</v>
      </c>
      <c r="C20" s="230" t="s">
        <v>74</v>
      </c>
      <c r="D20" s="230" t="str">
        <f t="shared" si="0"/>
        <v>Base doble 6 noches</v>
      </c>
      <c r="E20" s="231">
        <v>2550000</v>
      </c>
      <c r="G20" s="229" t="s">
        <v>84</v>
      </c>
      <c r="H20">
        <v>6</v>
      </c>
      <c r="I20" t="s">
        <v>74</v>
      </c>
      <c r="J20" t="s">
        <v>246</v>
      </c>
      <c r="K20" s="236">
        <v>5850</v>
      </c>
    </row>
    <row r="21" spans="1:11" x14ac:dyDescent="0.2">
      <c r="A21" s="229" t="s">
        <v>85</v>
      </c>
      <c r="B21" s="3">
        <f t="shared" si="1"/>
        <v>6</v>
      </c>
      <c r="C21" s="230" t="s">
        <v>74</v>
      </c>
      <c r="D21" s="230" t="str">
        <f t="shared" si="0"/>
        <v>Non angler nacional 6 noches</v>
      </c>
      <c r="E21" s="231">
        <v>2550000</v>
      </c>
      <c r="G21" s="229" t="s">
        <v>85</v>
      </c>
      <c r="H21">
        <v>6</v>
      </c>
      <c r="I21" t="s">
        <v>74</v>
      </c>
      <c r="J21" t="s">
        <v>247</v>
      </c>
      <c r="K21" s="236">
        <v>4094.9999999999995</v>
      </c>
    </row>
    <row r="22" spans="1:11" x14ac:dyDescent="0.2">
      <c r="A22" s="229" t="s">
        <v>83</v>
      </c>
      <c r="B22" s="3">
        <f t="shared" si="1"/>
        <v>7</v>
      </c>
      <c r="C22" s="230" t="s">
        <v>75</v>
      </c>
      <c r="D22" s="230" t="str">
        <f t="shared" si="0"/>
        <v>Base single 7 noches</v>
      </c>
      <c r="E22" s="231">
        <v>4129999.9999999995</v>
      </c>
      <c r="G22" s="229" t="s">
        <v>83</v>
      </c>
      <c r="H22">
        <v>7</v>
      </c>
      <c r="I22" t="s">
        <v>75</v>
      </c>
      <c r="J22" t="s">
        <v>248</v>
      </c>
      <c r="K22" s="236">
        <v>9450</v>
      </c>
    </row>
    <row r="23" spans="1:11" x14ac:dyDescent="0.2">
      <c r="A23" s="229" t="s">
        <v>84</v>
      </c>
      <c r="B23" s="3">
        <f t="shared" si="1"/>
        <v>7</v>
      </c>
      <c r="C23" s="230" t="s">
        <v>75</v>
      </c>
      <c r="D23" s="230" t="str">
        <f t="shared" si="0"/>
        <v>Base doble 7 noches</v>
      </c>
      <c r="E23" s="231">
        <v>2950000</v>
      </c>
      <c r="G23" s="229" t="s">
        <v>84</v>
      </c>
      <c r="H23">
        <v>7</v>
      </c>
      <c r="I23" t="s">
        <v>75</v>
      </c>
      <c r="J23" t="s">
        <v>249</v>
      </c>
      <c r="K23" s="236">
        <v>6750</v>
      </c>
    </row>
    <row r="24" spans="1:11" x14ac:dyDescent="0.2">
      <c r="A24" s="229" t="s">
        <v>85</v>
      </c>
      <c r="B24" s="3">
        <f t="shared" si="1"/>
        <v>7</v>
      </c>
      <c r="C24" s="230" t="s">
        <v>75</v>
      </c>
      <c r="D24" s="230" t="str">
        <f t="shared" si="0"/>
        <v>Non angler nacional 7 noches</v>
      </c>
      <c r="E24" s="231">
        <v>2950000</v>
      </c>
      <c r="G24" s="229" t="s">
        <v>85</v>
      </c>
      <c r="H24">
        <v>7</v>
      </c>
      <c r="I24" t="s">
        <v>75</v>
      </c>
      <c r="J24" t="s">
        <v>250</v>
      </c>
      <c r="K24" s="236">
        <v>4725</v>
      </c>
    </row>
    <row r="25" spans="1:11" x14ac:dyDescent="0.2">
      <c r="A25" s="229" t="s">
        <v>83</v>
      </c>
      <c r="B25" s="3">
        <f t="shared" si="1"/>
        <v>8</v>
      </c>
      <c r="C25" s="230" t="s">
        <v>76</v>
      </c>
      <c r="D25" s="230" t="str">
        <f t="shared" si="0"/>
        <v>Base single 8 noches</v>
      </c>
      <c r="E25" s="231">
        <v>4690000</v>
      </c>
      <c r="G25" s="229" t="s">
        <v>83</v>
      </c>
      <c r="H25">
        <v>8</v>
      </c>
      <c r="I25" t="s">
        <v>76</v>
      </c>
      <c r="J25" t="s">
        <v>251</v>
      </c>
      <c r="K25" s="236">
        <v>10710</v>
      </c>
    </row>
    <row r="26" spans="1:11" x14ac:dyDescent="0.2">
      <c r="A26" s="229" t="s">
        <v>84</v>
      </c>
      <c r="B26" s="3">
        <f t="shared" si="1"/>
        <v>8</v>
      </c>
      <c r="C26" s="230" t="s">
        <v>76</v>
      </c>
      <c r="D26" s="230" t="str">
        <f t="shared" si="0"/>
        <v>Base doble 8 noches</v>
      </c>
      <c r="E26" s="231">
        <v>3350000</v>
      </c>
      <c r="G26" s="229" t="s">
        <v>84</v>
      </c>
      <c r="H26">
        <v>8</v>
      </c>
      <c r="I26" t="s">
        <v>76</v>
      </c>
      <c r="J26" t="s">
        <v>252</v>
      </c>
      <c r="K26" s="236">
        <v>7650</v>
      </c>
    </row>
    <row r="27" spans="1:11" x14ac:dyDescent="0.2">
      <c r="A27" s="229" t="s">
        <v>85</v>
      </c>
      <c r="B27" s="3">
        <f t="shared" si="1"/>
        <v>8</v>
      </c>
      <c r="C27" s="230" t="s">
        <v>76</v>
      </c>
      <c r="D27" s="230" t="str">
        <f t="shared" si="0"/>
        <v>Non angler nacional 8 noches</v>
      </c>
      <c r="E27" s="231">
        <v>3350000</v>
      </c>
      <c r="G27" s="229" t="s">
        <v>85</v>
      </c>
      <c r="H27">
        <v>8</v>
      </c>
      <c r="I27" t="s">
        <v>76</v>
      </c>
      <c r="J27" t="s">
        <v>253</v>
      </c>
      <c r="K27" s="236">
        <v>5355</v>
      </c>
    </row>
    <row r="28" spans="1:11" x14ac:dyDescent="0.2">
      <c r="A28" s="229" t="s">
        <v>83</v>
      </c>
      <c r="B28" s="3">
        <f t="shared" si="1"/>
        <v>9</v>
      </c>
      <c r="C28" s="230" t="s">
        <v>77</v>
      </c>
      <c r="D28" s="230" t="str">
        <f t="shared" si="0"/>
        <v>Base single 9 noches</v>
      </c>
      <c r="E28" s="231">
        <v>5250000</v>
      </c>
      <c r="G28" s="229" t="s">
        <v>83</v>
      </c>
      <c r="H28">
        <v>9</v>
      </c>
      <c r="I28" t="s">
        <v>77</v>
      </c>
      <c r="J28" t="s">
        <v>254</v>
      </c>
      <c r="K28" s="236">
        <v>11970</v>
      </c>
    </row>
    <row r="29" spans="1:11" x14ac:dyDescent="0.2">
      <c r="A29" s="229" t="s">
        <v>84</v>
      </c>
      <c r="B29" s="3">
        <f t="shared" si="1"/>
        <v>9</v>
      </c>
      <c r="C29" s="230" t="s">
        <v>77</v>
      </c>
      <c r="D29" s="230" t="str">
        <f t="shared" si="0"/>
        <v>Base doble 9 noches</v>
      </c>
      <c r="E29" s="231">
        <v>3750000</v>
      </c>
      <c r="G29" s="229" t="s">
        <v>84</v>
      </c>
      <c r="H29">
        <v>9</v>
      </c>
      <c r="I29" t="s">
        <v>77</v>
      </c>
      <c r="J29" t="s">
        <v>255</v>
      </c>
      <c r="K29" s="236">
        <v>8550</v>
      </c>
    </row>
    <row r="30" spans="1:11" x14ac:dyDescent="0.2">
      <c r="A30" s="229" t="s">
        <v>85</v>
      </c>
      <c r="B30" s="3">
        <f t="shared" si="1"/>
        <v>9</v>
      </c>
      <c r="C30" s="230" t="s">
        <v>77</v>
      </c>
      <c r="D30" s="230" t="str">
        <f t="shared" si="0"/>
        <v>Non angler nacional 9 noches</v>
      </c>
      <c r="E30" s="231">
        <v>3750000</v>
      </c>
      <c r="G30" s="229" t="s">
        <v>85</v>
      </c>
      <c r="H30">
        <v>9</v>
      </c>
      <c r="I30" t="s">
        <v>77</v>
      </c>
      <c r="J30" t="s">
        <v>256</v>
      </c>
      <c r="K30" s="236">
        <v>5985</v>
      </c>
    </row>
    <row r="31" spans="1:11" x14ac:dyDescent="0.2">
      <c r="A31" s="229" t="s">
        <v>83</v>
      </c>
      <c r="B31" s="3">
        <f t="shared" si="1"/>
        <v>10</v>
      </c>
      <c r="C31" s="230" t="s">
        <v>78</v>
      </c>
      <c r="D31" s="230" t="str">
        <f t="shared" si="0"/>
        <v>Base single 10 noches</v>
      </c>
      <c r="E31" s="231">
        <v>5810000</v>
      </c>
      <c r="G31" s="229" t="s">
        <v>83</v>
      </c>
      <c r="H31">
        <v>10</v>
      </c>
      <c r="I31" t="s">
        <v>78</v>
      </c>
      <c r="J31" t="s">
        <v>257</v>
      </c>
      <c r="K31" s="236">
        <v>13230</v>
      </c>
    </row>
    <row r="32" spans="1:11" x14ac:dyDescent="0.2">
      <c r="A32" s="229" t="s">
        <v>84</v>
      </c>
      <c r="B32" s="3">
        <f t="shared" si="1"/>
        <v>10</v>
      </c>
      <c r="C32" s="230" t="s">
        <v>78</v>
      </c>
      <c r="D32" s="230" t="str">
        <f t="shared" si="0"/>
        <v>Base doble 10 noches</v>
      </c>
      <c r="E32" s="231">
        <v>4150000</v>
      </c>
      <c r="G32" s="229" t="s">
        <v>84</v>
      </c>
      <c r="H32">
        <v>10</v>
      </c>
      <c r="I32" t="s">
        <v>78</v>
      </c>
      <c r="J32" t="s">
        <v>258</v>
      </c>
      <c r="K32" s="236">
        <v>9450</v>
      </c>
    </row>
    <row r="33" spans="1:11" x14ac:dyDescent="0.2">
      <c r="A33" s="229" t="s">
        <v>85</v>
      </c>
      <c r="B33" s="3">
        <f t="shared" si="1"/>
        <v>10</v>
      </c>
      <c r="C33" s="230" t="s">
        <v>78</v>
      </c>
      <c r="D33" s="230" t="str">
        <f t="shared" si="0"/>
        <v>Non angler nacional 10 noches</v>
      </c>
      <c r="E33" s="231">
        <v>4150000</v>
      </c>
      <c r="G33" s="229" t="s">
        <v>85</v>
      </c>
      <c r="H33">
        <v>10</v>
      </c>
      <c r="I33" t="s">
        <v>78</v>
      </c>
      <c r="J33" t="s">
        <v>259</v>
      </c>
      <c r="K33" s="236">
        <v>6615</v>
      </c>
    </row>
    <row r="34" spans="1:11" x14ac:dyDescent="0.2">
      <c r="A34" s="229" t="s">
        <v>83</v>
      </c>
      <c r="B34" s="3">
        <f t="shared" si="1"/>
        <v>11</v>
      </c>
      <c r="C34" s="230" t="s">
        <v>79</v>
      </c>
      <c r="D34" s="230" t="str">
        <f t="shared" si="0"/>
        <v>Base single 11 noches</v>
      </c>
      <c r="E34" s="231">
        <v>6370000</v>
      </c>
      <c r="G34" s="229" t="s">
        <v>83</v>
      </c>
      <c r="H34">
        <v>11</v>
      </c>
      <c r="I34" t="s">
        <v>79</v>
      </c>
      <c r="J34" t="s">
        <v>260</v>
      </c>
      <c r="K34" s="236">
        <v>14489.999999999998</v>
      </c>
    </row>
    <row r="35" spans="1:11" x14ac:dyDescent="0.2">
      <c r="A35" s="229" t="s">
        <v>84</v>
      </c>
      <c r="B35" s="3">
        <f t="shared" si="1"/>
        <v>11</v>
      </c>
      <c r="C35" s="230" t="s">
        <v>79</v>
      </c>
      <c r="D35" s="230" t="str">
        <f t="shared" si="0"/>
        <v>Base doble 11 noches</v>
      </c>
      <c r="E35" s="231">
        <v>4550000</v>
      </c>
      <c r="G35" s="229" t="s">
        <v>84</v>
      </c>
      <c r="H35">
        <v>11</v>
      </c>
      <c r="I35" t="s">
        <v>79</v>
      </c>
      <c r="J35" t="s">
        <v>261</v>
      </c>
      <c r="K35" s="236">
        <v>10350</v>
      </c>
    </row>
    <row r="36" spans="1:11" x14ac:dyDescent="0.2">
      <c r="A36" s="229" t="s">
        <v>85</v>
      </c>
      <c r="B36" s="3">
        <f t="shared" si="1"/>
        <v>11</v>
      </c>
      <c r="C36" s="230" t="s">
        <v>79</v>
      </c>
      <c r="D36" s="230" t="str">
        <f t="shared" si="0"/>
        <v>Non angler nacional 11 noches</v>
      </c>
      <c r="E36" s="231">
        <v>4550000</v>
      </c>
      <c r="G36" s="229" t="s">
        <v>85</v>
      </c>
      <c r="H36">
        <v>11</v>
      </c>
      <c r="I36" t="s">
        <v>79</v>
      </c>
      <c r="J36" t="s">
        <v>262</v>
      </c>
      <c r="K36" s="236">
        <v>7244.9999999999991</v>
      </c>
    </row>
    <row r="37" spans="1:11" x14ac:dyDescent="0.2">
      <c r="A37" s="229" t="s">
        <v>83</v>
      </c>
      <c r="B37" s="3">
        <f t="shared" si="1"/>
        <v>12</v>
      </c>
      <c r="C37" s="230" t="s">
        <v>80</v>
      </c>
      <c r="D37" s="230" t="str">
        <f t="shared" si="0"/>
        <v>Base single 12 noches</v>
      </c>
      <c r="E37" s="231">
        <v>6930000</v>
      </c>
      <c r="G37" s="229" t="s">
        <v>83</v>
      </c>
      <c r="H37">
        <v>12</v>
      </c>
      <c r="I37" t="s">
        <v>80</v>
      </c>
      <c r="J37" t="s">
        <v>263</v>
      </c>
      <c r="K37" s="236">
        <v>15749.999999999998</v>
      </c>
    </row>
    <row r="38" spans="1:11" x14ac:dyDescent="0.2">
      <c r="A38" s="229" t="s">
        <v>84</v>
      </c>
      <c r="B38" s="3">
        <f t="shared" si="1"/>
        <v>12</v>
      </c>
      <c r="C38" s="230" t="s">
        <v>80</v>
      </c>
      <c r="D38" s="230" t="str">
        <f t="shared" si="0"/>
        <v>Base doble 12 noches</v>
      </c>
      <c r="E38" s="231">
        <v>4950000</v>
      </c>
      <c r="G38" s="229" t="s">
        <v>84</v>
      </c>
      <c r="H38">
        <v>12</v>
      </c>
      <c r="I38" t="s">
        <v>80</v>
      </c>
      <c r="J38" t="s">
        <v>264</v>
      </c>
      <c r="K38" s="236">
        <v>11250</v>
      </c>
    </row>
    <row r="39" spans="1:11" x14ac:dyDescent="0.2">
      <c r="A39" s="229" t="s">
        <v>85</v>
      </c>
      <c r="B39" s="3">
        <f t="shared" si="1"/>
        <v>12</v>
      </c>
      <c r="C39" s="230" t="s">
        <v>80</v>
      </c>
      <c r="D39" s="230" t="str">
        <f t="shared" si="0"/>
        <v>Non angler nacional 12 noches</v>
      </c>
      <c r="E39" s="231">
        <v>4950000</v>
      </c>
      <c r="G39" s="229" t="s">
        <v>85</v>
      </c>
      <c r="H39">
        <v>12</v>
      </c>
      <c r="I39" t="s">
        <v>80</v>
      </c>
      <c r="J39" t="s">
        <v>265</v>
      </c>
      <c r="K39" s="236">
        <v>7874.9999999999991</v>
      </c>
    </row>
    <row r="40" spans="1:11" x14ac:dyDescent="0.2">
      <c r="A40" s="229" t="s">
        <v>83</v>
      </c>
      <c r="B40" s="3">
        <f t="shared" si="1"/>
        <v>13</v>
      </c>
      <c r="C40" s="230" t="s">
        <v>81</v>
      </c>
      <c r="D40" s="230" t="str">
        <f t="shared" si="0"/>
        <v>Base single 13 noches</v>
      </c>
      <c r="E40" s="231">
        <v>7489999.9999999991</v>
      </c>
      <c r="G40" s="229" t="s">
        <v>83</v>
      </c>
      <c r="H40">
        <v>13</v>
      </c>
      <c r="I40" t="s">
        <v>81</v>
      </c>
      <c r="J40" t="s">
        <v>266</v>
      </c>
      <c r="K40" s="236">
        <v>17010</v>
      </c>
    </row>
    <row r="41" spans="1:11" x14ac:dyDescent="0.2">
      <c r="A41" s="229" t="s">
        <v>84</v>
      </c>
      <c r="B41" s="3">
        <f t="shared" si="1"/>
        <v>13</v>
      </c>
      <c r="C41" s="230" t="s">
        <v>81</v>
      </c>
      <c r="D41" s="230" t="str">
        <f t="shared" si="0"/>
        <v>Base doble 13 noches</v>
      </c>
      <c r="E41" s="231">
        <v>5350000</v>
      </c>
      <c r="G41" s="229" t="s">
        <v>84</v>
      </c>
      <c r="H41">
        <v>13</v>
      </c>
      <c r="I41" t="s">
        <v>81</v>
      </c>
      <c r="J41" t="s">
        <v>267</v>
      </c>
      <c r="K41" s="236">
        <v>12150</v>
      </c>
    </row>
    <row r="42" spans="1:11" x14ac:dyDescent="0.2">
      <c r="A42" s="229" t="s">
        <v>85</v>
      </c>
      <c r="B42" s="3">
        <f t="shared" si="1"/>
        <v>13</v>
      </c>
      <c r="C42" s="230" t="s">
        <v>81</v>
      </c>
      <c r="D42" s="230" t="str">
        <f t="shared" si="0"/>
        <v>Non angler nacional 13 noches</v>
      </c>
      <c r="E42" s="231">
        <v>5350000</v>
      </c>
      <c r="G42" s="229" t="s">
        <v>85</v>
      </c>
      <c r="H42">
        <v>13</v>
      </c>
      <c r="I42" t="s">
        <v>81</v>
      </c>
      <c r="J42" t="s">
        <v>268</v>
      </c>
      <c r="K42" s="236">
        <v>8505</v>
      </c>
    </row>
    <row r="43" spans="1:11" x14ac:dyDescent="0.2">
      <c r="A43" s="229" t="s">
        <v>83</v>
      </c>
      <c r="B43" s="3">
        <f t="shared" si="1"/>
        <v>14</v>
      </c>
      <c r="C43" s="230" t="s">
        <v>82</v>
      </c>
      <c r="D43" s="230" t="str">
        <f t="shared" si="0"/>
        <v>Base single 14 noches</v>
      </c>
      <c r="E43" s="231">
        <v>8049999.9999999991</v>
      </c>
      <c r="G43" s="229" t="s">
        <v>83</v>
      </c>
      <c r="H43">
        <v>14</v>
      </c>
      <c r="I43" t="s">
        <v>82</v>
      </c>
      <c r="J43" t="s">
        <v>269</v>
      </c>
      <c r="K43" s="236">
        <v>18270</v>
      </c>
    </row>
    <row r="44" spans="1:11" x14ac:dyDescent="0.2">
      <c r="A44" s="229" t="s">
        <v>84</v>
      </c>
      <c r="B44" s="3">
        <f t="shared" si="1"/>
        <v>14</v>
      </c>
      <c r="C44" s="230" t="s">
        <v>82</v>
      </c>
      <c r="D44" s="230" t="str">
        <f t="shared" si="0"/>
        <v>Base doble 14 noches</v>
      </c>
      <c r="E44" s="231">
        <v>5750000</v>
      </c>
      <c r="G44" s="229" t="s">
        <v>84</v>
      </c>
      <c r="H44">
        <v>14</v>
      </c>
      <c r="I44" t="s">
        <v>82</v>
      </c>
      <c r="J44" t="s">
        <v>270</v>
      </c>
      <c r="K44" s="236">
        <v>13050</v>
      </c>
    </row>
    <row r="45" spans="1:11" x14ac:dyDescent="0.2">
      <c r="A45" s="229" t="s">
        <v>85</v>
      </c>
      <c r="B45" s="3">
        <f t="shared" si="1"/>
        <v>14</v>
      </c>
      <c r="C45" s="230" t="s">
        <v>82</v>
      </c>
      <c r="D45" s="230" t="str">
        <f t="shared" si="0"/>
        <v>Non angler nacional 14 noches</v>
      </c>
      <c r="E45" s="231">
        <v>5750000</v>
      </c>
      <c r="G45" s="229" t="s">
        <v>85</v>
      </c>
      <c r="H45">
        <v>14</v>
      </c>
      <c r="I45" t="s">
        <v>82</v>
      </c>
      <c r="J45" t="s">
        <v>271</v>
      </c>
      <c r="K45" s="236">
        <v>9135</v>
      </c>
    </row>
    <row r="46" spans="1:11" x14ac:dyDescent="0.2">
      <c r="A46" s="229" t="s">
        <v>147</v>
      </c>
      <c r="B46" s="3">
        <v>1</v>
      </c>
      <c r="C46" s="230" t="s">
        <v>69</v>
      </c>
      <c r="D46" s="230" t="str">
        <f t="shared" si="0"/>
        <v>Host 1 noche</v>
      </c>
      <c r="E46" s="231">
        <v>0</v>
      </c>
      <c r="G46" s="229" t="s">
        <v>147</v>
      </c>
      <c r="H46">
        <v>1</v>
      </c>
      <c r="I46" t="s">
        <v>69</v>
      </c>
      <c r="J46" t="s">
        <v>272</v>
      </c>
      <c r="K46" s="236">
        <v>0</v>
      </c>
    </row>
    <row r="47" spans="1:11" x14ac:dyDescent="0.2">
      <c r="A47" s="229" t="s">
        <v>147</v>
      </c>
      <c r="B47" s="3">
        <v>2</v>
      </c>
      <c r="C47" s="230" t="s">
        <v>148</v>
      </c>
      <c r="D47" s="230" t="str">
        <f t="shared" si="0"/>
        <v>Host 2 Noches</v>
      </c>
      <c r="E47" s="231">
        <v>0</v>
      </c>
      <c r="G47" s="229" t="s">
        <v>147</v>
      </c>
      <c r="H47">
        <v>2</v>
      </c>
      <c r="I47" t="s">
        <v>148</v>
      </c>
      <c r="J47" t="s">
        <v>273</v>
      </c>
      <c r="K47" s="236">
        <v>0</v>
      </c>
    </row>
    <row r="48" spans="1:11" x14ac:dyDescent="0.2">
      <c r="A48" s="229" t="s">
        <v>147</v>
      </c>
      <c r="B48" s="3">
        <v>3</v>
      </c>
      <c r="C48" s="230" t="s">
        <v>149</v>
      </c>
      <c r="D48" s="230" t="str">
        <f t="shared" si="0"/>
        <v>Host 3 Noches</v>
      </c>
      <c r="E48" s="231">
        <v>0</v>
      </c>
      <c r="G48" s="229" t="s">
        <v>147</v>
      </c>
      <c r="H48">
        <v>3</v>
      </c>
      <c r="I48" t="s">
        <v>149</v>
      </c>
      <c r="J48" t="s">
        <v>274</v>
      </c>
      <c r="K48" s="236">
        <v>0</v>
      </c>
    </row>
    <row r="49" spans="1:11" x14ac:dyDescent="0.2">
      <c r="A49" s="229" t="s">
        <v>147</v>
      </c>
      <c r="B49" s="3">
        <v>4</v>
      </c>
      <c r="C49" s="230" t="s">
        <v>150</v>
      </c>
      <c r="D49" s="230" t="str">
        <f t="shared" si="0"/>
        <v>Host 4 Noches</v>
      </c>
      <c r="E49" s="231">
        <v>0</v>
      </c>
      <c r="G49" s="229" t="s">
        <v>147</v>
      </c>
      <c r="H49">
        <v>4</v>
      </c>
      <c r="I49" t="s">
        <v>150</v>
      </c>
      <c r="J49" t="s">
        <v>275</v>
      </c>
      <c r="K49" s="236">
        <v>0</v>
      </c>
    </row>
    <row r="50" spans="1:11" x14ac:dyDescent="0.2">
      <c r="A50" s="229" t="s">
        <v>147</v>
      </c>
      <c r="B50" s="3">
        <v>5</v>
      </c>
      <c r="C50" s="230" t="s">
        <v>151</v>
      </c>
      <c r="D50" s="230" t="str">
        <f t="shared" si="0"/>
        <v>Host 5 Noches</v>
      </c>
      <c r="E50" s="231">
        <v>0</v>
      </c>
      <c r="G50" s="229" t="s">
        <v>147</v>
      </c>
      <c r="H50">
        <v>5</v>
      </c>
      <c r="I50" t="s">
        <v>151</v>
      </c>
      <c r="J50" t="s">
        <v>276</v>
      </c>
      <c r="K50" s="236">
        <v>0</v>
      </c>
    </row>
    <row r="51" spans="1:11" x14ac:dyDescent="0.2">
      <c r="A51" s="229" t="s">
        <v>147</v>
      </c>
      <c r="B51" s="3">
        <v>6</v>
      </c>
      <c r="C51" s="230" t="s">
        <v>152</v>
      </c>
      <c r="D51" s="230" t="str">
        <f t="shared" si="0"/>
        <v>Host 6 Noches</v>
      </c>
      <c r="E51" s="231">
        <v>0</v>
      </c>
      <c r="G51" s="229" t="s">
        <v>147</v>
      </c>
      <c r="H51">
        <v>6</v>
      </c>
      <c r="I51" t="s">
        <v>152</v>
      </c>
      <c r="J51" t="s">
        <v>277</v>
      </c>
      <c r="K51" s="236">
        <v>0</v>
      </c>
    </row>
    <row r="52" spans="1:11" x14ac:dyDescent="0.2">
      <c r="A52" s="229" t="s">
        <v>147</v>
      </c>
      <c r="B52" s="3">
        <v>7</v>
      </c>
      <c r="C52" s="230" t="s">
        <v>153</v>
      </c>
      <c r="D52" s="230" t="str">
        <f t="shared" si="0"/>
        <v>Host 7 Noches</v>
      </c>
      <c r="E52" s="231">
        <v>0</v>
      </c>
      <c r="G52" s="229" t="s">
        <v>147</v>
      </c>
      <c r="H52">
        <v>7</v>
      </c>
      <c r="I52" t="s">
        <v>153</v>
      </c>
      <c r="J52" t="s">
        <v>278</v>
      </c>
      <c r="K52" s="236">
        <v>0</v>
      </c>
    </row>
    <row r="53" spans="1:11" x14ac:dyDescent="0.2">
      <c r="A53" s="229" t="s">
        <v>147</v>
      </c>
      <c r="B53" s="3">
        <v>8</v>
      </c>
      <c r="C53" s="230" t="s">
        <v>154</v>
      </c>
      <c r="D53" s="230" t="str">
        <f t="shared" si="0"/>
        <v>Host 8 Noches</v>
      </c>
      <c r="E53" s="231">
        <v>0</v>
      </c>
      <c r="G53" s="229" t="s">
        <v>147</v>
      </c>
      <c r="H53">
        <v>8</v>
      </c>
      <c r="I53" t="s">
        <v>154</v>
      </c>
      <c r="J53" t="s">
        <v>279</v>
      </c>
      <c r="K53" s="236">
        <v>0</v>
      </c>
    </row>
    <row r="54" spans="1:11" x14ac:dyDescent="0.2">
      <c r="A54" s="229" t="s">
        <v>147</v>
      </c>
      <c r="B54" s="3">
        <v>9</v>
      </c>
      <c r="C54" s="230" t="s">
        <v>155</v>
      </c>
      <c r="D54" s="230" t="str">
        <f t="shared" si="0"/>
        <v>Host 9 Noches</v>
      </c>
      <c r="E54" s="231">
        <v>0</v>
      </c>
      <c r="G54" s="229" t="s">
        <v>147</v>
      </c>
      <c r="H54">
        <v>9</v>
      </c>
      <c r="I54" t="s">
        <v>155</v>
      </c>
      <c r="J54" t="s">
        <v>280</v>
      </c>
      <c r="K54" s="236">
        <v>0</v>
      </c>
    </row>
    <row r="55" spans="1:11" x14ac:dyDescent="0.2">
      <c r="A55" s="229" t="s">
        <v>147</v>
      </c>
      <c r="B55" s="3">
        <v>10</v>
      </c>
      <c r="C55" s="230" t="s">
        <v>156</v>
      </c>
      <c r="D55" s="230" t="str">
        <f t="shared" si="0"/>
        <v>Host 10 Noches</v>
      </c>
      <c r="E55" s="231">
        <v>0</v>
      </c>
      <c r="G55" s="229" t="s">
        <v>147</v>
      </c>
      <c r="H55">
        <v>10</v>
      </c>
      <c r="I55" t="s">
        <v>156</v>
      </c>
      <c r="J55" t="s">
        <v>281</v>
      </c>
      <c r="K55" s="236">
        <v>0</v>
      </c>
    </row>
    <row r="56" spans="1:11" x14ac:dyDescent="0.2">
      <c r="A56" s="229" t="s">
        <v>147</v>
      </c>
      <c r="B56" s="3">
        <v>11</v>
      </c>
      <c r="C56" s="230" t="s">
        <v>157</v>
      </c>
      <c r="D56" s="230" t="str">
        <f t="shared" si="0"/>
        <v>Host 11 Noches</v>
      </c>
      <c r="E56" s="231">
        <v>0</v>
      </c>
      <c r="G56" s="229" t="s">
        <v>147</v>
      </c>
      <c r="H56">
        <v>11</v>
      </c>
      <c r="I56" t="s">
        <v>157</v>
      </c>
      <c r="J56" t="s">
        <v>282</v>
      </c>
      <c r="K56" s="236">
        <v>0</v>
      </c>
    </row>
    <row r="57" spans="1:11" x14ac:dyDescent="0.2">
      <c r="A57" s="229" t="s">
        <v>147</v>
      </c>
      <c r="B57" s="3">
        <v>12</v>
      </c>
      <c r="C57" s="230" t="s">
        <v>158</v>
      </c>
      <c r="D57" s="230" t="str">
        <f t="shared" si="0"/>
        <v>Host 12 Noches</v>
      </c>
      <c r="E57" s="231">
        <v>0</v>
      </c>
      <c r="G57" s="229" t="s">
        <v>147</v>
      </c>
      <c r="H57">
        <v>12</v>
      </c>
      <c r="I57" t="s">
        <v>158</v>
      </c>
      <c r="J57" t="s">
        <v>283</v>
      </c>
      <c r="K57" s="236">
        <v>0</v>
      </c>
    </row>
    <row r="58" spans="1:11" x14ac:dyDescent="0.2">
      <c r="A58" s="229" t="s">
        <v>147</v>
      </c>
      <c r="B58" s="3">
        <v>13</v>
      </c>
      <c r="C58" s="230" t="s">
        <v>159</v>
      </c>
      <c r="D58" s="230" t="str">
        <f t="shared" si="0"/>
        <v>Host 13 Noches</v>
      </c>
      <c r="E58" s="231">
        <v>0</v>
      </c>
      <c r="G58" s="229" t="s">
        <v>147</v>
      </c>
      <c r="H58">
        <v>13</v>
      </c>
      <c r="I58" t="s">
        <v>159</v>
      </c>
      <c r="J58" t="s">
        <v>284</v>
      </c>
      <c r="K58" s="236">
        <v>0</v>
      </c>
    </row>
    <row r="59" spans="1:11" ht="16" thickBot="1" x14ac:dyDescent="0.25">
      <c r="A59" s="232" t="s">
        <v>147</v>
      </c>
      <c r="B59" s="233">
        <v>14</v>
      </c>
      <c r="C59" s="234" t="s">
        <v>160</v>
      </c>
      <c r="D59" s="234" t="str">
        <f t="shared" si="0"/>
        <v>Host 14 Noches</v>
      </c>
      <c r="E59" s="235">
        <v>0</v>
      </c>
      <c r="G59" s="232" t="s">
        <v>147</v>
      </c>
      <c r="H59" s="237">
        <v>14</v>
      </c>
      <c r="I59" s="237" t="s">
        <v>160</v>
      </c>
      <c r="J59" s="237" t="s">
        <v>285</v>
      </c>
      <c r="K59" s="238">
        <v>0</v>
      </c>
    </row>
  </sheetData>
  <mergeCells count="2">
    <mergeCell ref="A2:E2"/>
    <mergeCell ref="G2:K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51E4-F1BF-4703-91E7-76D10F11D1AC}">
  <sheetPr codeName="Hoja7"/>
  <dimension ref="A1:P41"/>
  <sheetViews>
    <sheetView workbookViewId="0">
      <selection activeCell="A3" sqref="A3:P27"/>
    </sheetView>
  </sheetViews>
  <sheetFormatPr baseColWidth="10" defaultRowHeight="15" x14ac:dyDescent="0.2"/>
  <cols>
    <col min="1" max="1" width="19.6640625" customWidth="1"/>
    <col min="2" max="2" width="13.33203125" customWidth="1"/>
    <col min="3" max="5" width="12.5" bestFit="1" customWidth="1"/>
    <col min="6" max="6" width="12.5" style="27" bestFit="1" customWidth="1"/>
    <col min="7" max="8" width="12.5" bestFit="1" customWidth="1"/>
    <col min="9" max="9" width="12.5" style="27" bestFit="1" customWidth="1"/>
    <col min="10" max="16" width="12.83203125" customWidth="1"/>
  </cols>
  <sheetData>
    <row r="1" spans="1:16" x14ac:dyDescent="0.2">
      <c r="A1" s="27" t="s">
        <v>51</v>
      </c>
      <c r="B1" s="27" t="s">
        <v>52</v>
      </c>
    </row>
    <row r="2" spans="1:16" x14ac:dyDescent="0.2">
      <c r="A2" s="3"/>
      <c r="B2" s="3"/>
    </row>
    <row r="3" spans="1:16" x14ac:dyDescent="0.2">
      <c r="A3" s="6" t="s">
        <v>53</v>
      </c>
      <c r="B3" s="86" t="s">
        <v>54</v>
      </c>
      <c r="C3" s="6" t="s">
        <v>55</v>
      </c>
      <c r="D3" s="6" t="s">
        <v>56</v>
      </c>
      <c r="E3" s="6" t="s">
        <v>57</v>
      </c>
      <c r="F3" s="6" t="s">
        <v>58</v>
      </c>
      <c r="G3" s="6" t="s">
        <v>59</v>
      </c>
      <c r="H3" s="6" t="s">
        <v>60</v>
      </c>
      <c r="I3" s="6" t="s">
        <v>61</v>
      </c>
      <c r="J3" s="6" t="s">
        <v>62</v>
      </c>
      <c r="K3" s="6" t="s">
        <v>63</v>
      </c>
      <c r="L3" s="6" t="s">
        <v>64</v>
      </c>
      <c r="M3" s="6" t="s">
        <v>65</v>
      </c>
      <c r="N3" s="6" t="s">
        <v>66</v>
      </c>
      <c r="O3" s="6" t="s">
        <v>67</v>
      </c>
      <c r="P3" s="6" t="s">
        <v>68</v>
      </c>
    </row>
    <row r="4" spans="1:16" x14ac:dyDescent="0.2">
      <c r="A4" s="87">
        <v>200000</v>
      </c>
      <c r="B4" s="87">
        <v>350000</v>
      </c>
      <c r="C4" s="87">
        <v>400000</v>
      </c>
      <c r="D4" s="87">
        <f>+C4</f>
        <v>400000</v>
      </c>
      <c r="E4" s="88">
        <f t="shared" ref="E4:O4" si="0">+D4</f>
        <v>400000</v>
      </c>
      <c r="F4" s="88">
        <f t="shared" si="0"/>
        <v>400000</v>
      </c>
      <c r="G4" s="88">
        <f t="shared" si="0"/>
        <v>400000</v>
      </c>
      <c r="H4" s="88">
        <f t="shared" si="0"/>
        <v>400000</v>
      </c>
      <c r="I4" s="88">
        <f t="shared" si="0"/>
        <v>400000</v>
      </c>
      <c r="J4" s="88">
        <f t="shared" si="0"/>
        <v>400000</v>
      </c>
      <c r="K4" s="88">
        <f t="shared" si="0"/>
        <v>400000</v>
      </c>
      <c r="L4" s="88">
        <f t="shared" si="0"/>
        <v>400000</v>
      </c>
      <c r="M4" s="88">
        <f t="shared" si="0"/>
        <v>400000</v>
      </c>
      <c r="N4" s="88">
        <f t="shared" si="0"/>
        <v>400000</v>
      </c>
      <c r="O4" s="88">
        <f t="shared" si="0"/>
        <v>400000</v>
      </c>
      <c r="P4" s="88">
        <v>200000</v>
      </c>
    </row>
    <row r="5" spans="1:16" x14ac:dyDescent="0.2">
      <c r="A5" s="87"/>
      <c r="B5" s="87"/>
      <c r="C5" s="6" t="s">
        <v>69</v>
      </c>
      <c r="D5" s="6" t="s">
        <v>70</v>
      </c>
      <c r="E5" s="6" t="s">
        <v>71</v>
      </c>
      <c r="F5" s="80" t="s">
        <v>72</v>
      </c>
      <c r="G5" s="6" t="s">
        <v>73</v>
      </c>
      <c r="H5" s="6" t="s">
        <v>74</v>
      </c>
      <c r="I5" s="80" t="s">
        <v>75</v>
      </c>
      <c r="J5" s="6" t="s">
        <v>76</v>
      </c>
      <c r="K5" s="6" t="s">
        <v>77</v>
      </c>
      <c r="L5" s="80" t="s">
        <v>78</v>
      </c>
      <c r="M5" s="80" t="s">
        <v>79</v>
      </c>
      <c r="N5" s="6" t="s">
        <v>80</v>
      </c>
      <c r="O5" s="6" t="s">
        <v>81</v>
      </c>
      <c r="P5" s="80" t="s">
        <v>82</v>
      </c>
    </row>
    <row r="6" spans="1:16" x14ac:dyDescent="0.2">
      <c r="A6" s="5" t="s">
        <v>83</v>
      </c>
      <c r="B6" s="89"/>
      <c r="C6" s="89">
        <f>+C7*1.4</f>
        <v>770000</v>
      </c>
      <c r="D6" s="89">
        <f t="shared" ref="D6:P6" si="1">+D7*1.4</f>
        <v>1330000</v>
      </c>
      <c r="E6" s="89">
        <f t="shared" si="1"/>
        <v>1889999.9999999998</v>
      </c>
      <c r="F6" s="90">
        <f t="shared" si="1"/>
        <v>2450000</v>
      </c>
      <c r="G6" s="89">
        <f t="shared" si="1"/>
        <v>3010000</v>
      </c>
      <c r="H6" s="89">
        <f t="shared" si="1"/>
        <v>3570000</v>
      </c>
      <c r="I6" s="90">
        <f t="shared" si="1"/>
        <v>4129999.9999999995</v>
      </c>
      <c r="J6" s="91">
        <f t="shared" si="1"/>
        <v>4690000</v>
      </c>
      <c r="K6" s="91">
        <f t="shared" si="1"/>
        <v>5250000</v>
      </c>
      <c r="L6" s="90">
        <f t="shared" si="1"/>
        <v>5810000</v>
      </c>
      <c r="M6" s="90">
        <f t="shared" si="1"/>
        <v>6370000</v>
      </c>
      <c r="N6" s="91">
        <f t="shared" si="1"/>
        <v>6930000</v>
      </c>
      <c r="O6" s="91">
        <f t="shared" si="1"/>
        <v>7489999.9999999991</v>
      </c>
      <c r="P6" s="90">
        <f t="shared" si="1"/>
        <v>8049999.9999999991</v>
      </c>
    </row>
    <row r="7" spans="1:16" x14ac:dyDescent="0.2">
      <c r="A7" s="5" t="s">
        <v>84</v>
      </c>
      <c r="B7" s="89"/>
      <c r="C7" s="89">
        <f>($A4/2)+B4+($P4/2)</f>
        <v>550000</v>
      </c>
      <c r="D7" s="89">
        <f>($A4/2)+C4+B4+($P4/2)</f>
        <v>950000</v>
      </c>
      <c r="E7" s="89">
        <f>($A4/2)+B4+D4+C4+($P4/2)</f>
        <v>1350000</v>
      </c>
      <c r="F7" s="90">
        <f>($A4/2)+B4+C4+E4+D4+($P4/2)</f>
        <v>1750000</v>
      </c>
      <c r="G7" s="89">
        <f>($A4/2)+B4+C4+D4+F4+E4+($P4/2)</f>
        <v>2150000</v>
      </c>
      <c r="H7" s="89">
        <f>($A4/2)+B4+C4+D4+E4+G4+F4+($P4/2)</f>
        <v>2550000</v>
      </c>
      <c r="I7" s="90">
        <f>($A4/2)+B4+C4+D4+E4+F4+H4+G4+($P4/2)</f>
        <v>2950000</v>
      </c>
      <c r="J7" s="89">
        <f>($A4/2)+B4+C4+D4+E4+F4+G4+I4+H4+($P4/2)</f>
        <v>3350000</v>
      </c>
      <c r="K7" s="89">
        <f>($A4/2)+B4+C4+D4+E4+F4+G4+H4+J4+I4+($P4/2)</f>
        <v>3750000</v>
      </c>
      <c r="L7" s="90">
        <f>($A4/2)+B4+C4+D4+E4+F4+G4+H4+I4+K4+J4+($P4/2)</f>
        <v>4150000</v>
      </c>
      <c r="M7" s="90">
        <f>($A4/2)+B4+C4+D4+E4+F4+G4+H4+I4+J4+L4+K4+($P4/2)</f>
        <v>4550000</v>
      </c>
      <c r="N7" s="89">
        <f>($A4/2)+B4+C4+D4+E4+F4+G4+H4+I4+J4+K4+M4+L4+($P4/2)</f>
        <v>4950000</v>
      </c>
      <c r="O7" s="89">
        <f>($A4/2)+B4+C4+D4+E4+F4+G4+H4+I4+J4+K4+L4+N4+M4+($P4/2)</f>
        <v>5350000</v>
      </c>
      <c r="P7" s="90">
        <f>($A4/2)+B4+C4+D4+E4+F4+G4+H4+I4+J4+K4+L4+M4+O4+N4+($P4/2)</f>
        <v>5750000</v>
      </c>
    </row>
    <row r="8" spans="1:16" x14ac:dyDescent="0.2">
      <c r="A8" s="5" t="s">
        <v>85</v>
      </c>
      <c r="B8" s="89"/>
      <c r="C8" s="89">
        <f>+C7</f>
        <v>550000</v>
      </c>
      <c r="D8" s="89">
        <f t="shared" ref="D8:P8" si="2">+D7</f>
        <v>950000</v>
      </c>
      <c r="E8" s="89">
        <f t="shared" si="2"/>
        <v>1350000</v>
      </c>
      <c r="F8" s="90">
        <f t="shared" si="2"/>
        <v>1750000</v>
      </c>
      <c r="G8" s="89">
        <f t="shared" si="2"/>
        <v>2150000</v>
      </c>
      <c r="H8" s="89">
        <f t="shared" si="2"/>
        <v>2550000</v>
      </c>
      <c r="I8" s="90">
        <f t="shared" si="2"/>
        <v>2950000</v>
      </c>
      <c r="J8" s="89">
        <f t="shared" si="2"/>
        <v>3350000</v>
      </c>
      <c r="K8" s="89">
        <f t="shared" si="2"/>
        <v>3750000</v>
      </c>
      <c r="L8" s="90">
        <f t="shared" si="2"/>
        <v>4150000</v>
      </c>
      <c r="M8" s="90">
        <f t="shared" si="2"/>
        <v>4550000</v>
      </c>
      <c r="N8" s="89">
        <f t="shared" si="2"/>
        <v>4950000</v>
      </c>
      <c r="O8" s="89">
        <f t="shared" si="2"/>
        <v>5350000</v>
      </c>
      <c r="P8" s="90">
        <f t="shared" si="2"/>
        <v>5750000</v>
      </c>
    </row>
    <row r="9" spans="1:16" x14ac:dyDescent="0.2">
      <c r="A9" s="92"/>
      <c r="B9" s="92"/>
      <c r="C9" s="92"/>
      <c r="D9" s="92"/>
      <c r="E9" s="92"/>
      <c r="F9" s="93">
        <v>9.375E-2</v>
      </c>
      <c r="G9" s="92"/>
      <c r="H9" s="92"/>
      <c r="I9" s="94"/>
    </row>
    <row r="10" spans="1:16" x14ac:dyDescent="0.2">
      <c r="A10" s="27" t="s">
        <v>51</v>
      </c>
      <c r="B10" s="27" t="s">
        <v>86</v>
      </c>
    </row>
    <row r="11" spans="1:16" x14ac:dyDescent="0.2">
      <c r="A11" s="6"/>
      <c r="B11" s="6"/>
      <c r="C11" s="6" t="s">
        <v>69</v>
      </c>
      <c r="D11" s="6" t="s">
        <v>70</v>
      </c>
      <c r="E11" s="6" t="s">
        <v>71</v>
      </c>
      <c r="F11" s="6" t="s">
        <v>72</v>
      </c>
      <c r="G11" s="6" t="s">
        <v>73</v>
      </c>
      <c r="H11" s="6" t="s">
        <v>74</v>
      </c>
      <c r="I11" s="6" t="s">
        <v>75</v>
      </c>
      <c r="J11" s="6" t="s">
        <v>76</v>
      </c>
      <c r="K11" s="6" t="s">
        <v>77</v>
      </c>
      <c r="L11" s="6" t="s">
        <v>78</v>
      </c>
      <c r="M11" s="6" t="s">
        <v>79</v>
      </c>
      <c r="N11" s="6" t="s">
        <v>80</v>
      </c>
      <c r="O11" s="6" t="s">
        <v>81</v>
      </c>
      <c r="P11" s="6" t="s">
        <v>82</v>
      </c>
    </row>
    <row r="12" spans="1:16" x14ac:dyDescent="0.2">
      <c r="A12" s="6" t="s">
        <v>87</v>
      </c>
      <c r="B12" s="95" t="s">
        <v>88</v>
      </c>
      <c r="C12" s="6" t="s">
        <v>55</v>
      </c>
      <c r="D12" s="6" t="s">
        <v>56</v>
      </c>
      <c r="E12" s="6" t="s">
        <v>57</v>
      </c>
      <c r="F12" s="6" t="s">
        <v>58</v>
      </c>
      <c r="G12" s="6" t="s">
        <v>59</v>
      </c>
      <c r="H12" s="6" t="s">
        <v>60</v>
      </c>
      <c r="I12" s="6" t="s">
        <v>61</v>
      </c>
      <c r="J12" s="6" t="s">
        <v>62</v>
      </c>
      <c r="K12" s="6" t="s">
        <v>63</v>
      </c>
      <c r="L12" s="6" t="s">
        <v>64</v>
      </c>
      <c r="M12" s="6" t="s">
        <v>65</v>
      </c>
      <c r="N12" s="6" t="s">
        <v>66</v>
      </c>
      <c r="O12" s="6" t="s">
        <v>67</v>
      </c>
      <c r="P12" s="6" t="s">
        <v>68</v>
      </c>
    </row>
    <row r="13" spans="1:16" x14ac:dyDescent="0.2">
      <c r="A13" s="96">
        <v>350</v>
      </c>
      <c r="B13" s="96">
        <v>1000</v>
      </c>
      <c r="C13" s="97">
        <v>900</v>
      </c>
      <c r="D13" s="97">
        <f>+C13</f>
        <v>900</v>
      </c>
      <c r="E13" s="97">
        <f t="shared" ref="E13:H13" si="3">+D13</f>
        <v>900</v>
      </c>
      <c r="F13" s="97">
        <f t="shared" si="3"/>
        <v>900</v>
      </c>
      <c r="G13" s="97">
        <f t="shared" si="3"/>
        <v>900</v>
      </c>
      <c r="H13" s="97">
        <f t="shared" si="3"/>
        <v>900</v>
      </c>
      <c r="I13" s="97">
        <f>+H13</f>
        <v>900</v>
      </c>
      <c r="J13" s="97">
        <f t="shared" ref="J13:O13" si="4">+I13</f>
        <v>900</v>
      </c>
      <c r="K13" s="97">
        <f t="shared" si="4"/>
        <v>900</v>
      </c>
      <c r="L13" s="97">
        <f t="shared" si="4"/>
        <v>900</v>
      </c>
      <c r="M13" s="97">
        <f t="shared" si="4"/>
        <v>900</v>
      </c>
      <c r="N13" s="97">
        <f t="shared" si="4"/>
        <v>900</v>
      </c>
      <c r="O13" s="97">
        <f t="shared" si="4"/>
        <v>900</v>
      </c>
      <c r="P13" s="97">
        <f>+A13</f>
        <v>350</v>
      </c>
    </row>
    <row r="14" spans="1:16" x14ac:dyDescent="0.2">
      <c r="A14" s="96"/>
      <c r="B14" s="96"/>
      <c r="C14" s="6" t="s">
        <v>69</v>
      </c>
      <c r="D14" s="6" t="s">
        <v>70</v>
      </c>
      <c r="E14" s="6" t="s">
        <v>71</v>
      </c>
      <c r="F14" s="80" t="s">
        <v>72</v>
      </c>
      <c r="G14" s="6" t="s">
        <v>73</v>
      </c>
      <c r="H14" s="6" t="s">
        <v>74</v>
      </c>
      <c r="I14" s="80" t="s">
        <v>75</v>
      </c>
      <c r="J14" s="6" t="s">
        <v>76</v>
      </c>
      <c r="K14" s="6" t="s">
        <v>77</v>
      </c>
      <c r="L14" s="80" t="s">
        <v>78</v>
      </c>
      <c r="M14" s="80" t="s">
        <v>79</v>
      </c>
      <c r="N14" s="6" t="s">
        <v>80</v>
      </c>
      <c r="O14" s="6" t="s">
        <v>81</v>
      </c>
      <c r="P14" s="80" t="s">
        <v>82</v>
      </c>
    </row>
    <row r="15" spans="1:16" x14ac:dyDescent="0.2">
      <c r="A15" s="5" t="s">
        <v>83</v>
      </c>
      <c r="B15" s="96"/>
      <c r="C15" s="96">
        <f>+C16*1.4</f>
        <v>1889.9999999999998</v>
      </c>
      <c r="D15" s="96">
        <f t="shared" ref="D15:P15" si="5">+D16*1.4</f>
        <v>3150</v>
      </c>
      <c r="E15" s="96">
        <f t="shared" si="5"/>
        <v>4410</v>
      </c>
      <c r="F15" s="98">
        <f t="shared" si="5"/>
        <v>5670</v>
      </c>
      <c r="G15" s="96">
        <f t="shared" si="5"/>
        <v>6930</v>
      </c>
      <c r="H15" s="96">
        <f t="shared" si="5"/>
        <v>8189.9999999999991</v>
      </c>
      <c r="I15" s="98">
        <f t="shared" si="5"/>
        <v>9450</v>
      </c>
      <c r="J15" s="97">
        <f t="shared" si="5"/>
        <v>10710</v>
      </c>
      <c r="K15" s="97">
        <f t="shared" si="5"/>
        <v>11970</v>
      </c>
      <c r="L15" s="98">
        <f t="shared" si="5"/>
        <v>13230</v>
      </c>
      <c r="M15" s="98">
        <f t="shared" si="5"/>
        <v>14489.999999999998</v>
      </c>
      <c r="N15" s="97">
        <f t="shared" si="5"/>
        <v>15749.999999999998</v>
      </c>
      <c r="O15" s="97">
        <f t="shared" si="5"/>
        <v>17010</v>
      </c>
      <c r="P15" s="98">
        <f t="shared" si="5"/>
        <v>18270</v>
      </c>
    </row>
    <row r="16" spans="1:16" x14ac:dyDescent="0.2">
      <c r="A16" s="5" t="s">
        <v>84</v>
      </c>
      <c r="B16" s="89"/>
      <c r="C16" s="96">
        <f>($A13/2)+B13+($P13/2)</f>
        <v>1350</v>
      </c>
      <c r="D16" s="96">
        <f>($A13/2)+C13+B13+($P13/2)</f>
        <v>2250</v>
      </c>
      <c r="E16" s="96">
        <f>($A13/2)+B13+D13+C13+($P13/2)</f>
        <v>3150</v>
      </c>
      <c r="F16" s="98">
        <f>($A13/2)+B13+C13+E13+D13+($P13/2)</f>
        <v>4050</v>
      </c>
      <c r="G16" s="96">
        <f>($A13/2)+B13+C13+D13+F13+E13+($P13/2)</f>
        <v>4950</v>
      </c>
      <c r="H16" s="96">
        <f>($A13/2)+B13+C13+D13+E13+G13+F13+($P13/2)</f>
        <v>5850</v>
      </c>
      <c r="I16" s="98">
        <f>($A13/2)+B13+C13+D13+E13+F13+H13+G13+($P13/2)</f>
        <v>6750</v>
      </c>
      <c r="J16" s="97">
        <f>($A13/2)+B13+C13+D13+E13+F13+G13+I13+H13+($P13/2)</f>
        <v>7650</v>
      </c>
      <c r="K16" s="97">
        <f>($A13/2)+B13+C13+D13+E13+F13+G13+H13+J13+I13+($P13/2)</f>
        <v>8550</v>
      </c>
      <c r="L16" s="98">
        <f>($A13/2)+B13+C13+D13+E13+F13+G13+H13+I13+K13+J13+($P13/2)</f>
        <v>9450</v>
      </c>
      <c r="M16" s="98">
        <f>($A13/2)+B13+C13+D13+E13+F13+G13+H13+I13+J13+L13+K13+($P13/2)</f>
        <v>10350</v>
      </c>
      <c r="N16" s="97">
        <f>($A13/2)+B13+C13+D13+E13+F13+G13+H13+I13+J13+K13+M13+L13+($P13/2)</f>
        <v>11250</v>
      </c>
      <c r="O16" s="97">
        <f>($A13/2)+B13+C13+D13+E13+F13+G13+H13+I13+J13+K13+L13+N13+M13+($P13/2)</f>
        <v>12150</v>
      </c>
      <c r="P16" s="98">
        <f>($A13/2)+B13+C13+D13+E13+F13+G13+H13+I13+J13+K13+L13+M13+O13+N13+($P13/2)</f>
        <v>13050</v>
      </c>
    </row>
    <row r="17" spans="1:16" x14ac:dyDescent="0.2">
      <c r="A17" s="5" t="s">
        <v>89</v>
      </c>
      <c r="B17" s="89"/>
      <c r="C17" s="96">
        <f>+C16*0.7</f>
        <v>944.99999999999989</v>
      </c>
      <c r="D17" s="96">
        <f t="shared" ref="D17:P17" si="6">+D16*0.7</f>
        <v>1575</v>
      </c>
      <c r="E17" s="96">
        <f t="shared" si="6"/>
        <v>2205</v>
      </c>
      <c r="F17" s="98">
        <f t="shared" si="6"/>
        <v>2835</v>
      </c>
      <c r="G17" s="96">
        <f t="shared" si="6"/>
        <v>3465</v>
      </c>
      <c r="H17" s="96">
        <f t="shared" si="6"/>
        <v>4094.9999999999995</v>
      </c>
      <c r="I17" s="98">
        <f t="shared" si="6"/>
        <v>4725</v>
      </c>
      <c r="J17" s="97">
        <f t="shared" si="6"/>
        <v>5355</v>
      </c>
      <c r="K17" s="97">
        <f t="shared" si="6"/>
        <v>5985</v>
      </c>
      <c r="L17" s="98">
        <f t="shared" si="6"/>
        <v>6615</v>
      </c>
      <c r="M17" s="98">
        <f t="shared" si="6"/>
        <v>7244.9999999999991</v>
      </c>
      <c r="N17" s="97">
        <f t="shared" si="6"/>
        <v>7874.9999999999991</v>
      </c>
      <c r="O17" s="97">
        <f t="shared" si="6"/>
        <v>8505</v>
      </c>
      <c r="P17" s="98">
        <f t="shared" si="6"/>
        <v>9135</v>
      </c>
    </row>
    <row r="18" spans="1:16" x14ac:dyDescent="0.2">
      <c r="A18" s="92"/>
      <c r="B18" s="92"/>
      <c r="C18" s="92"/>
      <c r="D18" s="92"/>
      <c r="E18" s="92"/>
      <c r="F18" s="94"/>
      <c r="G18" s="92"/>
      <c r="H18" s="92"/>
      <c r="I18" s="93">
        <v>0.10655737704918034</v>
      </c>
    </row>
    <row r="19" spans="1:16" x14ac:dyDescent="0.2">
      <c r="A19" s="27" t="s">
        <v>90</v>
      </c>
      <c r="C19" s="92"/>
      <c r="D19" s="92"/>
      <c r="E19" s="92"/>
      <c r="F19" s="94"/>
      <c r="G19" s="92"/>
      <c r="H19" s="92"/>
    </row>
    <row r="20" spans="1:16" x14ac:dyDescent="0.2">
      <c r="C20" s="99" t="s">
        <v>52</v>
      </c>
      <c r="D20" s="99" t="s">
        <v>86</v>
      </c>
      <c r="E20" s="92"/>
      <c r="F20" s="94"/>
      <c r="G20" s="92"/>
      <c r="H20" s="92"/>
    </row>
    <row r="21" spans="1:16" x14ac:dyDescent="0.2">
      <c r="A21" t="s">
        <v>91</v>
      </c>
      <c r="B21" s="100"/>
      <c r="C21" s="101">
        <v>350000</v>
      </c>
      <c r="D21" s="102">
        <v>390</v>
      </c>
      <c r="E21" s="93">
        <v>0.16666666666666674</v>
      </c>
      <c r="F21" s="102" t="s">
        <v>92</v>
      </c>
      <c r="G21" s="100"/>
      <c r="H21" s="100"/>
      <c r="I21" s="102"/>
    </row>
    <row r="22" spans="1:16" x14ac:dyDescent="0.2">
      <c r="A22" t="s">
        <v>93</v>
      </c>
      <c r="B22" s="100"/>
      <c r="C22" s="101">
        <v>500000</v>
      </c>
      <c r="D22" s="102">
        <v>550</v>
      </c>
      <c r="E22" s="93">
        <v>0.11111111111111116</v>
      </c>
      <c r="F22" s="102" t="s">
        <v>94</v>
      </c>
      <c r="G22" s="100"/>
      <c r="H22" s="100"/>
      <c r="I22" s="102"/>
    </row>
    <row r="23" spans="1:16" x14ac:dyDescent="0.2">
      <c r="A23" s="103"/>
      <c r="B23" s="103"/>
      <c r="C23" s="103"/>
      <c r="D23" s="103"/>
      <c r="E23" s="103"/>
      <c r="F23" s="104"/>
      <c r="G23" s="103"/>
      <c r="H23" s="103"/>
      <c r="I23" s="104"/>
    </row>
    <row r="24" spans="1:16" x14ac:dyDescent="0.2">
      <c r="A24" s="102" t="s">
        <v>95</v>
      </c>
      <c r="B24" s="100"/>
      <c r="C24" s="103"/>
      <c r="D24" s="103"/>
      <c r="E24" s="103"/>
      <c r="F24" s="104"/>
      <c r="G24" s="103"/>
      <c r="H24" s="103"/>
      <c r="I24" s="104"/>
    </row>
    <row r="25" spans="1:16" x14ac:dyDescent="0.2">
      <c r="A25" s="102" t="s">
        <v>96</v>
      </c>
      <c r="B25" s="100"/>
      <c r="C25" s="103"/>
      <c r="D25" s="103"/>
      <c r="E25" s="103"/>
      <c r="F25" s="104"/>
      <c r="G25" s="103"/>
      <c r="H25" s="103"/>
      <c r="I25" s="104"/>
    </row>
    <row r="26" spans="1:16" x14ac:dyDescent="0.2">
      <c r="A26" s="103"/>
      <c r="B26" s="103"/>
      <c r="C26" s="103"/>
      <c r="D26" s="103"/>
      <c r="E26" s="103"/>
      <c r="F26" s="104"/>
      <c r="G26" s="103"/>
      <c r="H26" s="103"/>
      <c r="I26" s="104"/>
    </row>
    <row r="27" spans="1:16" x14ac:dyDescent="0.2">
      <c r="A27" s="102" t="s">
        <v>97</v>
      </c>
      <c r="B27" s="102" t="s">
        <v>98</v>
      </c>
      <c r="C27" s="103"/>
      <c r="D27" s="103"/>
      <c r="E27" s="103"/>
      <c r="F27" s="104"/>
      <c r="G27" s="103"/>
      <c r="H27" s="103"/>
      <c r="I27" s="104"/>
    </row>
    <row r="28" spans="1:16" x14ac:dyDescent="0.2">
      <c r="A28" s="103"/>
      <c r="B28" s="103"/>
      <c r="C28" s="103"/>
      <c r="D28" s="103"/>
      <c r="E28" s="103"/>
      <c r="F28" s="104"/>
      <c r="G28" s="103"/>
      <c r="H28" s="103"/>
      <c r="I28" s="104"/>
    </row>
    <row r="29" spans="1:16" x14ac:dyDescent="0.2">
      <c r="C29" s="103"/>
      <c r="D29" s="103"/>
      <c r="E29" s="103"/>
      <c r="F29" s="104"/>
      <c r="G29" s="103"/>
      <c r="H29" s="103"/>
      <c r="I29" s="104"/>
    </row>
    <row r="30" spans="1:16" x14ac:dyDescent="0.2">
      <c r="C30" s="103"/>
      <c r="D30" s="103"/>
      <c r="E30" s="103"/>
      <c r="F30" s="104"/>
      <c r="G30" s="103"/>
      <c r="H30" s="103"/>
      <c r="I30" s="104"/>
    </row>
    <row r="40" customFormat="1" x14ac:dyDescent="0.2"/>
    <row r="41" customFormat="1" x14ac:dyDescent="0.2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B527-E72B-4C6C-934F-66A65A6A46D2}">
  <sheetPr codeName="Hoja8">
    <tabColor theme="1"/>
  </sheetPr>
  <dimension ref="A1:P501"/>
  <sheetViews>
    <sheetView topLeftCell="A2" workbookViewId="0">
      <selection activeCell="P3" sqref="P3"/>
    </sheetView>
  </sheetViews>
  <sheetFormatPr baseColWidth="10" defaultRowHeight="15" x14ac:dyDescent="0.2"/>
  <cols>
    <col min="2" max="2" width="10.83203125" style="3"/>
    <col min="5" max="5" width="10.83203125" style="3"/>
    <col min="8" max="8" width="14.5" bestFit="1" customWidth="1"/>
    <col min="10" max="10" width="12.83203125" bestFit="1" customWidth="1"/>
  </cols>
  <sheetData>
    <row r="1" spans="1:16" s="151" customFormat="1" ht="32" x14ac:dyDescent="0.2">
      <c r="A1" s="151" t="s">
        <v>135</v>
      </c>
      <c r="B1" s="152" t="s">
        <v>174</v>
      </c>
      <c r="C1" s="151" t="s">
        <v>137</v>
      </c>
      <c r="D1" s="151" t="s">
        <v>138</v>
      </c>
      <c r="E1" s="151" t="s">
        <v>145</v>
      </c>
      <c r="F1" s="151" t="s">
        <v>177</v>
      </c>
      <c r="G1" s="151" t="s">
        <v>182</v>
      </c>
      <c r="H1" s="151" t="s">
        <v>294</v>
      </c>
      <c r="I1" s="151" t="s">
        <v>190</v>
      </c>
      <c r="J1" s="151" t="s">
        <v>295</v>
      </c>
      <c r="K1" s="151" t="s">
        <v>299</v>
      </c>
      <c r="L1" s="151" t="s">
        <v>379</v>
      </c>
      <c r="M1" s="151" t="s">
        <v>376</v>
      </c>
      <c r="N1" s="151" t="s">
        <v>380</v>
      </c>
      <c r="O1" s="151" t="s">
        <v>373</v>
      </c>
      <c r="P1" s="151" t="s">
        <v>389</v>
      </c>
    </row>
    <row r="2" spans="1:16" x14ac:dyDescent="0.2">
      <c r="A2" t="s">
        <v>215</v>
      </c>
      <c r="B2" s="3">
        <v>1</v>
      </c>
      <c r="C2" t="s">
        <v>217</v>
      </c>
      <c r="D2" t="s">
        <v>219</v>
      </c>
      <c r="E2" s="3">
        <v>1</v>
      </c>
      <c r="F2" t="s">
        <v>222</v>
      </c>
      <c r="G2" t="s">
        <v>224</v>
      </c>
      <c r="I2" s="242">
        <v>0.01</v>
      </c>
      <c r="J2" t="s">
        <v>296</v>
      </c>
      <c r="K2" s="243" t="str" cm="1">
        <f t="array" ref="K2:K8">_xlfn.LET(_xlpm.l, _xlfn.UNIQUE(_xlfn._xlws.FILTER(BBDD!$B$1:$B$237, BBDD!$B$1:$B$237&lt;&gt;"")),_xlfn.SORTBY(_xlpm.l, VALUE(SUBSTITUTE(_xlpm.l, "Grupo ", "")), 1))</f>
        <v>Grupo 1</v>
      </c>
      <c r="L2" t="str" cm="1">
        <f t="array" ref="L2:L8">_xlfn._xlws.SORT(_xlfn.UNIQUE(_xlfn._xlws.FILTER(BBDD!$B$1:$B$237,BBDD!$B$1:$B$237&lt;&gt;"")))</f>
        <v>Grupo</v>
      </c>
      <c r="M2" t="s">
        <v>330</v>
      </c>
      <c r="N2" t="s">
        <v>321</v>
      </c>
      <c r="O2" t="s">
        <v>319</v>
      </c>
      <c r="P2" s="252">
        <v>0.5</v>
      </c>
    </row>
    <row r="3" spans="1:16" x14ac:dyDescent="0.2">
      <c r="A3" t="s">
        <v>216</v>
      </c>
      <c r="B3" s="3">
        <v>2</v>
      </c>
      <c r="C3" t="s">
        <v>218</v>
      </c>
      <c r="D3" t="s">
        <v>220</v>
      </c>
      <c r="E3" s="3">
        <v>2</v>
      </c>
      <c r="F3" t="s">
        <v>223</v>
      </c>
      <c r="G3" t="s">
        <v>225</v>
      </c>
      <c r="H3" t="s">
        <v>318</v>
      </c>
      <c r="I3" s="242">
        <f>+I2+1%</f>
        <v>0.02</v>
      </c>
      <c r="J3" t="s">
        <v>297</v>
      </c>
      <c r="K3" s="244" t="str">
        <v>Grupo 2</v>
      </c>
      <c r="L3" t="str">
        <v>Grupo 1</v>
      </c>
      <c r="M3" t="s">
        <v>375</v>
      </c>
      <c r="N3" t="s">
        <v>86</v>
      </c>
      <c r="O3" t="s">
        <v>377</v>
      </c>
    </row>
    <row r="4" spans="1:16" x14ac:dyDescent="0.2">
      <c r="B4" s="3">
        <v>3</v>
      </c>
      <c r="D4" t="s">
        <v>221</v>
      </c>
      <c r="E4" s="3">
        <v>3</v>
      </c>
      <c r="H4" t="s">
        <v>309</v>
      </c>
      <c r="I4" s="242">
        <f t="shared" ref="I4:I67" si="0">+I3+1%</f>
        <v>0.03</v>
      </c>
      <c r="J4" t="s">
        <v>298</v>
      </c>
      <c r="K4" t="str">
        <v>Grupo 3</v>
      </c>
      <c r="L4" t="str">
        <v>Grupo 2</v>
      </c>
    </row>
    <row r="5" spans="1:16" x14ac:dyDescent="0.2">
      <c r="B5" s="3">
        <v>4</v>
      </c>
      <c r="E5" s="3">
        <v>4</v>
      </c>
      <c r="H5" t="s">
        <v>310</v>
      </c>
      <c r="I5" s="242">
        <f t="shared" si="0"/>
        <v>0.04</v>
      </c>
      <c r="K5" t="str">
        <v>Grupo 4</v>
      </c>
      <c r="L5" t="str">
        <v>Grupo 3</v>
      </c>
    </row>
    <row r="6" spans="1:16" x14ac:dyDescent="0.2">
      <c r="B6" s="3">
        <v>5</v>
      </c>
      <c r="E6" s="3">
        <v>5</v>
      </c>
      <c r="I6" s="242">
        <f t="shared" si="0"/>
        <v>0.05</v>
      </c>
      <c r="K6" t="str">
        <v>Grupo 5</v>
      </c>
      <c r="L6" t="str">
        <v>Grupo 4</v>
      </c>
    </row>
    <row r="7" spans="1:16" x14ac:dyDescent="0.2">
      <c r="B7" s="3">
        <v>6</v>
      </c>
      <c r="E7" s="3">
        <v>6</v>
      </c>
      <c r="I7" s="242">
        <f t="shared" si="0"/>
        <v>6.0000000000000005E-2</v>
      </c>
      <c r="K7" t="str">
        <v>Grupo 6</v>
      </c>
      <c r="L7" t="str">
        <v>Grupo 5</v>
      </c>
    </row>
    <row r="8" spans="1:16" x14ac:dyDescent="0.2">
      <c r="B8" s="3">
        <v>7</v>
      </c>
      <c r="E8" s="3">
        <v>7</v>
      </c>
      <c r="I8" s="242">
        <f t="shared" si="0"/>
        <v>7.0000000000000007E-2</v>
      </c>
      <c r="K8" t="str">
        <v>Grupo</v>
      </c>
      <c r="L8" t="str">
        <v>Grupo 6</v>
      </c>
    </row>
    <row r="9" spans="1:16" x14ac:dyDescent="0.2">
      <c r="B9" s="3">
        <v>8</v>
      </c>
      <c r="E9" s="3">
        <v>8</v>
      </c>
      <c r="I9" s="242">
        <f t="shared" si="0"/>
        <v>0.08</v>
      </c>
    </row>
    <row r="10" spans="1:16" x14ac:dyDescent="0.2">
      <c r="B10" s="3">
        <v>9</v>
      </c>
      <c r="E10" s="3">
        <v>9</v>
      </c>
      <c r="I10" s="242">
        <f t="shared" si="0"/>
        <v>0.09</v>
      </c>
    </row>
    <row r="11" spans="1:16" x14ac:dyDescent="0.2">
      <c r="B11" s="3">
        <v>10</v>
      </c>
      <c r="E11" s="3">
        <v>10</v>
      </c>
      <c r="I11" s="242">
        <f t="shared" si="0"/>
        <v>9.9999999999999992E-2</v>
      </c>
    </row>
    <row r="12" spans="1:16" x14ac:dyDescent="0.2">
      <c r="B12" s="3">
        <v>11</v>
      </c>
      <c r="E12" s="3">
        <v>11</v>
      </c>
      <c r="I12" s="242">
        <f t="shared" si="0"/>
        <v>0.10999999999999999</v>
      </c>
    </row>
    <row r="13" spans="1:16" x14ac:dyDescent="0.2">
      <c r="B13" s="3">
        <v>12</v>
      </c>
      <c r="E13" s="3">
        <v>12</v>
      </c>
      <c r="I13" s="242">
        <f t="shared" si="0"/>
        <v>0.11999999999999998</v>
      </c>
    </row>
    <row r="14" spans="1:16" x14ac:dyDescent="0.2">
      <c r="B14" s="3">
        <v>13</v>
      </c>
      <c r="E14" s="3">
        <v>13</v>
      </c>
      <c r="I14" s="242">
        <f t="shared" si="0"/>
        <v>0.12999999999999998</v>
      </c>
    </row>
    <row r="15" spans="1:16" x14ac:dyDescent="0.2">
      <c r="B15" s="3">
        <v>14</v>
      </c>
      <c r="E15" s="3">
        <v>14</v>
      </c>
      <c r="I15" s="242">
        <f t="shared" si="0"/>
        <v>0.13999999999999999</v>
      </c>
    </row>
    <row r="16" spans="1:16" x14ac:dyDescent="0.2">
      <c r="B16" s="3">
        <v>15</v>
      </c>
      <c r="E16" s="3">
        <v>15</v>
      </c>
      <c r="I16" s="242">
        <f t="shared" si="0"/>
        <v>0.15</v>
      </c>
    </row>
    <row r="17" spans="2:9" x14ac:dyDescent="0.2">
      <c r="B17" s="3">
        <v>16</v>
      </c>
      <c r="E17" s="3">
        <v>16</v>
      </c>
      <c r="I17" s="242">
        <f t="shared" si="0"/>
        <v>0.16</v>
      </c>
    </row>
    <row r="18" spans="2:9" x14ac:dyDescent="0.2">
      <c r="B18" s="3">
        <v>17</v>
      </c>
      <c r="E18" s="3">
        <v>17</v>
      </c>
      <c r="I18" s="242">
        <f t="shared" si="0"/>
        <v>0.17</v>
      </c>
    </row>
    <row r="19" spans="2:9" x14ac:dyDescent="0.2">
      <c r="B19" s="3">
        <v>18</v>
      </c>
      <c r="E19" s="3">
        <v>18</v>
      </c>
      <c r="I19" s="242">
        <f t="shared" si="0"/>
        <v>0.18000000000000002</v>
      </c>
    </row>
    <row r="20" spans="2:9" x14ac:dyDescent="0.2">
      <c r="B20" s="3">
        <v>19</v>
      </c>
      <c r="E20" s="3">
        <v>19</v>
      </c>
      <c r="I20" s="242">
        <f t="shared" si="0"/>
        <v>0.19000000000000003</v>
      </c>
    </row>
    <row r="21" spans="2:9" x14ac:dyDescent="0.2">
      <c r="B21" s="3">
        <v>20</v>
      </c>
      <c r="E21" s="3">
        <v>20</v>
      </c>
      <c r="I21" s="242">
        <f t="shared" si="0"/>
        <v>0.20000000000000004</v>
      </c>
    </row>
    <row r="22" spans="2:9" x14ac:dyDescent="0.2">
      <c r="E22" s="3">
        <v>21</v>
      </c>
      <c r="I22" s="242">
        <f t="shared" si="0"/>
        <v>0.21000000000000005</v>
      </c>
    </row>
    <row r="23" spans="2:9" x14ac:dyDescent="0.2">
      <c r="E23" s="3">
        <v>22</v>
      </c>
      <c r="I23" s="242">
        <f t="shared" si="0"/>
        <v>0.22000000000000006</v>
      </c>
    </row>
    <row r="24" spans="2:9" x14ac:dyDescent="0.2">
      <c r="E24" s="3">
        <v>23</v>
      </c>
      <c r="I24" s="242">
        <f t="shared" si="0"/>
        <v>0.23000000000000007</v>
      </c>
    </row>
    <row r="25" spans="2:9" x14ac:dyDescent="0.2">
      <c r="E25" s="3">
        <v>24</v>
      </c>
      <c r="I25" s="242">
        <f t="shared" si="0"/>
        <v>0.24000000000000007</v>
      </c>
    </row>
    <row r="26" spans="2:9" x14ac:dyDescent="0.2">
      <c r="E26" s="3">
        <v>25</v>
      </c>
      <c r="I26" s="242">
        <f t="shared" si="0"/>
        <v>0.25000000000000006</v>
      </c>
    </row>
    <row r="27" spans="2:9" x14ac:dyDescent="0.2">
      <c r="E27" s="3">
        <v>26</v>
      </c>
      <c r="I27" s="242">
        <f t="shared" si="0"/>
        <v>0.26000000000000006</v>
      </c>
    </row>
    <row r="28" spans="2:9" x14ac:dyDescent="0.2">
      <c r="E28" s="3">
        <v>27</v>
      </c>
      <c r="I28" s="242">
        <f t="shared" si="0"/>
        <v>0.27000000000000007</v>
      </c>
    </row>
    <row r="29" spans="2:9" x14ac:dyDescent="0.2">
      <c r="E29" s="3">
        <v>28</v>
      </c>
      <c r="I29" s="242">
        <f t="shared" si="0"/>
        <v>0.28000000000000008</v>
      </c>
    </row>
    <row r="30" spans="2:9" x14ac:dyDescent="0.2">
      <c r="E30" s="3">
        <v>29</v>
      </c>
      <c r="I30" s="242">
        <f t="shared" si="0"/>
        <v>0.29000000000000009</v>
      </c>
    </row>
    <row r="31" spans="2:9" x14ac:dyDescent="0.2">
      <c r="E31" s="3">
        <v>30</v>
      </c>
      <c r="I31" s="242">
        <f t="shared" si="0"/>
        <v>0.3000000000000001</v>
      </c>
    </row>
    <row r="32" spans="2:9" x14ac:dyDescent="0.2">
      <c r="E32" s="3">
        <v>31</v>
      </c>
      <c r="I32" s="242">
        <f t="shared" si="0"/>
        <v>0.31000000000000011</v>
      </c>
    </row>
    <row r="33" spans="5:9" x14ac:dyDescent="0.2">
      <c r="E33" s="3">
        <v>32</v>
      </c>
      <c r="I33" s="242">
        <f t="shared" si="0"/>
        <v>0.32000000000000012</v>
      </c>
    </row>
    <row r="34" spans="5:9" x14ac:dyDescent="0.2">
      <c r="E34" s="3">
        <v>33</v>
      </c>
      <c r="I34" s="242">
        <f t="shared" si="0"/>
        <v>0.33000000000000013</v>
      </c>
    </row>
    <row r="35" spans="5:9" x14ac:dyDescent="0.2">
      <c r="E35" s="3">
        <v>34</v>
      </c>
      <c r="I35" s="242">
        <f t="shared" si="0"/>
        <v>0.34000000000000014</v>
      </c>
    </row>
    <row r="36" spans="5:9" x14ac:dyDescent="0.2">
      <c r="E36" s="3">
        <v>35</v>
      </c>
      <c r="I36" s="242">
        <f t="shared" si="0"/>
        <v>0.35000000000000014</v>
      </c>
    </row>
    <row r="37" spans="5:9" x14ac:dyDescent="0.2">
      <c r="E37" s="3">
        <v>36</v>
      </c>
      <c r="I37" s="242">
        <f t="shared" si="0"/>
        <v>0.36000000000000015</v>
      </c>
    </row>
    <row r="38" spans="5:9" x14ac:dyDescent="0.2">
      <c r="E38" s="3">
        <v>37</v>
      </c>
      <c r="I38" s="242">
        <f t="shared" si="0"/>
        <v>0.37000000000000016</v>
      </c>
    </row>
    <row r="39" spans="5:9" x14ac:dyDescent="0.2">
      <c r="E39" s="3">
        <v>38</v>
      </c>
      <c r="I39" s="242">
        <f t="shared" si="0"/>
        <v>0.38000000000000017</v>
      </c>
    </row>
    <row r="40" spans="5:9" x14ac:dyDescent="0.2">
      <c r="E40" s="3">
        <v>39</v>
      </c>
      <c r="I40" s="242">
        <f t="shared" si="0"/>
        <v>0.39000000000000018</v>
      </c>
    </row>
    <row r="41" spans="5:9" x14ac:dyDescent="0.2">
      <c r="E41" s="3">
        <v>40</v>
      </c>
      <c r="I41" s="242">
        <f t="shared" si="0"/>
        <v>0.40000000000000019</v>
      </c>
    </row>
    <row r="42" spans="5:9" x14ac:dyDescent="0.2">
      <c r="E42" s="3">
        <v>41</v>
      </c>
      <c r="I42" s="242">
        <f t="shared" si="0"/>
        <v>0.4100000000000002</v>
      </c>
    </row>
    <row r="43" spans="5:9" x14ac:dyDescent="0.2">
      <c r="E43" s="3">
        <v>42</v>
      </c>
      <c r="I43" s="242">
        <f t="shared" si="0"/>
        <v>0.42000000000000021</v>
      </c>
    </row>
    <row r="44" spans="5:9" x14ac:dyDescent="0.2">
      <c r="E44" s="3">
        <v>43</v>
      </c>
      <c r="I44" s="242">
        <f t="shared" si="0"/>
        <v>0.43000000000000022</v>
      </c>
    </row>
    <row r="45" spans="5:9" x14ac:dyDescent="0.2">
      <c r="E45" s="3">
        <v>44</v>
      </c>
      <c r="I45" s="242">
        <f t="shared" si="0"/>
        <v>0.44000000000000022</v>
      </c>
    </row>
    <row r="46" spans="5:9" x14ac:dyDescent="0.2">
      <c r="E46" s="3">
        <v>45</v>
      </c>
      <c r="I46" s="242">
        <f t="shared" si="0"/>
        <v>0.45000000000000023</v>
      </c>
    </row>
    <row r="47" spans="5:9" x14ac:dyDescent="0.2">
      <c r="E47" s="3">
        <v>46</v>
      </c>
      <c r="I47" s="242">
        <f t="shared" si="0"/>
        <v>0.46000000000000024</v>
      </c>
    </row>
    <row r="48" spans="5:9" x14ac:dyDescent="0.2">
      <c r="E48" s="3">
        <v>47</v>
      </c>
      <c r="I48" s="242">
        <f t="shared" si="0"/>
        <v>0.47000000000000025</v>
      </c>
    </row>
    <row r="49" spans="5:9" x14ac:dyDescent="0.2">
      <c r="E49" s="3">
        <v>48</v>
      </c>
      <c r="I49" s="242">
        <f t="shared" si="0"/>
        <v>0.48000000000000026</v>
      </c>
    </row>
    <row r="50" spans="5:9" x14ac:dyDescent="0.2">
      <c r="E50" s="3">
        <v>49</v>
      </c>
      <c r="I50" s="242">
        <f t="shared" si="0"/>
        <v>0.49000000000000027</v>
      </c>
    </row>
    <row r="51" spans="5:9" x14ac:dyDescent="0.2">
      <c r="E51" s="3">
        <v>50</v>
      </c>
      <c r="I51" s="242">
        <f t="shared" si="0"/>
        <v>0.50000000000000022</v>
      </c>
    </row>
    <row r="52" spans="5:9" x14ac:dyDescent="0.2">
      <c r="E52" s="3">
        <v>51</v>
      </c>
      <c r="I52" s="242">
        <f t="shared" si="0"/>
        <v>0.51000000000000023</v>
      </c>
    </row>
    <row r="53" spans="5:9" x14ac:dyDescent="0.2">
      <c r="E53" s="3">
        <v>52</v>
      </c>
      <c r="I53" s="242">
        <f t="shared" si="0"/>
        <v>0.52000000000000024</v>
      </c>
    </row>
    <row r="54" spans="5:9" x14ac:dyDescent="0.2">
      <c r="E54" s="3">
        <v>53</v>
      </c>
      <c r="I54" s="242">
        <f t="shared" si="0"/>
        <v>0.53000000000000025</v>
      </c>
    </row>
    <row r="55" spans="5:9" x14ac:dyDescent="0.2">
      <c r="E55" s="3">
        <v>54</v>
      </c>
      <c r="I55" s="242">
        <f t="shared" si="0"/>
        <v>0.54000000000000026</v>
      </c>
    </row>
    <row r="56" spans="5:9" x14ac:dyDescent="0.2">
      <c r="E56" s="3">
        <v>55</v>
      </c>
      <c r="I56" s="242">
        <f t="shared" si="0"/>
        <v>0.55000000000000027</v>
      </c>
    </row>
    <row r="57" spans="5:9" x14ac:dyDescent="0.2">
      <c r="E57" s="3">
        <v>56</v>
      </c>
      <c r="I57" s="242">
        <f t="shared" si="0"/>
        <v>0.56000000000000028</v>
      </c>
    </row>
    <row r="58" spans="5:9" x14ac:dyDescent="0.2">
      <c r="E58" s="3">
        <v>57</v>
      </c>
      <c r="I58" s="242">
        <f t="shared" si="0"/>
        <v>0.57000000000000028</v>
      </c>
    </row>
    <row r="59" spans="5:9" x14ac:dyDescent="0.2">
      <c r="E59" s="3">
        <v>58</v>
      </c>
      <c r="I59" s="242">
        <f t="shared" si="0"/>
        <v>0.58000000000000029</v>
      </c>
    </row>
    <row r="60" spans="5:9" x14ac:dyDescent="0.2">
      <c r="E60" s="3">
        <v>59</v>
      </c>
      <c r="I60" s="242">
        <f t="shared" si="0"/>
        <v>0.5900000000000003</v>
      </c>
    </row>
    <row r="61" spans="5:9" x14ac:dyDescent="0.2">
      <c r="E61" s="3">
        <v>60</v>
      </c>
      <c r="I61" s="242">
        <f t="shared" si="0"/>
        <v>0.60000000000000031</v>
      </c>
    </row>
    <row r="62" spans="5:9" x14ac:dyDescent="0.2">
      <c r="E62" s="3">
        <v>61</v>
      </c>
      <c r="I62" s="242">
        <f t="shared" si="0"/>
        <v>0.61000000000000032</v>
      </c>
    </row>
    <row r="63" spans="5:9" x14ac:dyDescent="0.2">
      <c r="E63" s="3">
        <v>62</v>
      </c>
      <c r="I63" s="242">
        <f t="shared" si="0"/>
        <v>0.62000000000000033</v>
      </c>
    </row>
    <row r="64" spans="5:9" x14ac:dyDescent="0.2">
      <c r="E64" s="3">
        <v>63</v>
      </c>
      <c r="I64" s="242">
        <f t="shared" si="0"/>
        <v>0.63000000000000034</v>
      </c>
    </row>
    <row r="65" spans="5:9" x14ac:dyDescent="0.2">
      <c r="E65" s="3">
        <v>64</v>
      </c>
      <c r="I65" s="242">
        <f t="shared" si="0"/>
        <v>0.64000000000000035</v>
      </c>
    </row>
    <row r="66" spans="5:9" x14ac:dyDescent="0.2">
      <c r="E66" s="3">
        <v>65</v>
      </c>
      <c r="I66" s="242">
        <f t="shared" si="0"/>
        <v>0.65000000000000036</v>
      </c>
    </row>
    <row r="67" spans="5:9" x14ac:dyDescent="0.2">
      <c r="E67" s="3">
        <v>66</v>
      </c>
      <c r="I67" s="242">
        <f t="shared" si="0"/>
        <v>0.66000000000000036</v>
      </c>
    </row>
    <row r="68" spans="5:9" x14ac:dyDescent="0.2">
      <c r="E68" s="3">
        <v>67</v>
      </c>
      <c r="I68" s="242">
        <f t="shared" ref="I68:I101" si="1">+I67+1%</f>
        <v>0.67000000000000037</v>
      </c>
    </row>
    <row r="69" spans="5:9" x14ac:dyDescent="0.2">
      <c r="E69" s="3">
        <v>68</v>
      </c>
      <c r="I69" s="242">
        <f t="shared" si="1"/>
        <v>0.68000000000000038</v>
      </c>
    </row>
    <row r="70" spans="5:9" x14ac:dyDescent="0.2">
      <c r="E70" s="3">
        <v>69</v>
      </c>
      <c r="I70" s="242">
        <f t="shared" si="1"/>
        <v>0.69000000000000039</v>
      </c>
    </row>
    <row r="71" spans="5:9" x14ac:dyDescent="0.2">
      <c r="E71" s="3">
        <v>70</v>
      </c>
      <c r="I71" s="242">
        <f t="shared" si="1"/>
        <v>0.7000000000000004</v>
      </c>
    </row>
    <row r="72" spans="5:9" x14ac:dyDescent="0.2">
      <c r="E72" s="3">
        <v>71</v>
      </c>
      <c r="I72" s="242">
        <f t="shared" si="1"/>
        <v>0.71000000000000041</v>
      </c>
    </row>
    <row r="73" spans="5:9" x14ac:dyDescent="0.2">
      <c r="E73" s="3">
        <v>72</v>
      </c>
      <c r="I73" s="242">
        <f t="shared" si="1"/>
        <v>0.72000000000000042</v>
      </c>
    </row>
    <row r="74" spans="5:9" x14ac:dyDescent="0.2">
      <c r="E74" s="3">
        <v>73</v>
      </c>
      <c r="I74" s="242">
        <f t="shared" si="1"/>
        <v>0.73000000000000043</v>
      </c>
    </row>
    <row r="75" spans="5:9" x14ac:dyDescent="0.2">
      <c r="E75" s="3">
        <v>74</v>
      </c>
      <c r="I75" s="242">
        <f t="shared" si="1"/>
        <v>0.74000000000000044</v>
      </c>
    </row>
    <row r="76" spans="5:9" x14ac:dyDescent="0.2">
      <c r="E76" s="3">
        <v>75</v>
      </c>
      <c r="I76" s="242">
        <f t="shared" si="1"/>
        <v>0.75000000000000044</v>
      </c>
    </row>
    <row r="77" spans="5:9" x14ac:dyDescent="0.2">
      <c r="E77" s="3">
        <v>76</v>
      </c>
      <c r="I77" s="242">
        <f t="shared" si="1"/>
        <v>0.76000000000000045</v>
      </c>
    </row>
    <row r="78" spans="5:9" x14ac:dyDescent="0.2">
      <c r="E78" s="3">
        <v>77</v>
      </c>
      <c r="I78" s="242">
        <f t="shared" si="1"/>
        <v>0.77000000000000046</v>
      </c>
    </row>
    <row r="79" spans="5:9" x14ac:dyDescent="0.2">
      <c r="E79" s="3">
        <v>78</v>
      </c>
      <c r="I79" s="242">
        <f t="shared" si="1"/>
        <v>0.78000000000000047</v>
      </c>
    </row>
    <row r="80" spans="5:9" x14ac:dyDescent="0.2">
      <c r="E80" s="3">
        <v>79</v>
      </c>
      <c r="I80" s="242">
        <f t="shared" si="1"/>
        <v>0.79000000000000048</v>
      </c>
    </row>
    <row r="81" spans="5:9" x14ac:dyDescent="0.2">
      <c r="E81" s="3">
        <v>80</v>
      </c>
      <c r="I81" s="242">
        <f t="shared" si="1"/>
        <v>0.80000000000000049</v>
      </c>
    </row>
    <row r="82" spans="5:9" x14ac:dyDescent="0.2">
      <c r="E82" s="3">
        <v>81</v>
      </c>
      <c r="I82" s="242">
        <f t="shared" si="1"/>
        <v>0.8100000000000005</v>
      </c>
    </row>
    <row r="83" spans="5:9" x14ac:dyDescent="0.2">
      <c r="E83" s="3">
        <v>82</v>
      </c>
      <c r="I83" s="242">
        <f t="shared" si="1"/>
        <v>0.82000000000000051</v>
      </c>
    </row>
    <row r="84" spans="5:9" x14ac:dyDescent="0.2">
      <c r="E84" s="3">
        <v>83</v>
      </c>
      <c r="I84" s="242">
        <f t="shared" si="1"/>
        <v>0.83000000000000052</v>
      </c>
    </row>
    <row r="85" spans="5:9" x14ac:dyDescent="0.2">
      <c r="E85" s="3">
        <v>84</v>
      </c>
      <c r="I85" s="242">
        <f t="shared" si="1"/>
        <v>0.84000000000000052</v>
      </c>
    </row>
    <row r="86" spans="5:9" x14ac:dyDescent="0.2">
      <c r="E86" s="3">
        <v>85</v>
      </c>
      <c r="I86" s="242">
        <f t="shared" si="1"/>
        <v>0.85000000000000053</v>
      </c>
    </row>
    <row r="87" spans="5:9" x14ac:dyDescent="0.2">
      <c r="E87" s="3">
        <v>86</v>
      </c>
      <c r="I87" s="242">
        <f t="shared" si="1"/>
        <v>0.86000000000000054</v>
      </c>
    </row>
    <row r="88" spans="5:9" x14ac:dyDescent="0.2">
      <c r="E88" s="3">
        <v>87</v>
      </c>
      <c r="I88" s="242">
        <f t="shared" si="1"/>
        <v>0.87000000000000055</v>
      </c>
    </row>
    <row r="89" spans="5:9" x14ac:dyDescent="0.2">
      <c r="E89" s="3">
        <v>88</v>
      </c>
      <c r="I89" s="242">
        <f t="shared" si="1"/>
        <v>0.88000000000000056</v>
      </c>
    </row>
    <row r="90" spans="5:9" x14ac:dyDescent="0.2">
      <c r="E90" s="3">
        <v>89</v>
      </c>
      <c r="I90" s="242">
        <f t="shared" si="1"/>
        <v>0.89000000000000057</v>
      </c>
    </row>
    <row r="91" spans="5:9" x14ac:dyDescent="0.2">
      <c r="E91" s="3">
        <v>90</v>
      </c>
      <c r="I91" s="242">
        <f t="shared" si="1"/>
        <v>0.90000000000000058</v>
      </c>
    </row>
    <row r="92" spans="5:9" x14ac:dyDescent="0.2">
      <c r="E92" s="3">
        <v>91</v>
      </c>
      <c r="I92" s="242">
        <f t="shared" si="1"/>
        <v>0.91000000000000059</v>
      </c>
    </row>
    <row r="93" spans="5:9" x14ac:dyDescent="0.2">
      <c r="E93" s="3">
        <v>92</v>
      </c>
      <c r="I93" s="242">
        <f t="shared" si="1"/>
        <v>0.9200000000000006</v>
      </c>
    </row>
    <row r="94" spans="5:9" x14ac:dyDescent="0.2">
      <c r="E94" s="3">
        <v>93</v>
      </c>
      <c r="I94" s="242">
        <f t="shared" si="1"/>
        <v>0.9300000000000006</v>
      </c>
    </row>
    <row r="95" spans="5:9" x14ac:dyDescent="0.2">
      <c r="E95" s="3">
        <v>94</v>
      </c>
      <c r="I95" s="242">
        <f t="shared" si="1"/>
        <v>0.94000000000000061</v>
      </c>
    </row>
    <row r="96" spans="5:9" x14ac:dyDescent="0.2">
      <c r="E96" s="3">
        <v>95</v>
      </c>
      <c r="I96" s="242">
        <f t="shared" si="1"/>
        <v>0.95000000000000062</v>
      </c>
    </row>
    <row r="97" spans="5:9" x14ac:dyDescent="0.2">
      <c r="E97" s="3">
        <v>96</v>
      </c>
      <c r="I97" s="242">
        <f t="shared" si="1"/>
        <v>0.96000000000000063</v>
      </c>
    </row>
    <row r="98" spans="5:9" x14ac:dyDescent="0.2">
      <c r="E98" s="3">
        <v>97</v>
      </c>
      <c r="I98" s="242">
        <f t="shared" si="1"/>
        <v>0.97000000000000064</v>
      </c>
    </row>
    <row r="99" spans="5:9" x14ac:dyDescent="0.2">
      <c r="E99" s="3">
        <v>98</v>
      </c>
      <c r="I99" s="242">
        <f t="shared" si="1"/>
        <v>0.98000000000000065</v>
      </c>
    </row>
    <row r="100" spans="5:9" x14ac:dyDescent="0.2">
      <c r="E100" s="3">
        <v>99</v>
      </c>
      <c r="I100" s="242">
        <f t="shared" si="1"/>
        <v>0.99000000000000066</v>
      </c>
    </row>
    <row r="101" spans="5:9" x14ac:dyDescent="0.2">
      <c r="E101" s="3">
        <v>100</v>
      </c>
      <c r="I101" s="242">
        <f t="shared" si="1"/>
        <v>1.0000000000000007</v>
      </c>
    </row>
    <row r="102" spans="5:9" x14ac:dyDescent="0.2">
      <c r="E102" s="3">
        <v>101</v>
      </c>
      <c r="I102" s="242"/>
    </row>
    <row r="103" spans="5:9" x14ac:dyDescent="0.2">
      <c r="E103" s="3">
        <v>102</v>
      </c>
    </row>
    <row r="104" spans="5:9" x14ac:dyDescent="0.2">
      <c r="E104" s="3">
        <v>103</v>
      </c>
    </row>
    <row r="105" spans="5:9" x14ac:dyDescent="0.2">
      <c r="E105" s="3">
        <v>104</v>
      </c>
    </row>
    <row r="106" spans="5:9" x14ac:dyDescent="0.2">
      <c r="E106" s="3">
        <v>105</v>
      </c>
    </row>
    <row r="107" spans="5:9" x14ac:dyDescent="0.2">
      <c r="E107" s="3">
        <v>106</v>
      </c>
    </row>
    <row r="108" spans="5:9" x14ac:dyDescent="0.2">
      <c r="E108" s="3">
        <v>107</v>
      </c>
    </row>
    <row r="109" spans="5:9" x14ac:dyDescent="0.2">
      <c r="E109" s="3">
        <v>108</v>
      </c>
    </row>
    <row r="110" spans="5:9" x14ac:dyDescent="0.2">
      <c r="E110" s="3">
        <v>109</v>
      </c>
    </row>
    <row r="111" spans="5:9" x14ac:dyDescent="0.2">
      <c r="E111" s="3">
        <v>110</v>
      </c>
    </row>
    <row r="112" spans="5:9" x14ac:dyDescent="0.2">
      <c r="E112" s="3">
        <v>111</v>
      </c>
    </row>
    <row r="113" spans="5:5" x14ac:dyDescent="0.2">
      <c r="E113" s="3">
        <v>112</v>
      </c>
    </row>
    <row r="114" spans="5:5" x14ac:dyDescent="0.2">
      <c r="E114" s="3">
        <v>113</v>
      </c>
    </row>
    <row r="115" spans="5:5" x14ac:dyDescent="0.2">
      <c r="E115" s="3">
        <v>114</v>
      </c>
    </row>
    <row r="116" spans="5:5" x14ac:dyDescent="0.2">
      <c r="E116" s="3">
        <v>115</v>
      </c>
    </row>
    <row r="117" spans="5:5" x14ac:dyDescent="0.2">
      <c r="E117" s="3">
        <v>116</v>
      </c>
    </row>
    <row r="118" spans="5:5" x14ac:dyDescent="0.2">
      <c r="E118" s="3">
        <v>117</v>
      </c>
    </row>
    <row r="119" spans="5:5" x14ac:dyDescent="0.2">
      <c r="E119" s="3">
        <v>118</v>
      </c>
    </row>
    <row r="120" spans="5:5" x14ac:dyDescent="0.2">
      <c r="E120" s="3">
        <v>119</v>
      </c>
    </row>
    <row r="121" spans="5:5" x14ac:dyDescent="0.2">
      <c r="E121" s="3">
        <v>120</v>
      </c>
    </row>
    <row r="122" spans="5:5" x14ac:dyDescent="0.2">
      <c r="E122" s="3">
        <v>121</v>
      </c>
    </row>
    <row r="123" spans="5:5" x14ac:dyDescent="0.2">
      <c r="E123" s="3">
        <v>122</v>
      </c>
    </row>
    <row r="124" spans="5:5" x14ac:dyDescent="0.2">
      <c r="E124" s="3">
        <v>123</v>
      </c>
    </row>
    <row r="125" spans="5:5" x14ac:dyDescent="0.2">
      <c r="E125" s="3">
        <v>124</v>
      </c>
    </row>
    <row r="126" spans="5:5" x14ac:dyDescent="0.2">
      <c r="E126" s="3">
        <v>125</v>
      </c>
    </row>
    <row r="127" spans="5:5" x14ac:dyDescent="0.2">
      <c r="E127" s="3">
        <v>126</v>
      </c>
    </row>
    <row r="128" spans="5:5" x14ac:dyDescent="0.2">
      <c r="E128" s="3">
        <v>127</v>
      </c>
    </row>
    <row r="129" spans="5:5" x14ac:dyDescent="0.2">
      <c r="E129" s="3">
        <v>128</v>
      </c>
    </row>
    <row r="130" spans="5:5" x14ac:dyDescent="0.2">
      <c r="E130" s="3">
        <v>129</v>
      </c>
    </row>
    <row r="131" spans="5:5" x14ac:dyDescent="0.2">
      <c r="E131" s="3">
        <v>130</v>
      </c>
    </row>
    <row r="132" spans="5:5" x14ac:dyDescent="0.2">
      <c r="E132" s="3">
        <v>131</v>
      </c>
    </row>
    <row r="133" spans="5:5" x14ac:dyDescent="0.2">
      <c r="E133" s="3">
        <v>132</v>
      </c>
    </row>
    <row r="134" spans="5:5" x14ac:dyDescent="0.2">
      <c r="E134" s="3">
        <v>133</v>
      </c>
    </row>
    <row r="135" spans="5:5" x14ac:dyDescent="0.2">
      <c r="E135" s="3">
        <v>134</v>
      </c>
    </row>
    <row r="136" spans="5:5" x14ac:dyDescent="0.2">
      <c r="E136" s="3">
        <v>135</v>
      </c>
    </row>
    <row r="137" spans="5:5" x14ac:dyDescent="0.2">
      <c r="E137" s="3">
        <v>136</v>
      </c>
    </row>
    <row r="138" spans="5:5" x14ac:dyDescent="0.2">
      <c r="E138" s="3">
        <v>137</v>
      </c>
    </row>
    <row r="139" spans="5:5" x14ac:dyDescent="0.2">
      <c r="E139" s="3">
        <v>138</v>
      </c>
    </row>
    <row r="140" spans="5:5" x14ac:dyDescent="0.2">
      <c r="E140" s="3">
        <v>139</v>
      </c>
    </row>
    <row r="141" spans="5:5" x14ac:dyDescent="0.2">
      <c r="E141" s="3">
        <v>140</v>
      </c>
    </row>
    <row r="142" spans="5:5" x14ac:dyDescent="0.2">
      <c r="E142" s="3">
        <v>141</v>
      </c>
    </row>
    <row r="143" spans="5:5" x14ac:dyDescent="0.2">
      <c r="E143" s="3">
        <v>142</v>
      </c>
    </row>
    <row r="144" spans="5:5" x14ac:dyDescent="0.2">
      <c r="E144" s="3">
        <v>143</v>
      </c>
    </row>
    <row r="145" spans="5:5" x14ac:dyDescent="0.2">
      <c r="E145" s="3">
        <v>144</v>
      </c>
    </row>
    <row r="146" spans="5:5" x14ac:dyDescent="0.2">
      <c r="E146" s="3">
        <v>145</v>
      </c>
    </row>
    <row r="147" spans="5:5" x14ac:dyDescent="0.2">
      <c r="E147" s="3">
        <v>146</v>
      </c>
    </row>
    <row r="148" spans="5:5" x14ac:dyDescent="0.2">
      <c r="E148" s="3">
        <v>147</v>
      </c>
    </row>
    <row r="149" spans="5:5" x14ac:dyDescent="0.2">
      <c r="E149" s="3">
        <v>148</v>
      </c>
    </row>
    <row r="150" spans="5:5" x14ac:dyDescent="0.2">
      <c r="E150" s="3">
        <v>149</v>
      </c>
    </row>
    <row r="151" spans="5:5" x14ac:dyDescent="0.2">
      <c r="E151" s="3">
        <v>150</v>
      </c>
    </row>
    <row r="152" spans="5:5" x14ac:dyDescent="0.2">
      <c r="E152" s="3">
        <v>151</v>
      </c>
    </row>
    <row r="153" spans="5:5" x14ac:dyDescent="0.2">
      <c r="E153" s="3">
        <v>152</v>
      </c>
    </row>
    <row r="154" spans="5:5" x14ac:dyDescent="0.2">
      <c r="E154" s="3">
        <v>153</v>
      </c>
    </row>
    <row r="155" spans="5:5" x14ac:dyDescent="0.2">
      <c r="E155" s="3">
        <v>154</v>
      </c>
    </row>
    <row r="156" spans="5:5" x14ac:dyDescent="0.2">
      <c r="E156" s="3">
        <v>155</v>
      </c>
    </row>
    <row r="157" spans="5:5" x14ac:dyDescent="0.2">
      <c r="E157" s="3">
        <v>156</v>
      </c>
    </row>
    <row r="158" spans="5:5" x14ac:dyDescent="0.2">
      <c r="E158" s="3">
        <v>157</v>
      </c>
    </row>
    <row r="159" spans="5:5" x14ac:dyDescent="0.2">
      <c r="E159" s="3">
        <v>158</v>
      </c>
    </row>
    <row r="160" spans="5:5" x14ac:dyDescent="0.2">
      <c r="E160" s="3">
        <v>159</v>
      </c>
    </row>
    <row r="161" spans="5:5" x14ac:dyDescent="0.2">
      <c r="E161" s="3">
        <v>160</v>
      </c>
    </row>
    <row r="162" spans="5:5" x14ac:dyDescent="0.2">
      <c r="E162" s="3">
        <v>161</v>
      </c>
    </row>
    <row r="163" spans="5:5" x14ac:dyDescent="0.2">
      <c r="E163" s="3">
        <v>162</v>
      </c>
    </row>
    <row r="164" spans="5:5" x14ac:dyDescent="0.2">
      <c r="E164" s="3">
        <v>163</v>
      </c>
    </row>
    <row r="165" spans="5:5" x14ac:dyDescent="0.2">
      <c r="E165" s="3">
        <v>164</v>
      </c>
    </row>
    <row r="166" spans="5:5" x14ac:dyDescent="0.2">
      <c r="E166" s="3">
        <v>165</v>
      </c>
    </row>
    <row r="167" spans="5:5" x14ac:dyDescent="0.2">
      <c r="E167" s="3">
        <v>166</v>
      </c>
    </row>
    <row r="168" spans="5:5" x14ac:dyDescent="0.2">
      <c r="E168" s="3">
        <v>167</v>
      </c>
    </row>
    <row r="169" spans="5:5" x14ac:dyDescent="0.2">
      <c r="E169" s="3">
        <v>168</v>
      </c>
    </row>
    <row r="170" spans="5:5" x14ac:dyDescent="0.2">
      <c r="E170" s="3">
        <v>169</v>
      </c>
    </row>
    <row r="171" spans="5:5" x14ac:dyDescent="0.2">
      <c r="E171" s="3">
        <v>170</v>
      </c>
    </row>
    <row r="172" spans="5:5" x14ac:dyDescent="0.2">
      <c r="E172" s="3">
        <v>171</v>
      </c>
    </row>
    <row r="173" spans="5:5" x14ac:dyDescent="0.2">
      <c r="E173" s="3">
        <v>172</v>
      </c>
    </row>
    <row r="174" spans="5:5" x14ac:dyDescent="0.2">
      <c r="E174" s="3">
        <v>173</v>
      </c>
    </row>
    <row r="175" spans="5:5" x14ac:dyDescent="0.2">
      <c r="E175" s="3">
        <v>174</v>
      </c>
    </row>
    <row r="176" spans="5:5" x14ac:dyDescent="0.2">
      <c r="E176" s="3">
        <v>175</v>
      </c>
    </row>
    <row r="177" spans="5:5" x14ac:dyDescent="0.2">
      <c r="E177" s="3">
        <v>176</v>
      </c>
    </row>
    <row r="178" spans="5:5" x14ac:dyDescent="0.2">
      <c r="E178" s="3">
        <v>177</v>
      </c>
    </row>
    <row r="179" spans="5:5" x14ac:dyDescent="0.2">
      <c r="E179" s="3">
        <v>178</v>
      </c>
    </row>
    <row r="180" spans="5:5" x14ac:dyDescent="0.2">
      <c r="E180" s="3">
        <v>179</v>
      </c>
    </row>
    <row r="181" spans="5:5" x14ac:dyDescent="0.2">
      <c r="E181" s="3">
        <v>180</v>
      </c>
    </row>
    <row r="182" spans="5:5" x14ac:dyDescent="0.2">
      <c r="E182" s="3">
        <v>181</v>
      </c>
    </row>
    <row r="183" spans="5:5" x14ac:dyDescent="0.2">
      <c r="E183" s="3">
        <v>182</v>
      </c>
    </row>
    <row r="184" spans="5:5" x14ac:dyDescent="0.2">
      <c r="E184" s="3">
        <v>183</v>
      </c>
    </row>
    <row r="185" spans="5:5" x14ac:dyDescent="0.2">
      <c r="E185" s="3">
        <v>184</v>
      </c>
    </row>
    <row r="186" spans="5:5" x14ac:dyDescent="0.2">
      <c r="E186" s="3">
        <v>185</v>
      </c>
    </row>
    <row r="187" spans="5:5" x14ac:dyDescent="0.2">
      <c r="E187" s="3">
        <v>186</v>
      </c>
    </row>
    <row r="188" spans="5:5" x14ac:dyDescent="0.2">
      <c r="E188" s="3">
        <v>187</v>
      </c>
    </row>
    <row r="189" spans="5:5" x14ac:dyDescent="0.2">
      <c r="E189" s="3">
        <v>188</v>
      </c>
    </row>
    <row r="190" spans="5:5" x14ac:dyDescent="0.2">
      <c r="E190" s="3">
        <v>189</v>
      </c>
    </row>
    <row r="191" spans="5:5" x14ac:dyDescent="0.2">
      <c r="E191" s="3">
        <v>190</v>
      </c>
    </row>
    <row r="192" spans="5:5" x14ac:dyDescent="0.2">
      <c r="E192" s="3">
        <v>191</v>
      </c>
    </row>
    <row r="193" spans="5:5" x14ac:dyDescent="0.2">
      <c r="E193" s="3">
        <v>192</v>
      </c>
    </row>
    <row r="194" spans="5:5" x14ac:dyDescent="0.2">
      <c r="E194" s="3">
        <v>193</v>
      </c>
    </row>
    <row r="195" spans="5:5" x14ac:dyDescent="0.2">
      <c r="E195" s="3">
        <v>194</v>
      </c>
    </row>
    <row r="196" spans="5:5" x14ac:dyDescent="0.2">
      <c r="E196" s="3">
        <v>195</v>
      </c>
    </row>
    <row r="197" spans="5:5" x14ac:dyDescent="0.2">
      <c r="E197" s="3">
        <v>196</v>
      </c>
    </row>
    <row r="198" spans="5:5" x14ac:dyDescent="0.2">
      <c r="E198" s="3">
        <v>197</v>
      </c>
    </row>
    <row r="199" spans="5:5" x14ac:dyDescent="0.2">
      <c r="E199" s="3">
        <v>198</v>
      </c>
    </row>
    <row r="200" spans="5:5" x14ac:dyDescent="0.2">
      <c r="E200" s="3">
        <v>199</v>
      </c>
    </row>
    <row r="201" spans="5:5" x14ac:dyDescent="0.2">
      <c r="E201" s="3">
        <v>200</v>
      </c>
    </row>
    <row r="202" spans="5:5" x14ac:dyDescent="0.2">
      <c r="E202" s="3">
        <v>201</v>
      </c>
    </row>
    <row r="203" spans="5:5" x14ac:dyDescent="0.2">
      <c r="E203" s="3">
        <v>202</v>
      </c>
    </row>
    <row r="204" spans="5:5" x14ac:dyDescent="0.2">
      <c r="E204" s="3">
        <v>203</v>
      </c>
    </row>
    <row r="205" spans="5:5" x14ac:dyDescent="0.2">
      <c r="E205" s="3">
        <v>204</v>
      </c>
    </row>
    <row r="206" spans="5:5" x14ac:dyDescent="0.2">
      <c r="E206" s="3">
        <v>205</v>
      </c>
    </row>
    <row r="207" spans="5:5" x14ac:dyDescent="0.2">
      <c r="E207" s="3">
        <v>206</v>
      </c>
    </row>
    <row r="208" spans="5:5" x14ac:dyDescent="0.2">
      <c r="E208" s="3">
        <v>207</v>
      </c>
    </row>
    <row r="209" spans="5:5" x14ac:dyDescent="0.2">
      <c r="E209" s="3">
        <v>208</v>
      </c>
    </row>
    <row r="210" spans="5:5" x14ac:dyDescent="0.2">
      <c r="E210" s="3">
        <v>209</v>
      </c>
    </row>
    <row r="211" spans="5:5" x14ac:dyDescent="0.2">
      <c r="E211" s="3">
        <v>210</v>
      </c>
    </row>
    <row r="212" spans="5:5" x14ac:dyDescent="0.2">
      <c r="E212" s="3">
        <v>211</v>
      </c>
    </row>
    <row r="213" spans="5:5" x14ac:dyDescent="0.2">
      <c r="E213" s="3">
        <v>212</v>
      </c>
    </row>
    <row r="214" spans="5:5" x14ac:dyDescent="0.2">
      <c r="E214" s="3">
        <v>213</v>
      </c>
    </row>
    <row r="215" spans="5:5" x14ac:dyDescent="0.2">
      <c r="E215" s="3">
        <v>214</v>
      </c>
    </row>
    <row r="216" spans="5:5" x14ac:dyDescent="0.2">
      <c r="E216" s="3">
        <v>215</v>
      </c>
    </row>
    <row r="217" spans="5:5" x14ac:dyDescent="0.2">
      <c r="E217" s="3">
        <v>216</v>
      </c>
    </row>
    <row r="218" spans="5:5" x14ac:dyDescent="0.2">
      <c r="E218" s="3">
        <v>217</v>
      </c>
    </row>
    <row r="219" spans="5:5" x14ac:dyDescent="0.2">
      <c r="E219" s="3">
        <v>218</v>
      </c>
    </row>
    <row r="220" spans="5:5" x14ac:dyDescent="0.2">
      <c r="E220" s="3">
        <v>219</v>
      </c>
    </row>
    <row r="221" spans="5:5" x14ac:dyDescent="0.2">
      <c r="E221" s="3">
        <v>220</v>
      </c>
    </row>
    <row r="222" spans="5:5" x14ac:dyDescent="0.2">
      <c r="E222" s="3">
        <v>221</v>
      </c>
    </row>
    <row r="223" spans="5:5" x14ac:dyDescent="0.2">
      <c r="E223" s="3">
        <v>222</v>
      </c>
    </row>
    <row r="224" spans="5:5" x14ac:dyDescent="0.2">
      <c r="E224" s="3">
        <v>223</v>
      </c>
    </row>
    <row r="225" spans="5:5" x14ac:dyDescent="0.2">
      <c r="E225" s="3">
        <v>224</v>
      </c>
    </row>
    <row r="226" spans="5:5" x14ac:dyDescent="0.2">
      <c r="E226" s="3">
        <v>225</v>
      </c>
    </row>
    <row r="227" spans="5:5" x14ac:dyDescent="0.2">
      <c r="E227" s="3">
        <v>226</v>
      </c>
    </row>
    <row r="228" spans="5:5" x14ac:dyDescent="0.2">
      <c r="E228" s="3">
        <v>227</v>
      </c>
    </row>
    <row r="229" spans="5:5" x14ac:dyDescent="0.2">
      <c r="E229" s="3">
        <v>228</v>
      </c>
    </row>
    <row r="230" spans="5:5" x14ac:dyDescent="0.2">
      <c r="E230" s="3">
        <v>229</v>
      </c>
    </row>
    <row r="231" spans="5:5" x14ac:dyDescent="0.2">
      <c r="E231" s="3">
        <v>230</v>
      </c>
    </row>
    <row r="232" spans="5:5" x14ac:dyDescent="0.2">
      <c r="E232" s="3">
        <v>231</v>
      </c>
    </row>
    <row r="233" spans="5:5" x14ac:dyDescent="0.2">
      <c r="E233" s="3">
        <v>232</v>
      </c>
    </row>
    <row r="234" spans="5:5" x14ac:dyDescent="0.2">
      <c r="E234" s="3">
        <v>233</v>
      </c>
    </row>
    <row r="235" spans="5:5" x14ac:dyDescent="0.2">
      <c r="E235" s="3">
        <v>234</v>
      </c>
    </row>
    <row r="236" spans="5:5" x14ac:dyDescent="0.2">
      <c r="E236" s="3">
        <v>235</v>
      </c>
    </row>
    <row r="237" spans="5:5" x14ac:dyDescent="0.2">
      <c r="E237" s="3">
        <v>236</v>
      </c>
    </row>
    <row r="238" spans="5:5" x14ac:dyDescent="0.2">
      <c r="E238" s="3">
        <v>237</v>
      </c>
    </row>
    <row r="239" spans="5:5" x14ac:dyDescent="0.2">
      <c r="E239" s="3">
        <v>238</v>
      </c>
    </row>
    <row r="240" spans="5:5" x14ac:dyDescent="0.2">
      <c r="E240" s="3">
        <v>239</v>
      </c>
    </row>
    <row r="241" spans="5:5" x14ac:dyDescent="0.2">
      <c r="E241" s="3">
        <v>240</v>
      </c>
    </row>
    <row r="242" spans="5:5" x14ac:dyDescent="0.2">
      <c r="E242" s="3">
        <v>241</v>
      </c>
    </row>
    <row r="243" spans="5:5" x14ac:dyDescent="0.2">
      <c r="E243" s="3">
        <v>242</v>
      </c>
    </row>
    <row r="244" spans="5:5" x14ac:dyDescent="0.2">
      <c r="E244" s="3">
        <v>243</v>
      </c>
    </row>
    <row r="245" spans="5:5" x14ac:dyDescent="0.2">
      <c r="E245" s="3">
        <v>244</v>
      </c>
    </row>
    <row r="246" spans="5:5" x14ac:dyDescent="0.2">
      <c r="E246" s="3">
        <v>245</v>
      </c>
    </row>
    <row r="247" spans="5:5" x14ac:dyDescent="0.2">
      <c r="E247" s="3">
        <v>246</v>
      </c>
    </row>
    <row r="248" spans="5:5" x14ac:dyDescent="0.2">
      <c r="E248" s="3">
        <v>247</v>
      </c>
    </row>
    <row r="249" spans="5:5" x14ac:dyDescent="0.2">
      <c r="E249" s="3">
        <v>248</v>
      </c>
    </row>
    <row r="250" spans="5:5" x14ac:dyDescent="0.2">
      <c r="E250" s="3">
        <v>249</v>
      </c>
    </row>
    <row r="251" spans="5:5" x14ac:dyDescent="0.2">
      <c r="E251" s="3">
        <v>250</v>
      </c>
    </row>
    <row r="252" spans="5:5" x14ac:dyDescent="0.2">
      <c r="E252" s="3">
        <v>251</v>
      </c>
    </row>
    <row r="253" spans="5:5" x14ac:dyDescent="0.2">
      <c r="E253" s="3">
        <v>252</v>
      </c>
    </row>
    <row r="254" spans="5:5" x14ac:dyDescent="0.2">
      <c r="E254" s="3">
        <v>253</v>
      </c>
    </row>
    <row r="255" spans="5:5" x14ac:dyDescent="0.2">
      <c r="E255" s="3">
        <v>254</v>
      </c>
    </row>
    <row r="256" spans="5:5" x14ac:dyDescent="0.2">
      <c r="E256" s="3">
        <v>255</v>
      </c>
    </row>
    <row r="257" spans="5:5" x14ac:dyDescent="0.2">
      <c r="E257" s="3">
        <v>256</v>
      </c>
    </row>
    <row r="258" spans="5:5" x14ac:dyDescent="0.2">
      <c r="E258" s="3">
        <v>257</v>
      </c>
    </row>
    <row r="259" spans="5:5" x14ac:dyDescent="0.2">
      <c r="E259" s="3">
        <v>258</v>
      </c>
    </row>
    <row r="260" spans="5:5" x14ac:dyDescent="0.2">
      <c r="E260" s="3">
        <v>259</v>
      </c>
    </row>
    <row r="261" spans="5:5" x14ac:dyDescent="0.2">
      <c r="E261" s="3">
        <v>260</v>
      </c>
    </row>
    <row r="262" spans="5:5" x14ac:dyDescent="0.2">
      <c r="E262" s="3">
        <v>261</v>
      </c>
    </row>
    <row r="263" spans="5:5" x14ac:dyDescent="0.2">
      <c r="E263" s="3">
        <v>262</v>
      </c>
    </row>
    <row r="264" spans="5:5" x14ac:dyDescent="0.2">
      <c r="E264" s="3">
        <v>263</v>
      </c>
    </row>
    <row r="265" spans="5:5" x14ac:dyDescent="0.2">
      <c r="E265" s="3">
        <v>264</v>
      </c>
    </row>
    <row r="266" spans="5:5" x14ac:dyDescent="0.2">
      <c r="E266" s="3">
        <v>265</v>
      </c>
    </row>
    <row r="267" spans="5:5" x14ac:dyDescent="0.2">
      <c r="E267" s="3">
        <v>266</v>
      </c>
    </row>
    <row r="268" spans="5:5" x14ac:dyDescent="0.2">
      <c r="E268" s="3">
        <v>267</v>
      </c>
    </row>
    <row r="269" spans="5:5" x14ac:dyDescent="0.2">
      <c r="E269" s="3">
        <v>268</v>
      </c>
    </row>
    <row r="270" spans="5:5" x14ac:dyDescent="0.2">
      <c r="E270" s="3">
        <v>269</v>
      </c>
    </row>
    <row r="271" spans="5:5" x14ac:dyDescent="0.2">
      <c r="E271" s="3">
        <v>270</v>
      </c>
    </row>
    <row r="272" spans="5:5" x14ac:dyDescent="0.2">
      <c r="E272" s="3">
        <v>271</v>
      </c>
    </row>
    <row r="273" spans="5:5" x14ac:dyDescent="0.2">
      <c r="E273" s="3">
        <v>272</v>
      </c>
    </row>
    <row r="274" spans="5:5" x14ac:dyDescent="0.2">
      <c r="E274" s="3">
        <v>273</v>
      </c>
    </row>
    <row r="275" spans="5:5" x14ac:dyDescent="0.2">
      <c r="E275" s="3">
        <v>274</v>
      </c>
    </row>
    <row r="276" spans="5:5" x14ac:dyDescent="0.2">
      <c r="E276" s="3">
        <v>275</v>
      </c>
    </row>
    <row r="277" spans="5:5" x14ac:dyDescent="0.2">
      <c r="E277" s="3">
        <v>276</v>
      </c>
    </row>
    <row r="278" spans="5:5" x14ac:dyDescent="0.2">
      <c r="E278" s="3">
        <v>277</v>
      </c>
    </row>
    <row r="279" spans="5:5" x14ac:dyDescent="0.2">
      <c r="E279" s="3">
        <v>278</v>
      </c>
    </row>
    <row r="280" spans="5:5" x14ac:dyDescent="0.2">
      <c r="E280" s="3">
        <v>279</v>
      </c>
    </row>
    <row r="281" spans="5:5" x14ac:dyDescent="0.2">
      <c r="E281" s="3">
        <v>280</v>
      </c>
    </row>
    <row r="282" spans="5:5" x14ac:dyDescent="0.2">
      <c r="E282" s="3">
        <v>281</v>
      </c>
    </row>
    <row r="283" spans="5:5" x14ac:dyDescent="0.2">
      <c r="E283" s="3">
        <v>282</v>
      </c>
    </row>
    <row r="284" spans="5:5" x14ac:dyDescent="0.2">
      <c r="E284" s="3">
        <v>283</v>
      </c>
    </row>
    <row r="285" spans="5:5" x14ac:dyDescent="0.2">
      <c r="E285" s="3">
        <v>284</v>
      </c>
    </row>
    <row r="286" spans="5:5" x14ac:dyDescent="0.2">
      <c r="E286" s="3">
        <v>285</v>
      </c>
    </row>
    <row r="287" spans="5:5" x14ac:dyDescent="0.2">
      <c r="E287" s="3">
        <v>286</v>
      </c>
    </row>
    <row r="288" spans="5:5" x14ac:dyDescent="0.2">
      <c r="E288" s="3">
        <v>287</v>
      </c>
    </row>
    <row r="289" spans="5:5" x14ac:dyDescent="0.2">
      <c r="E289" s="3">
        <v>288</v>
      </c>
    </row>
    <row r="290" spans="5:5" x14ac:dyDescent="0.2">
      <c r="E290" s="3">
        <v>289</v>
      </c>
    </row>
    <row r="291" spans="5:5" x14ac:dyDescent="0.2">
      <c r="E291" s="3">
        <v>290</v>
      </c>
    </row>
    <row r="292" spans="5:5" x14ac:dyDescent="0.2">
      <c r="E292" s="3">
        <v>291</v>
      </c>
    </row>
    <row r="293" spans="5:5" x14ac:dyDescent="0.2">
      <c r="E293" s="3">
        <v>292</v>
      </c>
    </row>
    <row r="294" spans="5:5" x14ac:dyDescent="0.2">
      <c r="E294" s="3">
        <v>293</v>
      </c>
    </row>
    <row r="295" spans="5:5" x14ac:dyDescent="0.2">
      <c r="E295" s="3">
        <v>294</v>
      </c>
    </row>
    <row r="296" spans="5:5" x14ac:dyDescent="0.2">
      <c r="E296" s="3">
        <v>295</v>
      </c>
    </row>
    <row r="297" spans="5:5" x14ac:dyDescent="0.2">
      <c r="E297" s="3">
        <v>296</v>
      </c>
    </row>
    <row r="298" spans="5:5" x14ac:dyDescent="0.2">
      <c r="E298" s="3">
        <v>297</v>
      </c>
    </row>
    <row r="299" spans="5:5" x14ac:dyDescent="0.2">
      <c r="E299" s="3">
        <v>298</v>
      </c>
    </row>
    <row r="300" spans="5:5" x14ac:dyDescent="0.2">
      <c r="E300" s="3">
        <v>299</v>
      </c>
    </row>
    <row r="301" spans="5:5" x14ac:dyDescent="0.2">
      <c r="E301" s="3">
        <v>300</v>
      </c>
    </row>
    <row r="302" spans="5:5" x14ac:dyDescent="0.2">
      <c r="E302" s="3">
        <v>301</v>
      </c>
    </row>
    <row r="303" spans="5:5" x14ac:dyDescent="0.2">
      <c r="E303" s="3">
        <v>302</v>
      </c>
    </row>
    <row r="304" spans="5:5" x14ac:dyDescent="0.2">
      <c r="E304" s="3">
        <v>303</v>
      </c>
    </row>
    <row r="305" spans="5:5" x14ac:dyDescent="0.2">
      <c r="E305" s="3">
        <v>304</v>
      </c>
    </row>
    <row r="306" spans="5:5" x14ac:dyDescent="0.2">
      <c r="E306" s="3">
        <v>305</v>
      </c>
    </row>
    <row r="307" spans="5:5" x14ac:dyDescent="0.2">
      <c r="E307" s="3">
        <v>306</v>
      </c>
    </row>
    <row r="308" spans="5:5" x14ac:dyDescent="0.2">
      <c r="E308" s="3">
        <v>307</v>
      </c>
    </row>
    <row r="309" spans="5:5" x14ac:dyDescent="0.2">
      <c r="E309" s="3">
        <v>308</v>
      </c>
    </row>
    <row r="310" spans="5:5" x14ac:dyDescent="0.2">
      <c r="E310" s="3">
        <v>309</v>
      </c>
    </row>
    <row r="311" spans="5:5" x14ac:dyDescent="0.2">
      <c r="E311" s="3">
        <v>310</v>
      </c>
    </row>
    <row r="312" spans="5:5" x14ac:dyDescent="0.2">
      <c r="E312" s="3">
        <v>311</v>
      </c>
    </row>
    <row r="313" spans="5:5" x14ac:dyDescent="0.2">
      <c r="E313" s="3">
        <v>312</v>
      </c>
    </row>
    <row r="314" spans="5:5" x14ac:dyDescent="0.2">
      <c r="E314" s="3">
        <v>313</v>
      </c>
    </row>
    <row r="315" spans="5:5" x14ac:dyDescent="0.2">
      <c r="E315" s="3">
        <v>314</v>
      </c>
    </row>
    <row r="316" spans="5:5" x14ac:dyDescent="0.2">
      <c r="E316" s="3">
        <v>315</v>
      </c>
    </row>
    <row r="317" spans="5:5" x14ac:dyDescent="0.2">
      <c r="E317" s="3">
        <v>316</v>
      </c>
    </row>
    <row r="318" spans="5:5" x14ac:dyDescent="0.2">
      <c r="E318" s="3">
        <v>317</v>
      </c>
    </row>
    <row r="319" spans="5:5" x14ac:dyDescent="0.2">
      <c r="E319" s="3">
        <v>318</v>
      </c>
    </row>
    <row r="320" spans="5:5" x14ac:dyDescent="0.2">
      <c r="E320" s="3">
        <v>319</v>
      </c>
    </row>
    <row r="321" spans="5:5" x14ac:dyDescent="0.2">
      <c r="E321" s="3">
        <v>320</v>
      </c>
    </row>
    <row r="322" spans="5:5" x14ac:dyDescent="0.2">
      <c r="E322" s="3">
        <v>321</v>
      </c>
    </row>
    <row r="323" spans="5:5" x14ac:dyDescent="0.2">
      <c r="E323" s="3">
        <v>322</v>
      </c>
    </row>
    <row r="324" spans="5:5" x14ac:dyDescent="0.2">
      <c r="E324" s="3">
        <v>323</v>
      </c>
    </row>
    <row r="325" spans="5:5" x14ac:dyDescent="0.2">
      <c r="E325" s="3">
        <v>324</v>
      </c>
    </row>
    <row r="326" spans="5:5" x14ac:dyDescent="0.2">
      <c r="E326" s="3">
        <v>325</v>
      </c>
    </row>
    <row r="327" spans="5:5" x14ac:dyDescent="0.2">
      <c r="E327" s="3">
        <v>326</v>
      </c>
    </row>
    <row r="328" spans="5:5" x14ac:dyDescent="0.2">
      <c r="E328" s="3">
        <v>327</v>
      </c>
    </row>
    <row r="329" spans="5:5" x14ac:dyDescent="0.2">
      <c r="E329" s="3">
        <v>328</v>
      </c>
    </row>
    <row r="330" spans="5:5" x14ac:dyDescent="0.2">
      <c r="E330" s="3">
        <v>329</v>
      </c>
    </row>
    <row r="331" spans="5:5" x14ac:dyDescent="0.2">
      <c r="E331" s="3">
        <v>330</v>
      </c>
    </row>
    <row r="332" spans="5:5" x14ac:dyDescent="0.2">
      <c r="E332" s="3">
        <v>331</v>
      </c>
    </row>
    <row r="333" spans="5:5" x14ac:dyDescent="0.2">
      <c r="E333" s="3">
        <v>332</v>
      </c>
    </row>
    <row r="334" spans="5:5" x14ac:dyDescent="0.2">
      <c r="E334" s="3">
        <v>333</v>
      </c>
    </row>
    <row r="335" spans="5:5" x14ac:dyDescent="0.2">
      <c r="E335" s="3">
        <v>334</v>
      </c>
    </row>
    <row r="336" spans="5:5" x14ac:dyDescent="0.2">
      <c r="E336" s="3">
        <v>335</v>
      </c>
    </row>
    <row r="337" spans="5:5" x14ac:dyDescent="0.2">
      <c r="E337" s="3">
        <v>336</v>
      </c>
    </row>
    <row r="338" spans="5:5" x14ac:dyDescent="0.2">
      <c r="E338" s="3">
        <v>337</v>
      </c>
    </row>
    <row r="339" spans="5:5" x14ac:dyDescent="0.2">
      <c r="E339" s="3">
        <v>338</v>
      </c>
    </row>
    <row r="340" spans="5:5" x14ac:dyDescent="0.2">
      <c r="E340" s="3">
        <v>339</v>
      </c>
    </row>
    <row r="341" spans="5:5" x14ac:dyDescent="0.2">
      <c r="E341" s="3">
        <v>340</v>
      </c>
    </row>
    <row r="342" spans="5:5" x14ac:dyDescent="0.2">
      <c r="E342" s="3">
        <v>341</v>
      </c>
    </row>
    <row r="343" spans="5:5" x14ac:dyDescent="0.2">
      <c r="E343" s="3">
        <v>342</v>
      </c>
    </row>
    <row r="344" spans="5:5" x14ac:dyDescent="0.2">
      <c r="E344" s="3">
        <v>343</v>
      </c>
    </row>
    <row r="345" spans="5:5" x14ac:dyDescent="0.2">
      <c r="E345" s="3">
        <v>344</v>
      </c>
    </row>
    <row r="346" spans="5:5" x14ac:dyDescent="0.2">
      <c r="E346" s="3">
        <v>345</v>
      </c>
    </row>
    <row r="347" spans="5:5" x14ac:dyDescent="0.2">
      <c r="E347" s="3">
        <v>346</v>
      </c>
    </row>
    <row r="348" spans="5:5" x14ac:dyDescent="0.2">
      <c r="E348" s="3">
        <v>347</v>
      </c>
    </row>
    <row r="349" spans="5:5" x14ac:dyDescent="0.2">
      <c r="E349" s="3">
        <v>348</v>
      </c>
    </row>
    <row r="350" spans="5:5" x14ac:dyDescent="0.2">
      <c r="E350" s="3">
        <v>349</v>
      </c>
    </row>
    <row r="351" spans="5:5" x14ac:dyDescent="0.2">
      <c r="E351" s="3">
        <v>350</v>
      </c>
    </row>
    <row r="352" spans="5:5" x14ac:dyDescent="0.2">
      <c r="E352" s="3">
        <v>351</v>
      </c>
    </row>
    <row r="353" spans="5:5" x14ac:dyDescent="0.2">
      <c r="E353" s="3">
        <v>352</v>
      </c>
    </row>
    <row r="354" spans="5:5" x14ac:dyDescent="0.2">
      <c r="E354" s="3">
        <v>353</v>
      </c>
    </row>
    <row r="355" spans="5:5" x14ac:dyDescent="0.2">
      <c r="E355" s="3">
        <v>354</v>
      </c>
    </row>
    <row r="356" spans="5:5" x14ac:dyDescent="0.2">
      <c r="E356" s="3">
        <v>355</v>
      </c>
    </row>
    <row r="357" spans="5:5" x14ac:dyDescent="0.2">
      <c r="E357" s="3">
        <v>356</v>
      </c>
    </row>
    <row r="358" spans="5:5" x14ac:dyDescent="0.2">
      <c r="E358" s="3">
        <v>357</v>
      </c>
    </row>
    <row r="359" spans="5:5" x14ac:dyDescent="0.2">
      <c r="E359" s="3">
        <v>358</v>
      </c>
    </row>
    <row r="360" spans="5:5" x14ac:dyDescent="0.2">
      <c r="E360" s="3">
        <v>359</v>
      </c>
    </row>
    <row r="361" spans="5:5" x14ac:dyDescent="0.2">
      <c r="E361" s="3">
        <v>360</v>
      </c>
    </row>
    <row r="362" spans="5:5" x14ac:dyDescent="0.2">
      <c r="E362" s="3">
        <v>361</v>
      </c>
    </row>
    <row r="363" spans="5:5" x14ac:dyDescent="0.2">
      <c r="E363" s="3">
        <v>362</v>
      </c>
    </row>
    <row r="364" spans="5:5" x14ac:dyDescent="0.2">
      <c r="E364" s="3">
        <v>363</v>
      </c>
    </row>
    <row r="365" spans="5:5" x14ac:dyDescent="0.2">
      <c r="E365" s="3">
        <v>364</v>
      </c>
    </row>
    <row r="366" spans="5:5" x14ac:dyDescent="0.2">
      <c r="E366" s="3">
        <v>365</v>
      </c>
    </row>
    <row r="367" spans="5:5" x14ac:dyDescent="0.2">
      <c r="E367" s="3">
        <v>366</v>
      </c>
    </row>
    <row r="368" spans="5:5" x14ac:dyDescent="0.2">
      <c r="E368" s="3">
        <v>367</v>
      </c>
    </row>
    <row r="369" spans="5:5" x14ac:dyDescent="0.2">
      <c r="E369" s="3">
        <v>368</v>
      </c>
    </row>
    <row r="370" spans="5:5" x14ac:dyDescent="0.2">
      <c r="E370" s="3">
        <v>369</v>
      </c>
    </row>
    <row r="371" spans="5:5" x14ac:dyDescent="0.2">
      <c r="E371" s="3">
        <v>370</v>
      </c>
    </row>
    <row r="372" spans="5:5" x14ac:dyDescent="0.2">
      <c r="E372" s="3">
        <v>371</v>
      </c>
    </row>
    <row r="373" spans="5:5" x14ac:dyDescent="0.2">
      <c r="E373" s="3">
        <v>372</v>
      </c>
    </row>
    <row r="374" spans="5:5" x14ac:dyDescent="0.2">
      <c r="E374" s="3">
        <v>373</v>
      </c>
    </row>
    <row r="375" spans="5:5" x14ac:dyDescent="0.2">
      <c r="E375" s="3">
        <v>374</v>
      </c>
    </row>
    <row r="376" spans="5:5" x14ac:dyDescent="0.2">
      <c r="E376" s="3">
        <v>375</v>
      </c>
    </row>
    <row r="377" spans="5:5" x14ac:dyDescent="0.2">
      <c r="E377" s="3">
        <v>376</v>
      </c>
    </row>
    <row r="378" spans="5:5" x14ac:dyDescent="0.2">
      <c r="E378" s="3">
        <v>377</v>
      </c>
    </row>
    <row r="379" spans="5:5" x14ac:dyDescent="0.2">
      <c r="E379" s="3">
        <v>378</v>
      </c>
    </row>
    <row r="380" spans="5:5" x14ac:dyDescent="0.2">
      <c r="E380" s="3">
        <v>379</v>
      </c>
    </row>
    <row r="381" spans="5:5" x14ac:dyDescent="0.2">
      <c r="E381" s="3">
        <v>380</v>
      </c>
    </row>
    <row r="382" spans="5:5" x14ac:dyDescent="0.2">
      <c r="E382" s="3">
        <v>381</v>
      </c>
    </row>
    <row r="383" spans="5:5" x14ac:dyDescent="0.2">
      <c r="E383" s="3">
        <v>382</v>
      </c>
    </row>
    <row r="384" spans="5:5" x14ac:dyDescent="0.2">
      <c r="E384" s="3">
        <v>383</v>
      </c>
    </row>
    <row r="385" spans="5:5" x14ac:dyDescent="0.2">
      <c r="E385" s="3">
        <v>384</v>
      </c>
    </row>
    <row r="386" spans="5:5" x14ac:dyDescent="0.2">
      <c r="E386" s="3">
        <v>385</v>
      </c>
    </row>
    <row r="387" spans="5:5" x14ac:dyDescent="0.2">
      <c r="E387" s="3">
        <v>386</v>
      </c>
    </row>
    <row r="388" spans="5:5" x14ac:dyDescent="0.2">
      <c r="E388" s="3">
        <v>387</v>
      </c>
    </row>
    <row r="389" spans="5:5" x14ac:dyDescent="0.2">
      <c r="E389" s="3">
        <v>388</v>
      </c>
    </row>
    <row r="390" spans="5:5" x14ac:dyDescent="0.2">
      <c r="E390" s="3">
        <v>389</v>
      </c>
    </row>
    <row r="391" spans="5:5" x14ac:dyDescent="0.2">
      <c r="E391" s="3">
        <v>390</v>
      </c>
    </row>
    <row r="392" spans="5:5" x14ac:dyDescent="0.2">
      <c r="E392" s="3">
        <v>391</v>
      </c>
    </row>
    <row r="393" spans="5:5" x14ac:dyDescent="0.2">
      <c r="E393" s="3">
        <v>392</v>
      </c>
    </row>
    <row r="394" spans="5:5" x14ac:dyDescent="0.2">
      <c r="E394" s="3">
        <v>393</v>
      </c>
    </row>
    <row r="395" spans="5:5" x14ac:dyDescent="0.2">
      <c r="E395" s="3">
        <v>394</v>
      </c>
    </row>
    <row r="396" spans="5:5" x14ac:dyDescent="0.2">
      <c r="E396" s="3">
        <v>395</v>
      </c>
    </row>
    <row r="397" spans="5:5" x14ac:dyDescent="0.2">
      <c r="E397" s="3">
        <v>396</v>
      </c>
    </row>
    <row r="398" spans="5:5" x14ac:dyDescent="0.2">
      <c r="E398" s="3">
        <v>397</v>
      </c>
    </row>
    <row r="399" spans="5:5" x14ac:dyDescent="0.2">
      <c r="E399" s="3">
        <v>398</v>
      </c>
    </row>
    <row r="400" spans="5:5" x14ac:dyDescent="0.2">
      <c r="E400" s="3">
        <v>399</v>
      </c>
    </row>
    <row r="401" spans="5:5" x14ac:dyDescent="0.2">
      <c r="E401" s="3">
        <v>400</v>
      </c>
    </row>
    <row r="402" spans="5:5" x14ac:dyDescent="0.2">
      <c r="E402" s="3">
        <v>401</v>
      </c>
    </row>
    <row r="403" spans="5:5" x14ac:dyDescent="0.2">
      <c r="E403" s="3">
        <v>402</v>
      </c>
    </row>
    <row r="404" spans="5:5" x14ac:dyDescent="0.2">
      <c r="E404" s="3">
        <v>403</v>
      </c>
    </row>
    <row r="405" spans="5:5" x14ac:dyDescent="0.2">
      <c r="E405" s="3">
        <v>404</v>
      </c>
    </row>
    <row r="406" spans="5:5" x14ac:dyDescent="0.2">
      <c r="E406" s="3">
        <v>405</v>
      </c>
    </row>
    <row r="407" spans="5:5" x14ac:dyDescent="0.2">
      <c r="E407" s="3">
        <v>406</v>
      </c>
    </row>
    <row r="408" spans="5:5" x14ac:dyDescent="0.2">
      <c r="E408" s="3">
        <v>407</v>
      </c>
    </row>
    <row r="409" spans="5:5" x14ac:dyDescent="0.2">
      <c r="E409" s="3">
        <v>408</v>
      </c>
    </row>
    <row r="410" spans="5:5" x14ac:dyDescent="0.2">
      <c r="E410" s="3">
        <v>409</v>
      </c>
    </row>
    <row r="411" spans="5:5" x14ac:dyDescent="0.2">
      <c r="E411" s="3">
        <v>410</v>
      </c>
    </row>
    <row r="412" spans="5:5" x14ac:dyDescent="0.2">
      <c r="E412" s="3">
        <v>411</v>
      </c>
    </row>
    <row r="413" spans="5:5" x14ac:dyDescent="0.2">
      <c r="E413" s="3">
        <v>412</v>
      </c>
    </row>
    <row r="414" spans="5:5" x14ac:dyDescent="0.2">
      <c r="E414" s="3">
        <v>413</v>
      </c>
    </row>
    <row r="415" spans="5:5" x14ac:dyDescent="0.2">
      <c r="E415" s="3">
        <v>414</v>
      </c>
    </row>
    <row r="416" spans="5:5" x14ac:dyDescent="0.2">
      <c r="E416" s="3">
        <v>415</v>
      </c>
    </row>
    <row r="417" spans="5:5" x14ac:dyDescent="0.2">
      <c r="E417" s="3">
        <v>416</v>
      </c>
    </row>
    <row r="418" spans="5:5" x14ac:dyDescent="0.2">
      <c r="E418" s="3">
        <v>417</v>
      </c>
    </row>
    <row r="419" spans="5:5" x14ac:dyDescent="0.2">
      <c r="E419" s="3">
        <v>418</v>
      </c>
    </row>
    <row r="420" spans="5:5" x14ac:dyDescent="0.2">
      <c r="E420" s="3">
        <v>419</v>
      </c>
    </row>
    <row r="421" spans="5:5" x14ac:dyDescent="0.2">
      <c r="E421" s="3">
        <v>420</v>
      </c>
    </row>
    <row r="422" spans="5:5" x14ac:dyDescent="0.2">
      <c r="E422" s="3">
        <v>421</v>
      </c>
    </row>
    <row r="423" spans="5:5" x14ac:dyDescent="0.2">
      <c r="E423" s="3">
        <v>422</v>
      </c>
    </row>
    <row r="424" spans="5:5" x14ac:dyDescent="0.2">
      <c r="E424" s="3">
        <v>423</v>
      </c>
    </row>
    <row r="425" spans="5:5" x14ac:dyDescent="0.2">
      <c r="E425" s="3">
        <v>424</v>
      </c>
    </row>
    <row r="426" spans="5:5" x14ac:dyDescent="0.2">
      <c r="E426" s="3">
        <v>425</v>
      </c>
    </row>
    <row r="427" spans="5:5" x14ac:dyDescent="0.2">
      <c r="E427" s="3">
        <v>426</v>
      </c>
    </row>
    <row r="428" spans="5:5" x14ac:dyDescent="0.2">
      <c r="E428" s="3">
        <v>427</v>
      </c>
    </row>
    <row r="429" spans="5:5" x14ac:dyDescent="0.2">
      <c r="E429" s="3">
        <v>428</v>
      </c>
    </row>
    <row r="430" spans="5:5" x14ac:dyDescent="0.2">
      <c r="E430" s="3">
        <v>429</v>
      </c>
    </row>
    <row r="431" spans="5:5" x14ac:dyDescent="0.2">
      <c r="E431" s="3">
        <v>430</v>
      </c>
    </row>
    <row r="432" spans="5:5" x14ac:dyDescent="0.2">
      <c r="E432" s="3">
        <v>431</v>
      </c>
    </row>
    <row r="433" spans="5:5" x14ac:dyDescent="0.2">
      <c r="E433" s="3">
        <v>432</v>
      </c>
    </row>
    <row r="434" spans="5:5" x14ac:dyDescent="0.2">
      <c r="E434" s="3">
        <v>433</v>
      </c>
    </row>
    <row r="435" spans="5:5" x14ac:dyDescent="0.2">
      <c r="E435" s="3">
        <v>434</v>
      </c>
    </row>
    <row r="436" spans="5:5" x14ac:dyDescent="0.2">
      <c r="E436" s="3">
        <v>435</v>
      </c>
    </row>
    <row r="437" spans="5:5" x14ac:dyDescent="0.2">
      <c r="E437" s="3">
        <v>436</v>
      </c>
    </row>
    <row r="438" spans="5:5" x14ac:dyDescent="0.2">
      <c r="E438" s="3">
        <v>437</v>
      </c>
    </row>
    <row r="439" spans="5:5" x14ac:dyDescent="0.2">
      <c r="E439" s="3">
        <v>438</v>
      </c>
    </row>
    <row r="440" spans="5:5" x14ac:dyDescent="0.2">
      <c r="E440" s="3">
        <v>439</v>
      </c>
    </row>
    <row r="441" spans="5:5" x14ac:dyDescent="0.2">
      <c r="E441" s="3">
        <v>440</v>
      </c>
    </row>
    <row r="442" spans="5:5" x14ac:dyDescent="0.2">
      <c r="E442" s="3">
        <v>441</v>
      </c>
    </row>
    <row r="443" spans="5:5" x14ac:dyDescent="0.2">
      <c r="E443" s="3">
        <v>442</v>
      </c>
    </row>
    <row r="444" spans="5:5" x14ac:dyDescent="0.2">
      <c r="E444" s="3">
        <v>443</v>
      </c>
    </row>
    <row r="445" spans="5:5" x14ac:dyDescent="0.2">
      <c r="E445" s="3">
        <v>444</v>
      </c>
    </row>
    <row r="446" spans="5:5" x14ac:dyDescent="0.2">
      <c r="E446" s="3">
        <v>445</v>
      </c>
    </row>
    <row r="447" spans="5:5" x14ac:dyDescent="0.2">
      <c r="E447" s="3">
        <v>446</v>
      </c>
    </row>
    <row r="448" spans="5:5" x14ac:dyDescent="0.2">
      <c r="E448" s="3">
        <v>447</v>
      </c>
    </row>
    <row r="449" spans="5:5" x14ac:dyDescent="0.2">
      <c r="E449" s="3">
        <v>448</v>
      </c>
    </row>
    <row r="450" spans="5:5" x14ac:dyDescent="0.2">
      <c r="E450" s="3">
        <v>449</v>
      </c>
    </row>
    <row r="451" spans="5:5" x14ac:dyDescent="0.2">
      <c r="E451" s="3">
        <v>450</v>
      </c>
    </row>
    <row r="452" spans="5:5" x14ac:dyDescent="0.2">
      <c r="E452" s="3">
        <v>451</v>
      </c>
    </row>
    <row r="453" spans="5:5" x14ac:dyDescent="0.2">
      <c r="E453" s="3">
        <v>452</v>
      </c>
    </row>
    <row r="454" spans="5:5" x14ac:dyDescent="0.2">
      <c r="E454" s="3">
        <v>453</v>
      </c>
    </row>
    <row r="455" spans="5:5" x14ac:dyDescent="0.2">
      <c r="E455" s="3">
        <v>454</v>
      </c>
    </row>
    <row r="456" spans="5:5" x14ac:dyDescent="0.2">
      <c r="E456" s="3">
        <v>455</v>
      </c>
    </row>
    <row r="457" spans="5:5" x14ac:dyDescent="0.2">
      <c r="E457" s="3">
        <v>456</v>
      </c>
    </row>
    <row r="458" spans="5:5" x14ac:dyDescent="0.2">
      <c r="E458" s="3">
        <v>457</v>
      </c>
    </row>
    <row r="459" spans="5:5" x14ac:dyDescent="0.2">
      <c r="E459" s="3">
        <v>458</v>
      </c>
    </row>
    <row r="460" spans="5:5" x14ac:dyDescent="0.2">
      <c r="E460" s="3">
        <v>459</v>
      </c>
    </row>
    <row r="461" spans="5:5" x14ac:dyDescent="0.2">
      <c r="E461" s="3">
        <v>460</v>
      </c>
    </row>
    <row r="462" spans="5:5" x14ac:dyDescent="0.2">
      <c r="E462" s="3">
        <v>461</v>
      </c>
    </row>
    <row r="463" spans="5:5" x14ac:dyDescent="0.2">
      <c r="E463" s="3">
        <v>462</v>
      </c>
    </row>
    <row r="464" spans="5:5" x14ac:dyDescent="0.2">
      <c r="E464" s="3">
        <v>463</v>
      </c>
    </row>
    <row r="465" spans="5:5" x14ac:dyDescent="0.2">
      <c r="E465" s="3">
        <v>464</v>
      </c>
    </row>
    <row r="466" spans="5:5" x14ac:dyDescent="0.2">
      <c r="E466" s="3">
        <v>465</v>
      </c>
    </row>
    <row r="467" spans="5:5" x14ac:dyDescent="0.2">
      <c r="E467" s="3">
        <v>466</v>
      </c>
    </row>
    <row r="468" spans="5:5" x14ac:dyDescent="0.2">
      <c r="E468" s="3">
        <v>467</v>
      </c>
    </row>
    <row r="469" spans="5:5" x14ac:dyDescent="0.2">
      <c r="E469" s="3">
        <v>468</v>
      </c>
    </row>
    <row r="470" spans="5:5" x14ac:dyDescent="0.2">
      <c r="E470" s="3">
        <v>469</v>
      </c>
    </row>
    <row r="471" spans="5:5" x14ac:dyDescent="0.2">
      <c r="E471" s="3">
        <v>470</v>
      </c>
    </row>
    <row r="472" spans="5:5" x14ac:dyDescent="0.2">
      <c r="E472" s="3">
        <v>471</v>
      </c>
    </row>
    <row r="473" spans="5:5" x14ac:dyDescent="0.2">
      <c r="E473" s="3">
        <v>472</v>
      </c>
    </row>
    <row r="474" spans="5:5" x14ac:dyDescent="0.2">
      <c r="E474" s="3">
        <v>473</v>
      </c>
    </row>
    <row r="475" spans="5:5" x14ac:dyDescent="0.2">
      <c r="E475" s="3">
        <v>474</v>
      </c>
    </row>
    <row r="476" spans="5:5" x14ac:dyDescent="0.2">
      <c r="E476" s="3">
        <v>475</v>
      </c>
    </row>
    <row r="477" spans="5:5" x14ac:dyDescent="0.2">
      <c r="E477" s="3">
        <v>476</v>
      </c>
    </row>
    <row r="478" spans="5:5" x14ac:dyDescent="0.2">
      <c r="E478" s="3">
        <v>477</v>
      </c>
    </row>
    <row r="479" spans="5:5" x14ac:dyDescent="0.2">
      <c r="E479" s="3">
        <v>478</v>
      </c>
    </row>
    <row r="480" spans="5:5" x14ac:dyDescent="0.2">
      <c r="E480" s="3">
        <v>479</v>
      </c>
    </row>
    <row r="481" spans="5:5" x14ac:dyDescent="0.2">
      <c r="E481" s="3">
        <v>480</v>
      </c>
    </row>
    <row r="482" spans="5:5" x14ac:dyDescent="0.2">
      <c r="E482" s="3">
        <v>481</v>
      </c>
    </row>
    <row r="483" spans="5:5" x14ac:dyDescent="0.2">
      <c r="E483" s="3">
        <v>482</v>
      </c>
    </row>
    <row r="484" spans="5:5" x14ac:dyDescent="0.2">
      <c r="E484" s="3">
        <v>483</v>
      </c>
    </row>
    <row r="485" spans="5:5" x14ac:dyDescent="0.2">
      <c r="E485" s="3">
        <v>484</v>
      </c>
    </row>
    <row r="486" spans="5:5" x14ac:dyDescent="0.2">
      <c r="E486" s="3">
        <v>485</v>
      </c>
    </row>
    <row r="487" spans="5:5" x14ac:dyDescent="0.2">
      <c r="E487" s="3">
        <v>486</v>
      </c>
    </row>
    <row r="488" spans="5:5" x14ac:dyDescent="0.2">
      <c r="E488" s="3">
        <v>487</v>
      </c>
    </row>
    <row r="489" spans="5:5" x14ac:dyDescent="0.2">
      <c r="E489" s="3">
        <v>488</v>
      </c>
    </row>
    <row r="490" spans="5:5" x14ac:dyDescent="0.2">
      <c r="E490" s="3">
        <v>489</v>
      </c>
    </row>
    <row r="491" spans="5:5" x14ac:dyDescent="0.2">
      <c r="E491" s="3">
        <v>490</v>
      </c>
    </row>
    <row r="492" spans="5:5" x14ac:dyDescent="0.2">
      <c r="E492" s="3">
        <v>491</v>
      </c>
    </row>
    <row r="493" spans="5:5" x14ac:dyDescent="0.2">
      <c r="E493" s="3">
        <v>492</v>
      </c>
    </row>
    <row r="494" spans="5:5" x14ac:dyDescent="0.2">
      <c r="E494" s="3">
        <v>493</v>
      </c>
    </row>
    <row r="495" spans="5:5" x14ac:dyDescent="0.2">
      <c r="E495" s="3">
        <v>494</v>
      </c>
    </row>
    <row r="496" spans="5:5" x14ac:dyDescent="0.2">
      <c r="E496" s="3">
        <v>495</v>
      </c>
    </row>
    <row r="497" spans="5:5" x14ac:dyDescent="0.2">
      <c r="E497" s="3">
        <v>496</v>
      </c>
    </row>
    <row r="498" spans="5:5" x14ac:dyDescent="0.2">
      <c r="E498" s="3">
        <v>497</v>
      </c>
    </row>
    <row r="499" spans="5:5" x14ac:dyDescent="0.2">
      <c r="E499" s="3">
        <v>498</v>
      </c>
    </row>
    <row r="500" spans="5:5" x14ac:dyDescent="0.2">
      <c r="E500" s="3">
        <v>499</v>
      </c>
    </row>
    <row r="501" spans="5:5" x14ac:dyDescent="0.2">
      <c r="E501" s="3">
        <v>500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DASH</vt:lpstr>
      <vt:lpstr>RESERVAS</vt:lpstr>
      <vt:lpstr>COBRANZA</vt:lpstr>
      <vt:lpstr>PAGOS</vt:lpstr>
      <vt:lpstr>GRUPOS</vt:lpstr>
      <vt:lpstr>BBDD</vt:lpstr>
      <vt:lpstr>CHECK-IN</vt:lpstr>
      <vt:lpstr>EJEMPLO JIP</vt:lpstr>
      <vt:lpstr>PRICING</vt:lpstr>
      <vt:lpstr>precio</vt:lpstr>
      <vt:lpstr>Mantenedor</vt:lpstr>
      <vt:lpstr>AnclaPasajeros</vt:lpstr>
      <vt:lpstr>ListaVacia</vt:lpstr>
      <vt:lpstr>tblBBDD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Icaza</dc:creator>
  <cp:lastModifiedBy>Javier Icaza</cp:lastModifiedBy>
  <dcterms:created xsi:type="dcterms:W3CDTF">2025-09-29T16:19:36Z</dcterms:created>
  <dcterms:modified xsi:type="dcterms:W3CDTF">2025-10-14T19:25:25Z</dcterms:modified>
</cp:coreProperties>
</file>