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jave/Downloads/"/>
    </mc:Choice>
  </mc:AlternateContent>
  <xr:revisionPtr revIDLastSave="0" documentId="13_ncr:1_{E71C61C3-B552-5E4F-B95D-30F574B18513}" xr6:coauthVersionLast="46" xr6:coauthVersionMax="46" xr10:uidLastSave="{00000000-0000-0000-0000-000000000000}"/>
  <bookViews>
    <workbookView xWindow="9400" yWindow="4400" windowWidth="23260" windowHeight="12580" xr2:uid="{19F98319-5291-42C7-84FC-3AC65CF569AA}"/>
  </bookViews>
  <sheets>
    <sheet name="Model" sheetId="2" r:id="rId1"/>
    <sheet name="Data" sheetId="1" r:id="rId2"/>
    <sheet name="Backe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R37" i="3"/>
  <c r="Q36" i="3"/>
  <c r="R36" i="3" s="1"/>
  <c r="Q35" i="3"/>
  <c r="R35" i="3" s="1"/>
  <c r="Q34" i="3"/>
  <c r="R34" i="3" s="1"/>
  <c r="Q33" i="3"/>
  <c r="R33" i="3" s="1"/>
  <c r="Q32" i="3"/>
  <c r="R32" i="3" s="1"/>
  <c r="Q31" i="3"/>
  <c r="R31" i="3" s="1"/>
  <c r="Q30" i="3"/>
  <c r="R30" i="3" s="1"/>
  <c r="Q29" i="3"/>
  <c r="R29" i="3" s="1"/>
  <c r="Q28" i="3"/>
  <c r="R28" i="3" s="1"/>
  <c r="Q27" i="3"/>
  <c r="R27" i="3" s="1"/>
  <c r="G6" i="2"/>
  <c r="O37" i="3"/>
  <c r="O36" i="3"/>
  <c r="O35" i="3"/>
  <c r="O34" i="3"/>
  <c r="O33" i="3"/>
  <c r="O32" i="3"/>
  <c r="O31" i="3"/>
  <c r="O30" i="3"/>
  <c r="O29" i="3"/>
  <c r="O28" i="3"/>
  <c r="O27" i="3"/>
  <c r="N37" i="3"/>
  <c r="N36" i="3"/>
  <c r="N35" i="3"/>
  <c r="N34" i="3"/>
  <c r="N33" i="3"/>
  <c r="N32" i="3"/>
  <c r="N31" i="3"/>
  <c r="N30" i="3"/>
  <c r="N29" i="3"/>
  <c r="N28" i="3"/>
  <c r="N27" i="3"/>
  <c r="L27" i="3"/>
  <c r="L28" i="3" s="1"/>
  <c r="L29" i="3" s="1"/>
  <c r="L30" i="3" s="1"/>
  <c r="L31" i="3" s="1"/>
  <c r="L32" i="3" s="1"/>
  <c r="L33" i="3" s="1"/>
  <c r="L34" i="3" s="1"/>
  <c r="L35" i="3" s="1"/>
  <c r="L36" i="3" s="1"/>
  <c r="F54" i="3"/>
  <c r="F53" i="3"/>
  <c r="F52" i="3"/>
  <c r="F51" i="3"/>
  <c r="F50" i="3"/>
  <c r="F49" i="3"/>
  <c r="F48" i="3"/>
  <c r="F47" i="3"/>
  <c r="F46" i="3"/>
  <c r="F45" i="3"/>
  <c r="E45" i="3"/>
  <c r="E46" i="3" s="1"/>
  <c r="E47" i="3" s="1"/>
  <c r="E48" i="3" s="1"/>
  <c r="E49" i="3" s="1"/>
  <c r="E50" i="3" s="1"/>
  <c r="E51" i="3" s="1"/>
  <c r="E52" i="3" s="1"/>
  <c r="E53" i="3" s="1"/>
  <c r="E54" i="3" s="1"/>
  <c r="F44" i="3"/>
  <c r="I43" i="3"/>
  <c r="H43" i="3"/>
  <c r="G43" i="3"/>
  <c r="F43" i="3"/>
  <c r="D50" i="2"/>
  <c r="D48" i="2"/>
  <c r="D46" i="2"/>
  <c r="D44" i="2"/>
  <c r="D42" i="2"/>
  <c r="D40" i="2"/>
  <c r="D38" i="2"/>
  <c r="D36" i="2"/>
  <c r="D34" i="2"/>
  <c r="D32" i="2"/>
  <c r="D30" i="2"/>
  <c r="E29" i="3"/>
  <c r="E30" i="3" s="1"/>
  <c r="E28" i="3"/>
  <c r="L13" i="3"/>
  <c r="K13" i="3"/>
  <c r="J13" i="3"/>
  <c r="I13" i="3"/>
  <c r="H13" i="3"/>
  <c r="G13" i="3"/>
  <c r="F13" i="3"/>
  <c r="E13" i="3"/>
  <c r="D13" i="3"/>
  <c r="C13" i="3"/>
  <c r="B13" i="3"/>
  <c r="C32" i="2"/>
  <c r="C34" i="2" s="1"/>
  <c r="C36" i="2" s="1"/>
  <c r="C38" i="2" s="1"/>
  <c r="C40" i="2" s="1"/>
  <c r="C42" i="2" s="1"/>
  <c r="C44" i="2" s="1"/>
  <c r="C46" i="2" s="1"/>
  <c r="C48" i="2" s="1"/>
  <c r="C50" i="2" s="1"/>
  <c r="D17" i="2"/>
  <c r="E14" i="3"/>
  <c r="C18" i="2"/>
  <c r="C19" i="2" s="1"/>
  <c r="C20" i="2" s="1"/>
  <c r="C21" i="2" s="1"/>
  <c r="C22" i="2" s="1"/>
  <c r="C23" i="2" s="1"/>
  <c r="C24" i="2" s="1"/>
  <c r="C25" i="2" s="1"/>
  <c r="C26" i="2" s="1"/>
  <c r="C27" i="2" s="1"/>
  <c r="D27" i="2" s="1"/>
  <c r="N9" i="2"/>
  <c r="N10" i="2"/>
  <c r="M10" i="2"/>
  <c r="L10" i="2"/>
  <c r="K10" i="2"/>
  <c r="J10" i="2"/>
  <c r="I10" i="2"/>
  <c r="H10" i="2"/>
  <c r="G10" i="2"/>
  <c r="F10" i="2"/>
  <c r="E10" i="2"/>
  <c r="D10" i="2"/>
  <c r="B12" i="3"/>
  <c r="M9" i="2"/>
  <c r="L9" i="2"/>
  <c r="K9" i="2"/>
  <c r="J9" i="2"/>
  <c r="I9" i="2"/>
  <c r="H9" i="2"/>
  <c r="G9" i="2"/>
  <c r="F9" i="2"/>
  <c r="E9" i="2"/>
  <c r="D9" i="2"/>
  <c r="E8" i="2"/>
  <c r="F8" i="2" s="1"/>
  <c r="G8" i="2" s="1"/>
  <c r="H8" i="2" s="1"/>
  <c r="I8" i="2" s="1"/>
  <c r="J8" i="2" s="1"/>
  <c r="K8" i="2" s="1"/>
  <c r="L8" i="2" s="1"/>
  <c r="M8" i="2" s="1"/>
  <c r="N8" i="2" s="1"/>
  <c r="M6" i="2" l="1"/>
  <c r="M16" i="3"/>
  <c r="E16" i="3" s="1"/>
  <c r="M17" i="3"/>
  <c r="E17" i="3" s="1"/>
  <c r="D12" i="2"/>
  <c r="D13" i="2" s="1"/>
  <c r="L12" i="2"/>
  <c r="L13" i="2" s="1"/>
  <c r="E31" i="3"/>
  <c r="L22" i="3"/>
  <c r="D29" i="2" s="1"/>
  <c r="H19" i="3"/>
  <c r="E29" i="2" s="1"/>
  <c r="I19" i="3"/>
  <c r="F29" i="2" s="1"/>
  <c r="E12" i="2"/>
  <c r="E13" i="2" s="1"/>
  <c r="F12" i="2"/>
  <c r="F13" i="2" s="1"/>
  <c r="G12" i="2"/>
  <c r="G13" i="2" s="1"/>
  <c r="H12" i="2"/>
  <c r="H13" i="2" s="1"/>
  <c r="D20" i="2"/>
  <c r="D21" i="2"/>
  <c r="J12" i="2"/>
  <c r="J13" i="2" s="1"/>
  <c r="D22" i="2"/>
  <c r="D23" i="2"/>
  <c r="D24" i="2"/>
  <c r="D25" i="2"/>
  <c r="K12" i="2"/>
  <c r="K13" i="2" s="1"/>
  <c r="D18" i="2"/>
  <c r="E18" i="2" s="1"/>
  <c r="D26" i="2"/>
  <c r="D19" i="2"/>
  <c r="M12" i="2"/>
  <c r="M13" i="2" s="1"/>
  <c r="I12" i="2"/>
  <c r="I13" i="2" s="1"/>
  <c r="N12" i="2"/>
  <c r="N13" i="2" s="1"/>
  <c r="D6" i="2" s="1"/>
  <c r="D93" i="1"/>
  <c r="E42" i="2" l="1"/>
  <c r="E43" i="2" s="1"/>
  <c r="E40" i="2"/>
  <c r="E41" i="2" s="1"/>
  <c r="E38" i="2"/>
  <c r="E39" i="2" s="1"/>
  <c r="E48" i="2"/>
  <c r="E49" i="2" s="1"/>
  <c r="E46" i="2"/>
  <c r="E47" i="2" s="1"/>
  <c r="E36" i="2"/>
  <c r="E32" i="2"/>
  <c r="E33" i="2" s="1"/>
  <c r="E50" i="2"/>
  <c r="E51" i="2" s="1"/>
  <c r="E34" i="2"/>
  <c r="E35" i="2" s="1"/>
  <c r="E44" i="2"/>
  <c r="E45" i="2" s="1"/>
  <c r="F38" i="2"/>
  <c r="F39" i="2" s="1"/>
  <c r="F36" i="2"/>
  <c r="F37" i="2" s="1"/>
  <c r="F50" i="2"/>
  <c r="F51" i="2" s="1"/>
  <c r="F34" i="2"/>
  <c r="F35" i="2" s="1"/>
  <c r="F48" i="2"/>
  <c r="F49" i="2" s="1"/>
  <c r="F32" i="2"/>
  <c r="F33" i="2" s="1"/>
  <c r="F44" i="2"/>
  <c r="F45" i="2" s="1"/>
  <c r="F42" i="2"/>
  <c r="F43" i="2" s="1"/>
  <c r="F46" i="2"/>
  <c r="F47" i="2" s="1"/>
  <c r="F40" i="2"/>
  <c r="F41" i="2" s="1"/>
  <c r="H54" i="3"/>
  <c r="H52" i="3"/>
  <c r="H53" i="3"/>
  <c r="G54" i="3"/>
  <c r="G52" i="3"/>
  <c r="G53" i="3"/>
  <c r="H44" i="3"/>
  <c r="G44" i="3"/>
  <c r="F30" i="2"/>
  <c r="F31" i="2" s="1"/>
  <c r="E30" i="2"/>
  <c r="E31" i="2" s="1"/>
  <c r="E37" i="2"/>
  <c r="E32" i="3"/>
  <c r="E22" i="2"/>
  <c r="F22" i="2" s="1"/>
  <c r="E24" i="2"/>
  <c r="F24" i="2" s="1"/>
  <c r="E23" i="2"/>
  <c r="F23" i="2" s="1"/>
  <c r="E19" i="2"/>
  <c r="F19" i="2" s="1"/>
  <c r="E26" i="2"/>
  <c r="F26" i="2" s="1"/>
  <c r="E21" i="2"/>
  <c r="F21" i="2" s="1"/>
  <c r="E20" i="2"/>
  <c r="F20" i="2" s="1"/>
  <c r="E25" i="2"/>
  <c r="F25" i="2" s="1"/>
  <c r="E27" i="2"/>
  <c r="F27" i="2" s="1"/>
  <c r="F18" i="2"/>
  <c r="G45" i="3" l="1"/>
  <c r="H45" i="3"/>
  <c r="E33" i="3"/>
  <c r="G21" i="2"/>
  <c r="G27" i="2"/>
  <c r="G22" i="2"/>
  <c r="G24" i="2"/>
  <c r="G20" i="2"/>
  <c r="G23" i="2"/>
  <c r="G19" i="2"/>
  <c r="G25" i="2"/>
  <c r="G26" i="2"/>
  <c r="H46" i="3" l="1"/>
  <c r="G46" i="3"/>
  <c r="E34" i="3"/>
  <c r="G47" i="3" l="1"/>
  <c r="H47" i="3"/>
  <c r="E35" i="3"/>
  <c r="G48" i="3" l="1"/>
  <c r="H48" i="3"/>
  <c r="E36" i="3"/>
  <c r="E37" i="3" s="1"/>
  <c r="G49" i="3" l="1"/>
  <c r="H49" i="3"/>
  <c r="G50" i="3" l="1"/>
  <c r="H50" i="3"/>
  <c r="G51" i="3" l="1"/>
  <c r="H51" i="3"/>
  <c r="J19" i="3"/>
  <c r="G29" i="2" s="1"/>
  <c r="M15" i="3"/>
  <c r="E15" i="3" s="1"/>
  <c r="I45" i="3" l="1"/>
  <c r="G50" i="2"/>
  <c r="G51" i="2" s="1"/>
  <c r="G40" i="2"/>
  <c r="G41" i="2" s="1"/>
  <c r="G44" i="2"/>
  <c r="G45" i="2" s="1"/>
  <c r="G42" i="2"/>
  <c r="G43" i="2" s="1"/>
  <c r="G48" i="2"/>
  <c r="G49" i="2" s="1"/>
  <c r="I52" i="3"/>
  <c r="I51" i="3"/>
  <c r="G30" i="2"/>
  <c r="G31" i="2" s="1"/>
  <c r="G32" i="2"/>
  <c r="G33" i="2" s="1"/>
  <c r="I50" i="3"/>
  <c r="I49" i="3"/>
  <c r="I44" i="3"/>
  <c r="G46" i="2"/>
  <c r="G47" i="2" s="1"/>
  <c r="G38" i="2"/>
  <c r="G39" i="2" s="1"/>
  <c r="G36" i="2"/>
  <c r="G37" i="2" s="1"/>
  <c r="I48" i="3"/>
  <c r="I54" i="3"/>
  <c r="I47" i="3"/>
  <c r="I53" i="3"/>
  <c r="G34" i="2"/>
  <c r="G35" i="2" s="1"/>
  <c r="I46" i="3"/>
</calcChain>
</file>

<file path=xl/sharedStrings.xml><?xml version="1.0" encoding="utf-8"?>
<sst xmlns="http://schemas.openxmlformats.org/spreadsheetml/2006/main" count="267" uniqueCount="30">
  <si>
    <t xml:space="preserve">Revenue </t>
  </si>
  <si>
    <t>Year</t>
  </si>
  <si>
    <t>Value</t>
  </si>
  <si>
    <t>Category</t>
  </si>
  <si>
    <t>Cities</t>
  </si>
  <si>
    <t>Event Attendees</t>
  </si>
  <si>
    <t>Events</t>
  </si>
  <si>
    <t>Actors</t>
  </si>
  <si>
    <t>Total Seats Available for Sale</t>
  </si>
  <si>
    <t>Venue costs</t>
  </si>
  <si>
    <t>Actor Compensation</t>
  </si>
  <si>
    <t>Fixed expense / overhead</t>
  </si>
  <si>
    <t>Cost</t>
  </si>
  <si>
    <t>Revenue</t>
  </si>
  <si>
    <t>venue cost</t>
  </si>
  <si>
    <t>actor compensation</t>
  </si>
  <si>
    <t>Fixed cost/overhead</t>
  </si>
  <si>
    <t>Net Income</t>
  </si>
  <si>
    <t>Profit/Loss Margin</t>
  </si>
  <si>
    <t>Revenue Contribution</t>
  </si>
  <si>
    <t>Increase over year(%)</t>
  </si>
  <si>
    <t>Growth Rate</t>
  </si>
  <si>
    <t>Cost Contribution</t>
  </si>
  <si>
    <t>others'</t>
  </si>
  <si>
    <t>Increase over year</t>
  </si>
  <si>
    <t>Margin</t>
  </si>
  <si>
    <t>Average increase in cost/yr</t>
  </si>
  <si>
    <t>Average increase in Revenue/yr</t>
  </si>
  <si>
    <t>Gap in Revenue and Cost Growth/yr</t>
  </si>
  <si>
    <t>FINANCIAL SUMMARY  '07 - 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</si>
</sst>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/>
    <xf numFmtId="0" fontId="1" fillId="0" borderId="1" xfId="0" applyFont="1" applyBorder="1"/>
    <xf numFmtId="3" fontId="1" fillId="0" borderId="1" xfId="0" applyNumberFormat="1" applyFont="1" applyBorder="1"/>
    <xf numFmtId="0" fontId="0" fillId="2" borderId="0" xfId="0" applyFill="1"/>
    <xf numFmtId="3" fontId="0" fillId="2" borderId="0" xfId="0" applyNumberFormat="1" applyFill="1"/>
    <xf numFmtId="44" fontId="0" fillId="2" borderId="0" xfId="2" applyFont="1" applyFill="1"/>
    <xf numFmtId="9" fontId="0" fillId="2" borderId="0" xfId="3" applyFont="1" applyFill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9" fontId="0" fillId="2" borderId="8" xfId="3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4" fontId="0" fillId="2" borderId="12" xfId="2" applyFont="1" applyFill="1" applyBorder="1"/>
    <xf numFmtId="44" fontId="0" fillId="2" borderId="13" xfId="2" applyFont="1" applyFill="1" applyBorder="1"/>
    <xf numFmtId="9" fontId="0" fillId="2" borderId="13" xfId="3" applyFont="1" applyFill="1" applyBorder="1"/>
    <xf numFmtId="44" fontId="0" fillId="2" borderId="2" xfId="0" applyNumberForma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0" fillId="2" borderId="13" xfId="0" applyFill="1" applyBorder="1"/>
    <xf numFmtId="0" fontId="0" fillId="2" borderId="0" xfId="0" applyFill="1" applyBorder="1"/>
    <xf numFmtId="0" fontId="1" fillId="2" borderId="1" xfId="0" applyFont="1" applyFill="1" applyBorder="1"/>
    <xf numFmtId="0" fontId="1" fillId="2" borderId="0" xfId="0" applyFont="1" applyFill="1"/>
    <xf numFmtId="3" fontId="1" fillId="2" borderId="1" xfId="0" applyNumberFormat="1" applyFont="1" applyFill="1" applyBorder="1"/>
    <xf numFmtId="3" fontId="1" fillId="2" borderId="0" xfId="0" applyNumberFormat="1" applyFont="1" applyFill="1"/>
    <xf numFmtId="9" fontId="0" fillId="2" borderId="0" xfId="0" applyNumberFormat="1" applyFill="1"/>
    <xf numFmtId="0" fontId="3" fillId="2" borderId="14" xfId="0" applyFont="1" applyFill="1" applyBorder="1" applyAlignment="1">
      <alignment horizontal="center"/>
    </xf>
    <xf numFmtId="0" fontId="0" fillId="2" borderId="15" xfId="0" applyFill="1" applyBorder="1"/>
    <xf numFmtId="9" fontId="0" fillId="2" borderId="15" xfId="3" applyFont="1" applyFill="1" applyBorder="1"/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3" fontId="0" fillId="2" borderId="16" xfId="1" applyFont="1" applyFill="1" applyBorder="1"/>
    <xf numFmtId="43" fontId="0" fillId="2" borderId="13" xfId="1" applyFont="1" applyFill="1" applyBorder="1"/>
    <xf numFmtId="0" fontId="0" fillId="2" borderId="16" xfId="0" applyFill="1" applyBorder="1"/>
    <xf numFmtId="9" fontId="0" fillId="2" borderId="16" xfId="3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3" fontId="0" fillId="2" borderId="15" xfId="0" applyNumberFormat="1" applyFill="1" applyBorder="1"/>
    <xf numFmtId="3" fontId="0" fillId="2" borderId="8" xfId="0" applyNumberFormat="1" applyFill="1" applyBorder="1"/>
    <xf numFmtId="44" fontId="0" fillId="2" borderId="16" xfId="2" applyFont="1" applyFill="1" applyBorder="1"/>
    <xf numFmtId="3" fontId="0" fillId="2" borderId="12" xfId="0" applyNumberFormat="1" applyFill="1" applyBorder="1"/>
    <xf numFmtId="3" fontId="0" fillId="2" borderId="16" xfId="0" applyNumberFormat="1" applyFill="1" applyBorder="1"/>
    <xf numFmtId="3" fontId="0" fillId="2" borderId="13" xfId="0" applyNumberFormat="1" applyFill="1" applyBorder="1"/>
    <xf numFmtId="0" fontId="3" fillId="3" borderId="12" xfId="0" applyFont="1" applyFill="1" applyBorder="1"/>
    <xf numFmtId="0" fontId="3" fillId="3" borderId="10" xfId="0" applyFont="1" applyFill="1" applyBorder="1" applyAlignment="1">
      <alignment horizontal="center"/>
    </xf>
    <xf numFmtId="3" fontId="0" fillId="2" borderId="17" xfId="0" applyNumberFormat="1" applyFill="1" applyBorder="1"/>
    <xf numFmtId="3" fontId="0" fillId="2" borderId="18" xfId="0" applyNumberFormat="1" applyFill="1" applyBorder="1"/>
    <xf numFmtId="0" fontId="3" fillId="2" borderId="12" xfId="0" applyFont="1" applyFill="1" applyBorder="1" applyAlignment="1">
      <alignment horizontal="center"/>
    </xf>
    <xf numFmtId="0" fontId="0" fillId="2" borderId="1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 applyBorder="1" applyAlignment="1">
      <alignment horizontal="center" vertical="center"/>
    </xf>
    <xf numFmtId="9" fontId="3" fillId="2" borderId="11" xfId="0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 vertical="center"/>
    </xf>
    <xf numFmtId="44" fontId="0" fillId="2" borderId="7" xfId="0" applyNumberFormat="1" applyFill="1" applyBorder="1"/>
    <xf numFmtId="9" fontId="3" fillId="2" borderId="11" xfId="2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/>
    <xf numFmtId="9" fontId="3" fillId="2" borderId="2" xfId="2" applyNumberFormat="1" applyFont="1" applyFill="1" applyBorder="1" applyAlignment="1">
      <alignment horizontal="center" vertical="center"/>
    </xf>
    <xf numFmtId="9" fontId="0" fillId="2" borderId="13" xfId="3" applyFont="1" applyFill="1" applyBorder="1" applyAlignment="1">
      <alignment horizontal="center"/>
    </xf>
    <xf numFmtId="44" fontId="0" fillId="2" borderId="12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2" borderId="3" xfId="2" applyFont="1" applyFill="1" applyBorder="1" applyAlignment="1">
      <alignment horizontal="center" vertical="center"/>
    </xf>
    <xf numFmtId="44" fontId="0" fillId="2" borderId="6" xfId="2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4" fontId="0" fillId="2" borderId="13" xfId="2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6"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  <dxf>
      <numFmt numFmtId="11" formatCode="&quot;$&quot;#,##0.00_);\(&quot;$&quot;#,##0.00\)"/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Revenue</a:t>
            </a:r>
            <a:r>
              <a:rPr lang="en-US" baseline="0"/>
              <a:t> vs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Model!$C$9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Model!$D$8:$N$8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Model!$D$9:$N$9</c:f>
              <c:numCache>
                <c:formatCode>_("$"* #,##0.00_);_("$"* \(#,##0.00\);_("$"* "-"??_);_(@_)</c:formatCode>
                <c:ptCount val="11"/>
                <c:pt idx="0">
                  <c:v>50000000</c:v>
                </c:pt>
                <c:pt idx="1">
                  <c:v>60000000</c:v>
                </c:pt>
                <c:pt idx="2">
                  <c:v>75000000</c:v>
                </c:pt>
                <c:pt idx="3">
                  <c:v>97500000</c:v>
                </c:pt>
                <c:pt idx="4">
                  <c:v>136500000</c:v>
                </c:pt>
                <c:pt idx="5">
                  <c:v>177450000</c:v>
                </c:pt>
                <c:pt idx="6">
                  <c:v>212940000</c:v>
                </c:pt>
                <c:pt idx="7">
                  <c:v>234234000.00000003</c:v>
                </c:pt>
                <c:pt idx="8">
                  <c:v>222522300.00000003</c:v>
                </c:pt>
                <c:pt idx="9">
                  <c:v>200270070.00000003</c:v>
                </c:pt>
                <c:pt idx="10">
                  <c:v>180243063.00000003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B-4EBA-8752-4088772465E7}"/>
            </c:ext>
          </c:extLst>
        </c:ser>
        <c:ser>
          <c:idx val="1"/>
          <c:order val="1"/>
          <c:tx>
            <c:strRef>
              <c:f>Model!$C$10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Model!$D$8:$N$8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Model!$D$10:$N$10</c:f>
              <c:numCache>
                <c:formatCode>_("$"* #,##0.00_);_("$"* \(#,##0.00\);_("$"* "-"??_);_(@_)</c:formatCode>
                <c:ptCount val="11"/>
                <c:pt idx="0">
                  <c:v>42125000</c:v>
                </c:pt>
                <c:pt idx="1">
                  <c:v>51100000</c:v>
                </c:pt>
                <c:pt idx="2">
                  <c:v>65717500</c:v>
                </c:pt>
                <c:pt idx="3">
                  <c:v>87710565</c:v>
                </c:pt>
                <c:pt idx="4">
                  <c:v>127008543.75</c:v>
                </c:pt>
                <c:pt idx="5">
                  <c:v>174721470.9375</c:v>
                </c:pt>
                <c:pt idx="6">
                  <c:v>224820704.484375</c:v>
                </c:pt>
                <c:pt idx="7">
                  <c:v>270007102.95859373</c:v>
                </c:pt>
                <c:pt idx="8">
                  <c:v>284813888.10652345</c:v>
                </c:pt>
                <c:pt idx="9">
                  <c:v>288730712.51184958</c:v>
                </c:pt>
                <c:pt idx="10">
                  <c:v>261736552.38744208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B-4EBA-8752-408877246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935216"/>
        <c:axId val="48998464"/>
      </c:lineChart>
      <c:catAx>
        <c:axId val="1339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8464"/>
        <c:crosses val="autoZero"/>
        <c:auto val="1"/>
        <c:lblAlgn val="ctr"/>
        <c:lblOffset val="100"/>
        <c:noMultiLvlLbl val="0"/>
      </c:catAx>
      <c:valAx>
        <c:axId val="489984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Model!$D$16</c:f>
              <c:strCache>
                <c:ptCount val="1"/>
                <c:pt idx="0">
                  <c:v>Venue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Model!$C$17:$C$27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Model!$D$17:$D$27</c:f>
              <c:numCache>
                <c:formatCode>_(* #,##0.00_);_(* \(#,##0.00\);_(* "-"??_);_(@_)</c:formatCode>
                <c:ptCount val="11"/>
                <c:pt idx="0">
                  <c:v>34375000</c:v>
                </c:pt>
                <c:pt idx="1">
                  <c:v>41250000</c:v>
                </c:pt>
                <c:pt idx="2">
                  <c:v>55000000</c:v>
                </c:pt>
                <c:pt idx="3">
                  <c:v>76607190</c:v>
                </c:pt>
                <c:pt idx="4">
                  <c:v>115500000</c:v>
                </c:pt>
                <c:pt idx="5">
                  <c:v>162662500</c:v>
                </c:pt>
                <c:pt idx="6">
                  <c:v>212940035</c:v>
                </c:pt>
                <c:pt idx="7">
                  <c:v>257657400</c:v>
                </c:pt>
                <c:pt idx="8">
                  <c:v>271971700</c:v>
                </c:pt>
                <c:pt idx="9">
                  <c:v>275371415</c:v>
                </c:pt>
                <c:pt idx="10">
                  <c:v>247834290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F-4A29-8BA8-3112A3EF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8032"/>
        <c:axId val="51490720"/>
      </c:barChart>
      <c:catAx>
        <c:axId val="552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720"/>
        <c:crosses val="autoZero"/>
        <c:auto val="1"/>
        <c:lblAlgn val="ctr"/>
        <c:lblOffset val="100"/>
        <c:noMultiLvlLbl val="0"/>
      </c:catAx>
      <c:valAx>
        <c:axId val="514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Model!$F$16</c:f>
              <c:strCache>
                <c:ptCount val="1"/>
                <c:pt idx="0">
                  <c:v>Increase over year(%)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2A-461A-8FDF-7D09F7A0C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02A-461A-8FDF-7D09F7A0C4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2A-461A-8FDF-7D09F7A0C4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02A-461A-8FDF-7D09F7A0C4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2A-461A-8FDF-7D09F7A0C4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02A-461A-8FDF-7D09F7A0C4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2A-461A-8FDF-7D09F7A0C4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02A-461A-8FDF-7D09F7A0C4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2A-461A-8FDF-7D09F7A0C4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02A-461A-8FDF-7D09F7A0C4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2A-461A-8FDF-7D09F7A0C49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2A-461A-8FDF-7D09F7A0C49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02A-461A-8FDF-7D09F7A0C49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02A-461A-8FDF-7D09F7A0C49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02A-461A-8FDF-7D09F7A0C49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02A-461A-8FDF-7D09F7A0C49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02A-461A-8FDF-7D09F7A0C49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02A-461A-8FDF-7D09F7A0C49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A02A-461A-8FDF-7D09F7A0C49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02A-461A-8FDF-7D09F7A0C49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A02A-461A-8FDF-7D09F7A0C49A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A02A-461A-8FDF-7D09F7A0C49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Model!$C$17:$C$27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Model!$F$17:$F$27</c:f>
              <c:numCache>
                <c:formatCode>0%</c:formatCode>
                <c:ptCount val="11"/>
                <c:pt idx="1">
                  <c:v>0.2</c:v>
                </c:pt>
                <c:pt idx="2">
                  <c:v>0.33333333333333331</c:v>
                </c:pt>
                <c:pt idx="3">
                  <c:v>0.39285799999999998</c:v>
                </c:pt>
                <c:pt idx="4">
                  <c:v>0.50769137988222779</c:v>
                </c:pt>
                <c:pt idx="5">
                  <c:v>0.40833333333333333</c:v>
                </c:pt>
                <c:pt idx="6">
                  <c:v>0.30909112426035501</c:v>
                </c:pt>
                <c:pt idx="7">
                  <c:v>0.20999980111771843</c:v>
                </c:pt>
                <c:pt idx="8">
                  <c:v>5.5555555555555552E-2</c:v>
                </c:pt>
                <c:pt idx="9">
                  <c:v>1.2500252783653593E-2</c:v>
                </c:pt>
                <c:pt idx="10">
                  <c:v>-9.9999940080926705E-2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A-461A-8FDF-7D09F7A0C49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Profit/Loss</a:t>
            </a:r>
            <a:r>
              <a:rPr lang="en-US" baseline="0"/>
              <a:t> Margin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Model!$D$8:$N$8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Model!$D$13:$N$13</c:f>
              <c:numCache>
                <c:formatCode>0%</c:formatCode>
                <c:ptCount val="11"/>
                <c:pt idx="0">
                  <c:v>0.1575</c:v>
                </c:pt>
                <c:pt idx="1">
                  <c:v>0.14833333333333334</c:v>
                </c:pt>
                <c:pt idx="2">
                  <c:v>0.12376666666666666</c:v>
                </c:pt>
                <c:pt idx="3">
                  <c:v>0.10040446153846154</c:v>
                </c:pt>
                <c:pt idx="4">
                  <c:v>6.9534478021978027E-2</c:v>
                </c:pt>
                <c:pt idx="5">
                  <c:v>1.5376326077768385E-2</c:v>
                </c:pt>
                <c:pt idx="6">
                  <c:v>-5.5793671852986754E-2</c:v>
                </c:pt>
                <c:pt idx="7">
                  <c:v>-0.15272378458547303</c:v>
                </c:pt>
                <c:pt idx="8">
                  <c:v>-0.27993413741689449</c:v>
                </c:pt>
                <c:pt idx="9">
                  <c:v>-0.44170675384419417</c:v>
                </c:pt>
                <c:pt idx="10">
                  <c:v>-0.45213107251424173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7-47BD-A5C0-A6471A8A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83728"/>
        <c:axId val="212285376"/>
      </c:lineChart>
      <c:catAx>
        <c:axId val="2161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5376"/>
        <c:crosses val="autoZero"/>
        <c:auto val="1"/>
        <c:lblAlgn val="ctr"/>
        <c:lblOffset val="100"/>
        <c:noMultiLvlLbl val="0"/>
      </c:catAx>
      <c:valAx>
        <c:axId val="212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142876</xdr:colOff>
      <xdr:row>14</xdr:row>
      <xdr:rowOff>171449</xdr:rowOff>
    </xdr:from>
    <xdr:to>
      <xdr:col>15</xdr:col>
      <xdr:colOff>333375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1C579-C680-419F-992E-A4D0746AD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27</xdr:row>
      <xdr:rowOff>142875</xdr:rowOff>
    </xdr:from>
    <xdr:to>
      <xdr:col>10</xdr:col>
      <xdr:colOff>704850</xdr:colOff>
      <xdr:row>42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D9F20-E684-4888-AB49-A9F0D4D1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914400</xdr:colOff>
      <xdr:row>27</xdr:row>
      <xdr:rowOff>147638</xdr:rowOff>
    </xdr:from>
    <xdr:to>
      <xdr:col>15</xdr:col>
      <xdr:colOff>361950</xdr:colOff>
      <xdr:row>42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B383D-36F9-4D27-A149-0B3401F8A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57149</xdr:colOff>
      <xdr:row>43</xdr:row>
      <xdr:rowOff>9525</xdr:rowOff>
    </xdr:from>
    <xdr:to>
      <xdr:col>15</xdr:col>
      <xdr:colOff>381000</xdr:colOff>
      <xdr:row>50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B6CD38-21A6-4453-90BE-251104FB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1270000</xdr:colOff>
      <xdr:row>5</xdr:row>
      <xdr:rowOff>28576</xdr:rowOff>
    </xdr:from>
    <xdr:to>
      <xdr:col>3</xdr:col>
      <xdr:colOff>1431925</xdr:colOff>
      <xdr:row>5</xdr:row>
      <xdr:rowOff>180976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C520685C-A2E9-4A78-9944-C38BADA0CFF0}"/>
            </a:ext>
          </a:extLst>
        </xdr:cNvPr>
        <xdr:cNvSpPr/>
      </xdr:nvSpPr>
      <xdr:spPr>
        <a:xfrm>
          <a:off x="4159250" y="1076326"/>
          <a:ext cx="161925" cy="1524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739F-1007-4149-888B-44F340541686}">
  <dimension ref="B1:P52"/>
  <sheetViews>
    <sheetView tabSelected="1" zoomScale="80" zoomScaleNormal="80" workbookViewId="0">
      <selection activeCell="D32" sqref="D32:D33"/>
    </sheetView>
  </sheetViews>
  <sheetFormatPr baseColWidth="10" defaultColWidth="8.83203125" defaultRowHeight="15" x14ac:dyDescent="0.2"/>
  <cols>
    <col min="1" max="2" width="8.83203125" style="6"/>
    <col min="3" max="3" width="20.5" style="6" bestFit="1" customWidth="1"/>
    <col min="4" max="4" width="26.1640625" style="6" bestFit="1" customWidth="1"/>
    <col min="5" max="5" width="26" style="6" bestFit="1" customWidth="1"/>
    <col min="6" max="6" width="24.5" style="6" bestFit="1" customWidth="1"/>
    <col min="7" max="7" width="20.1640625" style="6" bestFit="1" customWidth="1"/>
    <col min="8" max="8" width="32.5" style="6" bestFit="1" customWidth="1"/>
    <col min="9" max="9" width="29" style="6" bestFit="1" customWidth="1"/>
    <col min="10" max="10" width="17.1640625" style="6" bestFit="1" customWidth="1"/>
    <col min="11" max="11" width="29" style="6" bestFit="1" customWidth="1"/>
    <col min="12" max="12" width="32.5" style="6" bestFit="1" customWidth="1"/>
    <col min="13" max="14" width="16.5" style="6" bestFit="1" customWidth="1"/>
    <col min="15" max="16384" width="8.83203125" style="6"/>
  </cols>
  <sheetData>
    <row r="1" spans="2:16" ht="16" thickBot="1" x14ac:dyDescent="0.25"/>
    <row r="2" spans="2:16" ht="16" thickBot="1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</row>
    <row r="3" spans="2:16" x14ac:dyDescent="0.2">
      <c r="B3" s="55"/>
      <c r="C3" s="24"/>
      <c r="D3" s="24"/>
      <c r="E3" s="24"/>
      <c r="F3" s="72" t="s">
        <v>29</v>
      </c>
      <c r="G3" s="73"/>
      <c r="H3" s="73"/>
      <c r="I3" s="73"/>
      <c r="J3" s="74"/>
      <c r="K3" s="24"/>
      <c r="L3" s="24"/>
      <c r="M3" s="24"/>
      <c r="N3" s="24"/>
      <c r="O3" s="24"/>
      <c r="P3" s="31"/>
    </row>
    <row r="4" spans="2:16" ht="16" thickBot="1" x14ac:dyDescent="0.25">
      <c r="B4" s="55"/>
      <c r="C4" s="24"/>
      <c r="D4" s="24"/>
      <c r="E4" s="24"/>
      <c r="F4" s="75"/>
      <c r="G4" s="76"/>
      <c r="H4" s="76"/>
      <c r="I4" s="76"/>
      <c r="J4" s="77"/>
      <c r="K4" s="24"/>
      <c r="L4" s="24"/>
      <c r="M4" s="24"/>
      <c r="N4" s="24"/>
      <c r="O4" s="24"/>
      <c r="P4" s="31"/>
    </row>
    <row r="5" spans="2:16" ht="19.25" customHeight="1" thickBot="1" x14ac:dyDescent="0.25">
      <c r="B5" s="55"/>
      <c r="C5" s="24"/>
      <c r="D5" s="24"/>
      <c r="E5" s="24"/>
      <c r="F5" s="59"/>
      <c r="G5" s="59"/>
      <c r="H5" s="59"/>
      <c r="I5" s="59"/>
      <c r="J5" s="59"/>
      <c r="K5" s="24"/>
      <c r="L5" s="24"/>
      <c r="M5" s="24"/>
      <c r="N5" s="24"/>
      <c r="O5" s="24"/>
      <c r="P5" s="31"/>
    </row>
    <row r="6" spans="2:16" ht="17.5" customHeight="1" thickBot="1" x14ac:dyDescent="0.25">
      <c r="B6" s="55"/>
      <c r="C6" s="34" t="s">
        <v>25</v>
      </c>
      <c r="D6" s="60">
        <f>N13</f>
        <v>-0.45213107251424173</v>
      </c>
      <c r="E6" s="59"/>
      <c r="F6" s="34" t="s">
        <v>26</v>
      </c>
      <c r="G6" s="64">
        <f>AVERAGE(Backend!O27:O36)</f>
        <v>0.21203069865879284</v>
      </c>
      <c r="H6" s="62"/>
      <c r="I6" s="34" t="s">
        <v>27</v>
      </c>
      <c r="J6" s="65">
        <f>AVERAGE(Backend!R27:R36)</f>
        <v>0.14999999999999997</v>
      </c>
      <c r="L6" s="66" t="s">
        <v>28</v>
      </c>
      <c r="M6" s="64">
        <f>G6-J6</f>
        <v>6.2030698658792877E-2</v>
      </c>
      <c r="N6" s="61"/>
      <c r="O6" s="24"/>
      <c r="P6" s="31"/>
    </row>
    <row r="7" spans="2:16" ht="16" thickBot="1" x14ac:dyDescent="0.25">
      <c r="B7" s="55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31"/>
    </row>
    <row r="8" spans="2:16" ht="16" thickBot="1" x14ac:dyDescent="0.25">
      <c r="B8" s="55"/>
      <c r="C8" s="24"/>
      <c r="D8" s="16">
        <v>2007</v>
      </c>
      <c r="E8" s="15">
        <f>D8+1</f>
        <v>2008</v>
      </c>
      <c r="F8" s="15">
        <f t="shared" ref="F8:N8" si="0">E8+1</f>
        <v>2009</v>
      </c>
      <c r="G8" s="15">
        <f t="shared" si="0"/>
        <v>2010</v>
      </c>
      <c r="H8" s="15">
        <f t="shared" si="0"/>
        <v>2011</v>
      </c>
      <c r="I8" s="15">
        <f t="shared" si="0"/>
        <v>2012</v>
      </c>
      <c r="J8" s="15">
        <f t="shared" si="0"/>
        <v>2013</v>
      </c>
      <c r="K8" s="15">
        <f t="shared" si="0"/>
        <v>2014</v>
      </c>
      <c r="L8" s="15">
        <f t="shared" si="0"/>
        <v>2015</v>
      </c>
      <c r="M8" s="15">
        <f t="shared" si="0"/>
        <v>2016</v>
      </c>
      <c r="N8" s="14">
        <f t="shared" si="0"/>
        <v>2017</v>
      </c>
      <c r="O8" s="24"/>
      <c r="P8" s="31"/>
    </row>
    <row r="9" spans="2:16" x14ac:dyDescent="0.2">
      <c r="B9" s="55"/>
      <c r="C9" s="21" t="s">
        <v>13</v>
      </c>
      <c r="D9" s="17">
        <f>Backend!B6</f>
        <v>50000000</v>
      </c>
      <c r="E9" s="17">
        <f>Backend!C6</f>
        <v>60000000</v>
      </c>
      <c r="F9" s="17">
        <f>Backend!D6</f>
        <v>75000000</v>
      </c>
      <c r="G9" s="17">
        <f>Backend!E6</f>
        <v>97500000</v>
      </c>
      <c r="H9" s="17">
        <f>Backend!F6</f>
        <v>136500000</v>
      </c>
      <c r="I9" s="17">
        <f>Backend!G6</f>
        <v>177450000</v>
      </c>
      <c r="J9" s="17">
        <f>Backend!H6</f>
        <v>212940000</v>
      </c>
      <c r="K9" s="17">
        <f>Backend!I6</f>
        <v>234234000.00000003</v>
      </c>
      <c r="L9" s="17">
        <f>Backend!J6</f>
        <v>222522300.00000003</v>
      </c>
      <c r="M9" s="17">
        <f>Backend!K6</f>
        <v>200270070.00000003</v>
      </c>
      <c r="N9" s="17">
        <f>Backend!L6</f>
        <v>180243063.00000003</v>
      </c>
      <c r="O9" s="24"/>
      <c r="P9" s="31"/>
    </row>
    <row r="10" spans="2:16" ht="16" thickBot="1" x14ac:dyDescent="0.25">
      <c r="B10" s="55"/>
      <c r="C10" s="22" t="s">
        <v>12</v>
      </c>
      <c r="D10" s="18">
        <f>SUM(Backend!B10:B12)</f>
        <v>42125000</v>
      </c>
      <c r="E10" s="18">
        <f>SUM(Backend!C10:C12)</f>
        <v>51100000</v>
      </c>
      <c r="F10" s="18">
        <f>SUM(Backend!D10:D12)</f>
        <v>65717500</v>
      </c>
      <c r="G10" s="18">
        <f>SUM(Backend!E10:E12)</f>
        <v>87710565</v>
      </c>
      <c r="H10" s="18">
        <f>SUM(Backend!F10:F12)</f>
        <v>127008543.75</v>
      </c>
      <c r="I10" s="18">
        <f>SUM(Backend!G10:G12)</f>
        <v>174721470.9375</v>
      </c>
      <c r="J10" s="18">
        <f>SUM(Backend!H10:H12)</f>
        <v>224820704.484375</v>
      </c>
      <c r="K10" s="18">
        <f>SUM(Backend!I10:I12)</f>
        <v>270007102.95859373</v>
      </c>
      <c r="L10" s="18">
        <f>SUM(Backend!J10:J12)</f>
        <v>284813888.10652345</v>
      </c>
      <c r="M10" s="18">
        <f>SUM(Backend!K10:K12)</f>
        <v>288730712.51184958</v>
      </c>
      <c r="N10" s="18">
        <f>SUM(Backend!L10:L12)</f>
        <v>261736552.38744208</v>
      </c>
      <c r="O10" s="24"/>
      <c r="P10" s="31"/>
    </row>
    <row r="11" spans="2:16" ht="16" thickBot="1" x14ac:dyDescent="0.25">
      <c r="B11" s="55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31"/>
    </row>
    <row r="12" spans="2:16" ht="16" thickBot="1" x14ac:dyDescent="0.25">
      <c r="B12" s="55"/>
      <c r="C12" s="21" t="s">
        <v>17</v>
      </c>
      <c r="D12" s="20">
        <f>D9-D10</f>
        <v>7875000</v>
      </c>
      <c r="E12" s="20">
        <f t="shared" ref="E12:N12" si="1">E9-E10</f>
        <v>8900000</v>
      </c>
      <c r="F12" s="20">
        <f t="shared" si="1"/>
        <v>9282500</v>
      </c>
      <c r="G12" s="20">
        <f t="shared" si="1"/>
        <v>9789435</v>
      </c>
      <c r="H12" s="20">
        <f t="shared" si="1"/>
        <v>9491456.25</v>
      </c>
      <c r="I12" s="20">
        <f t="shared" si="1"/>
        <v>2728529.0625</v>
      </c>
      <c r="J12" s="20">
        <f t="shared" si="1"/>
        <v>-11880704.484375</v>
      </c>
      <c r="K12" s="20">
        <f t="shared" si="1"/>
        <v>-35773102.958593696</v>
      </c>
      <c r="L12" s="20">
        <f t="shared" si="1"/>
        <v>-62291588.106523424</v>
      </c>
      <c r="M12" s="20">
        <f t="shared" si="1"/>
        <v>-88460642.511849552</v>
      </c>
      <c r="N12" s="20">
        <f t="shared" si="1"/>
        <v>-81493489.387442052</v>
      </c>
      <c r="O12" s="24"/>
      <c r="P12" s="31"/>
    </row>
    <row r="13" spans="2:16" ht="16" thickBot="1" x14ac:dyDescent="0.25">
      <c r="B13" s="55"/>
      <c r="C13" s="22" t="s">
        <v>18</v>
      </c>
      <c r="D13" s="67">
        <f>D12/D9</f>
        <v>0.1575</v>
      </c>
      <c r="E13" s="67">
        <f t="shared" ref="E13:N13" si="2">E12/E9</f>
        <v>0.14833333333333334</v>
      </c>
      <c r="F13" s="67">
        <f t="shared" si="2"/>
        <v>0.12376666666666666</v>
      </c>
      <c r="G13" s="67">
        <f t="shared" si="2"/>
        <v>0.10040446153846154</v>
      </c>
      <c r="H13" s="67">
        <f t="shared" si="2"/>
        <v>6.9534478021978027E-2</v>
      </c>
      <c r="I13" s="67">
        <f t="shared" si="2"/>
        <v>1.5376326077768385E-2</v>
      </c>
      <c r="J13" s="67">
        <f t="shared" si="2"/>
        <v>-5.5793671852986754E-2</v>
      </c>
      <c r="K13" s="67">
        <f t="shared" si="2"/>
        <v>-0.15272378458547303</v>
      </c>
      <c r="L13" s="67">
        <f t="shared" si="2"/>
        <v>-0.27993413741689449</v>
      </c>
      <c r="M13" s="67">
        <f t="shared" si="2"/>
        <v>-0.44170675384419417</v>
      </c>
      <c r="N13" s="67">
        <f t="shared" si="2"/>
        <v>-0.45213107251424173</v>
      </c>
      <c r="O13" s="24"/>
      <c r="P13" s="31"/>
    </row>
    <row r="14" spans="2:16" ht="16" thickBot="1" x14ac:dyDescent="0.25">
      <c r="B14" s="55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1"/>
    </row>
    <row r="15" spans="2:16" ht="16" thickBot="1" x14ac:dyDescent="0.25">
      <c r="B15" s="55"/>
      <c r="C15" s="50" t="s">
        <v>22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31"/>
    </row>
    <row r="16" spans="2:16" ht="16" thickBot="1" x14ac:dyDescent="0.25">
      <c r="B16" s="55"/>
      <c r="C16" s="10" t="s">
        <v>1</v>
      </c>
      <c r="D16" s="51" t="s">
        <v>9</v>
      </c>
      <c r="E16" s="11" t="s">
        <v>24</v>
      </c>
      <c r="F16" s="11" t="s">
        <v>20</v>
      </c>
      <c r="G16" s="12" t="s">
        <v>21</v>
      </c>
      <c r="H16" s="24"/>
      <c r="I16" s="24"/>
      <c r="J16" s="24"/>
      <c r="K16" s="24"/>
      <c r="L16" s="24"/>
      <c r="M16" s="24"/>
      <c r="N16" s="24"/>
      <c r="O16" s="24"/>
      <c r="P16" s="31"/>
    </row>
    <row r="17" spans="2:16" x14ac:dyDescent="0.2">
      <c r="B17" s="55"/>
      <c r="C17" s="35">
        <v>2007</v>
      </c>
      <c r="D17" s="37">
        <f>SUMIFS(Data!$D$5:$D$103,Data!$B$5:$B$103,Model!$D$16,Data!$C$5:$C$103,Model!$C17,Data!$E$5:$E$103,Model!$C$15)</f>
        <v>34375000</v>
      </c>
      <c r="E17" s="37"/>
      <c r="F17" s="39"/>
      <c r="G17" s="31"/>
      <c r="H17" s="24"/>
      <c r="I17" s="24"/>
      <c r="J17" s="24"/>
      <c r="K17" s="24"/>
      <c r="L17" s="24"/>
      <c r="M17" s="24"/>
      <c r="N17" s="24"/>
      <c r="O17" s="24"/>
      <c r="P17" s="31"/>
    </row>
    <row r="18" spans="2:16" x14ac:dyDescent="0.2">
      <c r="B18" s="55"/>
      <c r="C18" s="35">
        <f t="shared" ref="C18:C27" si="3">C17+1</f>
        <v>2008</v>
      </c>
      <c r="D18" s="37">
        <f>SUMIFS(Data!$D$5:$D$103,Data!$B$5:$B$103,Model!$D$16,Data!$C$5:$C$103,Model!$C18,Data!$E$5:$E$103,Model!$C$15)</f>
        <v>41250000</v>
      </c>
      <c r="E18" s="37">
        <f>D18-D17</f>
        <v>6875000</v>
      </c>
      <c r="F18" s="40">
        <f>IFERROR((E18/D17),0)</f>
        <v>0.2</v>
      </c>
      <c r="G18" s="31"/>
      <c r="H18" s="24"/>
      <c r="I18" s="24"/>
      <c r="J18" s="24"/>
      <c r="K18" s="24"/>
      <c r="L18" s="24"/>
      <c r="M18" s="24"/>
      <c r="N18" s="24"/>
      <c r="O18" s="24"/>
      <c r="P18" s="31"/>
    </row>
    <row r="19" spans="2:16" x14ac:dyDescent="0.2">
      <c r="B19" s="55"/>
      <c r="C19" s="35">
        <f t="shared" si="3"/>
        <v>2009</v>
      </c>
      <c r="D19" s="37">
        <f>SUMIFS(Data!$D$5:$D$103,Data!$B$5:$B$103,Model!$D$16,Data!$C$5:$C$103,Model!$C19,Data!$E$5:$E$103,Model!$C$15)</f>
        <v>55000000</v>
      </c>
      <c r="E19" s="37">
        <f t="shared" ref="E19:E27" si="4">D19-D18</f>
        <v>13750000</v>
      </c>
      <c r="F19" s="40">
        <f t="shared" ref="F19:F27" si="5">IFERROR((E19/D18),0)</f>
        <v>0.33333333333333331</v>
      </c>
      <c r="G19" s="32">
        <f>IFERROR((F19-F18)/F18,0)</f>
        <v>0.66666666666666652</v>
      </c>
      <c r="H19" s="24"/>
      <c r="I19" s="24"/>
      <c r="J19" s="24"/>
      <c r="K19" s="24"/>
      <c r="L19" s="24"/>
      <c r="M19" s="24"/>
      <c r="N19" s="24"/>
      <c r="O19" s="24"/>
      <c r="P19" s="31"/>
    </row>
    <row r="20" spans="2:16" x14ac:dyDescent="0.2">
      <c r="B20" s="55"/>
      <c r="C20" s="35">
        <f t="shared" si="3"/>
        <v>2010</v>
      </c>
      <c r="D20" s="37">
        <f>SUMIFS(Data!$D$5:$D$103,Data!$B$5:$B$103,Model!$D$16,Data!$C$5:$C$103,Model!$C20,Data!$E$5:$E$103,Model!$C$15)</f>
        <v>76607190</v>
      </c>
      <c r="E20" s="37">
        <f t="shared" si="4"/>
        <v>21607190</v>
      </c>
      <c r="F20" s="40">
        <f t="shared" si="5"/>
        <v>0.39285799999999998</v>
      </c>
      <c r="G20" s="32">
        <f t="shared" ref="G20:G27" si="6">IFERROR((F20-F19)/F19,0)</f>
        <v>0.17857400000000001</v>
      </c>
      <c r="H20" s="24"/>
      <c r="I20" s="24"/>
      <c r="J20" s="24"/>
      <c r="K20" s="24"/>
      <c r="L20" s="24"/>
      <c r="M20" s="24"/>
      <c r="N20" s="24"/>
      <c r="O20" s="24"/>
      <c r="P20" s="31"/>
    </row>
    <row r="21" spans="2:16" x14ac:dyDescent="0.2">
      <c r="B21" s="55"/>
      <c r="C21" s="35">
        <f t="shared" si="3"/>
        <v>2011</v>
      </c>
      <c r="D21" s="37">
        <f>SUMIFS(Data!$D$5:$D$103,Data!$B$5:$B$103,Model!$D$16,Data!$C$5:$C$103,Model!$C21,Data!$E$5:$E$103,Model!$C$15)</f>
        <v>115500000</v>
      </c>
      <c r="E21" s="37">
        <f t="shared" si="4"/>
        <v>38892810</v>
      </c>
      <c r="F21" s="40">
        <f t="shared" si="5"/>
        <v>0.50769137988222779</v>
      </c>
      <c r="G21" s="32">
        <f t="shared" si="6"/>
        <v>0.29230251104019217</v>
      </c>
      <c r="H21" s="24"/>
      <c r="I21" s="24"/>
      <c r="J21" s="24"/>
      <c r="K21" s="24"/>
      <c r="L21" s="24"/>
      <c r="M21" s="24"/>
      <c r="N21" s="24"/>
      <c r="O21" s="24"/>
      <c r="P21" s="31"/>
    </row>
    <row r="22" spans="2:16" x14ac:dyDescent="0.2">
      <c r="B22" s="55"/>
      <c r="C22" s="35">
        <f t="shared" si="3"/>
        <v>2012</v>
      </c>
      <c r="D22" s="37">
        <f>SUMIFS(Data!$D$5:$D$103,Data!$B$5:$B$103,Model!$D$16,Data!$C$5:$C$103,Model!$C22,Data!$E$5:$E$103,Model!$C$15)</f>
        <v>162662500</v>
      </c>
      <c r="E22" s="37">
        <f t="shared" si="4"/>
        <v>47162500</v>
      </c>
      <c r="F22" s="40">
        <f t="shared" si="5"/>
        <v>0.40833333333333333</v>
      </c>
      <c r="G22" s="32">
        <f t="shared" si="6"/>
        <v>-0.1957056008552738</v>
      </c>
      <c r="H22" s="24"/>
      <c r="I22" s="24"/>
      <c r="J22" s="24"/>
      <c r="K22" s="24"/>
      <c r="L22" s="24"/>
      <c r="M22" s="24"/>
      <c r="N22" s="24"/>
      <c r="O22" s="24"/>
      <c r="P22" s="31"/>
    </row>
    <row r="23" spans="2:16" x14ac:dyDescent="0.2">
      <c r="B23" s="55"/>
      <c r="C23" s="35">
        <f t="shared" si="3"/>
        <v>2013</v>
      </c>
      <c r="D23" s="37">
        <f>SUMIFS(Data!$D$5:$D$103,Data!$B$5:$B$103,Model!$D$16,Data!$C$5:$C$103,Model!$C23,Data!$E$5:$E$103,Model!$C$15)</f>
        <v>212940035</v>
      </c>
      <c r="E23" s="37">
        <f t="shared" si="4"/>
        <v>50277535</v>
      </c>
      <c r="F23" s="40">
        <f t="shared" si="5"/>
        <v>0.30909112426035501</v>
      </c>
      <c r="G23" s="32">
        <f t="shared" si="6"/>
        <v>-0.24304214466851834</v>
      </c>
      <c r="H23" s="24"/>
      <c r="I23" s="24"/>
      <c r="J23" s="24"/>
      <c r="K23" s="24"/>
      <c r="L23" s="24"/>
      <c r="M23" s="24"/>
      <c r="N23" s="24"/>
      <c r="O23" s="24"/>
      <c r="P23" s="31"/>
    </row>
    <row r="24" spans="2:16" x14ac:dyDescent="0.2">
      <c r="B24" s="55"/>
      <c r="C24" s="35">
        <f t="shared" si="3"/>
        <v>2014</v>
      </c>
      <c r="D24" s="37">
        <f>SUMIFS(Data!$D$5:$D$103,Data!$B$5:$B$103,Model!$D$16,Data!$C$5:$C$103,Model!$C24,Data!$E$5:$E$103,Model!$C$15)</f>
        <v>257657400</v>
      </c>
      <c r="E24" s="37">
        <f t="shared" si="4"/>
        <v>44717365</v>
      </c>
      <c r="F24" s="40">
        <f t="shared" si="5"/>
        <v>0.20999980111771843</v>
      </c>
      <c r="G24" s="32">
        <f t="shared" si="6"/>
        <v>-0.32058935169930514</v>
      </c>
      <c r="H24" s="24"/>
      <c r="I24" s="24"/>
      <c r="J24" s="24"/>
      <c r="K24" s="24"/>
      <c r="L24" s="24"/>
      <c r="M24" s="24"/>
      <c r="N24" s="24"/>
      <c r="O24" s="24"/>
      <c r="P24" s="31"/>
    </row>
    <row r="25" spans="2:16" x14ac:dyDescent="0.2">
      <c r="B25" s="55"/>
      <c r="C25" s="35">
        <f t="shared" si="3"/>
        <v>2015</v>
      </c>
      <c r="D25" s="37">
        <f>SUMIFS(Data!$D$5:$D$103,Data!$B$5:$B$103,Model!$D$16,Data!$C$5:$C$103,Model!$C25,Data!$E$5:$E$103,Model!$C$15)</f>
        <v>271971700</v>
      </c>
      <c r="E25" s="37">
        <f t="shared" si="4"/>
        <v>14314300</v>
      </c>
      <c r="F25" s="40">
        <f t="shared" si="5"/>
        <v>5.5555555555555552E-2</v>
      </c>
      <c r="G25" s="32">
        <f t="shared" si="6"/>
        <v>-0.73544948490492579</v>
      </c>
      <c r="H25" s="24"/>
      <c r="I25" s="24"/>
      <c r="J25" s="24"/>
      <c r="K25" s="24"/>
      <c r="L25" s="24"/>
      <c r="M25" s="24"/>
      <c r="N25" s="24"/>
      <c r="O25" s="24"/>
      <c r="P25" s="31"/>
    </row>
    <row r="26" spans="2:16" x14ac:dyDescent="0.2">
      <c r="B26" s="55"/>
      <c r="C26" s="35">
        <f t="shared" si="3"/>
        <v>2016</v>
      </c>
      <c r="D26" s="37">
        <f>SUMIFS(Data!$D$5:$D$103,Data!$B$5:$B$103,Model!$D$16,Data!$C$5:$C$103,Model!$C26,Data!$E$5:$E$103,Model!$C$15)</f>
        <v>275371415</v>
      </c>
      <c r="E26" s="37">
        <f t="shared" si="4"/>
        <v>3399715</v>
      </c>
      <c r="F26" s="40">
        <f t="shared" si="5"/>
        <v>1.2500252783653593E-2</v>
      </c>
      <c r="G26" s="32">
        <f t="shared" si="6"/>
        <v>-0.77499544989423541</v>
      </c>
      <c r="H26" s="24"/>
      <c r="I26" s="24"/>
      <c r="J26" s="24"/>
      <c r="K26" s="24"/>
      <c r="L26" s="24"/>
      <c r="M26" s="24"/>
      <c r="N26" s="24"/>
      <c r="O26" s="24"/>
      <c r="P26" s="31"/>
    </row>
    <row r="27" spans="2:16" ht="16" thickBot="1" x14ac:dyDescent="0.25">
      <c r="B27" s="55"/>
      <c r="C27" s="36">
        <f t="shared" si="3"/>
        <v>2017</v>
      </c>
      <c r="D27" s="38">
        <f>SUMIFS(Data!$D$5:$D$103,Data!$B$5:$B$103,Model!$D$16,Data!$C$5:$C$103,Model!$C27,Data!$E$5:$E$103,Model!$C$15)</f>
        <v>247834290</v>
      </c>
      <c r="E27" s="38">
        <f t="shared" si="4"/>
        <v>-27537125</v>
      </c>
      <c r="F27" s="19">
        <f t="shared" si="5"/>
        <v>-9.9999940080926705E-2</v>
      </c>
      <c r="G27" s="13">
        <f t="shared" si="6"/>
        <v>-8.9998334283043651</v>
      </c>
      <c r="H27" s="24"/>
      <c r="I27" s="24"/>
      <c r="J27" s="24"/>
      <c r="K27" s="24"/>
      <c r="L27" s="24"/>
      <c r="M27" s="24"/>
      <c r="N27" s="24"/>
      <c r="O27" s="24"/>
      <c r="P27" s="31"/>
    </row>
    <row r="28" spans="2:16" ht="16" thickBot="1" x14ac:dyDescent="0.25">
      <c r="B28" s="5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31"/>
    </row>
    <row r="29" spans="2:16" ht="16" thickBot="1" x14ac:dyDescent="0.25">
      <c r="B29" s="55"/>
      <c r="C29" s="10" t="s">
        <v>1</v>
      </c>
      <c r="D29" s="15" t="str">
        <f>Backend!L22</f>
        <v>Total Cost</v>
      </c>
      <c r="E29" s="15" t="str">
        <f>Backend!H19</f>
        <v>Fixed expense / overhead</v>
      </c>
      <c r="F29" s="15" t="str">
        <f>Backend!I19</f>
        <v>Actor Compensation</v>
      </c>
      <c r="G29" s="14" t="str">
        <f>Backend!J19</f>
        <v>Venue costs</v>
      </c>
      <c r="H29" s="24"/>
      <c r="I29" s="24"/>
      <c r="J29" s="24"/>
      <c r="K29" s="24"/>
      <c r="L29" s="24"/>
      <c r="M29" s="24"/>
      <c r="N29" s="24"/>
      <c r="O29" s="24"/>
      <c r="P29" s="31"/>
    </row>
    <row r="30" spans="2:16" x14ac:dyDescent="0.2">
      <c r="B30" s="55"/>
      <c r="C30" s="54">
        <v>2007</v>
      </c>
      <c r="D30" s="68">
        <f>IF($C$15=Backend!$E$20,Data!D5,SUM(Data!D93,Data!D71,Data!D82))</f>
        <v>42125000</v>
      </c>
      <c r="E30" s="52">
        <f>IF($C$15=Backend!$E$21,SUMIFS(Data!$D$5:$D$103,Data!$B$5:$B$103,Model!$E$29,Data!$C$5:$C$103,Model!$C30),SUMIFS(Data!$D$5:$D$103,Data!$B$5:$B$103,Model!$E$29,Data!$C$5:$C$103,Model!$C30))</f>
        <v>7000000</v>
      </c>
      <c r="F30" s="52">
        <f>IF($C$15=Backend!$E$21,SUMIFS(Data!$D$5:$D$103,Data!$B$5:$B$103,Model!$F$29,Data!$C$5:$C$103,Model!$C30),SUMIFS(Data!$D$5:$D$103,Data!$B$5:$B$103,Model!$F$29,Data!$C$5:$C$103,Model!$C30))</f>
        <v>750000</v>
      </c>
      <c r="G30" s="53">
        <f>IF($C$15=Backend!$E$21,SUMIFS(Data!$D$5:$D$103,Data!$B$5:$B$103,Model!$G$29,Data!$C$5:$C$103,Model!$C30),SUMIFS(Data!$D$5:$D$103,Data!$B$5:$B$103,Model!$G$29,Data!$C$5:$C$103,Model!$C30))</f>
        <v>34375000</v>
      </c>
      <c r="H30" s="24"/>
      <c r="I30" s="24"/>
      <c r="J30" s="24"/>
      <c r="K30" s="24"/>
      <c r="L30" s="24"/>
      <c r="M30" s="24"/>
      <c r="N30" s="24"/>
      <c r="O30" s="24"/>
      <c r="P30" s="31"/>
    </row>
    <row r="31" spans="2:16" ht="16" thickBot="1" x14ac:dyDescent="0.25">
      <c r="B31" s="55"/>
      <c r="C31" s="35"/>
      <c r="D31" s="78"/>
      <c r="E31" s="19">
        <f>IF($C$15=Backend!$E$21,E30/$D30,0)</f>
        <v>0.16617210682492581</v>
      </c>
      <c r="F31" s="19">
        <f>IF($C$15=Backend!$E$21,F30/$D30,0)</f>
        <v>1.7804154302670624E-2</v>
      </c>
      <c r="G31" s="19">
        <f>IF($C$15=Backend!$E$21,G30/$D30,0)</f>
        <v>0.81602373887240354</v>
      </c>
      <c r="H31" s="24"/>
      <c r="I31" s="24"/>
      <c r="J31" s="24"/>
      <c r="K31" s="24"/>
      <c r="L31" s="24"/>
      <c r="M31" s="24"/>
      <c r="N31" s="24"/>
      <c r="O31" s="24"/>
      <c r="P31" s="31"/>
    </row>
    <row r="32" spans="2:16" x14ac:dyDescent="0.2">
      <c r="B32" s="55"/>
      <c r="C32" s="35">
        <f>C30+1</f>
        <v>2008</v>
      </c>
      <c r="D32" s="68">
        <f>IF($C$15=Backend!$E$20,Data!D6,SUM(Data!D94,Data!D72,Data!D83))</f>
        <v>51100000</v>
      </c>
      <c r="E32" s="52">
        <f>IF($C$15=Backend!$E$21,SUMIFS(Data!$D$5:$D$103,Data!$B$5:$B$103,Model!$E$29,Data!$C$5:$C$103,Model!$C32),SUMIFS(Data!$D$5:$D$103,Data!$B$5:$B$103,Model!$E$29,Data!$C$5:$C$103,Model!$C32))</f>
        <v>7350000</v>
      </c>
      <c r="F32" s="52">
        <f>IF($C$15=Backend!$E$21,SUMIFS(Data!$D$5:$D$103,Data!$B$5:$B$103,Model!$F$29,Data!$C$5:$C$103,Model!$C32),SUMIFS(Data!$D$5:$D$103,Data!$B$5:$B$103,Model!$F$29,Data!$C$5:$C$103,Model!$C32))</f>
        <v>2500000</v>
      </c>
      <c r="G32" s="53">
        <f>IF($C$15=Backend!$E$21,SUMIFS(Data!$D$5:$D$103,Data!$B$5:$B$103,Model!$G$29,Data!$C$5:$C$103,Model!$C32),SUMIFS(Data!$D$5:$D$103,Data!$B$5:$B$103,Model!$G$29,Data!$C$5:$C$103,Model!$C32))</f>
        <v>41250000</v>
      </c>
      <c r="H32" s="24"/>
      <c r="I32" s="24"/>
      <c r="J32" s="24"/>
      <c r="K32" s="24"/>
      <c r="L32" s="24"/>
      <c r="M32" s="24"/>
      <c r="N32" s="24"/>
      <c r="O32" s="24"/>
      <c r="P32" s="31"/>
    </row>
    <row r="33" spans="2:16" ht="16" thickBot="1" x14ac:dyDescent="0.25">
      <c r="B33" s="55"/>
      <c r="C33" s="35"/>
      <c r="D33" s="69"/>
      <c r="E33" s="19">
        <f>IF($C$15=Backend!$E$21,E32/$D32,0)</f>
        <v>0.14383561643835616</v>
      </c>
      <c r="F33" s="19">
        <f>IF($C$15=Backend!$E$21,F32/$D32,0)</f>
        <v>4.8923679060665359E-2</v>
      </c>
      <c r="G33" s="19">
        <f>IF($C$15=Backend!$E$21,G32/$D32,0)</f>
        <v>0.80724070450097851</v>
      </c>
      <c r="H33" s="24"/>
      <c r="I33" s="24"/>
      <c r="J33" s="24"/>
      <c r="K33" s="24"/>
      <c r="L33" s="24"/>
      <c r="M33" s="24"/>
      <c r="N33" s="24"/>
      <c r="O33" s="24"/>
      <c r="P33" s="31"/>
    </row>
    <row r="34" spans="2:16" x14ac:dyDescent="0.2">
      <c r="B34" s="55"/>
      <c r="C34" s="35">
        <f>C32+1</f>
        <v>2009</v>
      </c>
      <c r="D34" s="68">
        <f>IF($C$15=Backend!$E$20,Data!D7,SUM(Data!D95,Data!D73,Data!D84))</f>
        <v>65717500</v>
      </c>
      <c r="E34" s="52">
        <f>IF($C$15=Backend!$E$21,SUMIFS(Data!$D$5:$D$103,Data!$B$5:$B$103,Model!$E$29,Data!$C$5:$C$103,Model!$C34),SUMIFS(Data!$D$5:$D$103,Data!$B$5:$B$103,Model!$E$29,Data!$C$5:$C$103,Model!$C34))</f>
        <v>7717500</v>
      </c>
      <c r="F34" s="52">
        <f>IF($C$15=Backend!$E$21,SUMIFS(Data!$D$5:$D$103,Data!$B$5:$B$103,Model!$F$29,Data!$C$5:$C$103,Model!$C34),SUMIFS(Data!$D$5:$D$103,Data!$B$5:$B$103,Model!$F$29,Data!$C$5:$C$103,Model!$C34))</f>
        <v>3000000</v>
      </c>
      <c r="G34" s="53">
        <f>IF($C$15=Backend!$E$21,SUMIFS(Data!$D$5:$D$103,Data!$B$5:$B$103,Model!$G$29,Data!$C$5:$C$103,Model!$C34),SUMIFS(Data!$D$5:$D$103,Data!$B$5:$B$103,Model!$G$29,Data!$C$5:$C$103,Model!$C34))</f>
        <v>55000000</v>
      </c>
      <c r="H34" s="24"/>
      <c r="I34" s="24"/>
      <c r="J34" s="24"/>
      <c r="K34" s="24"/>
      <c r="L34" s="24"/>
      <c r="M34" s="24"/>
      <c r="N34" s="24"/>
      <c r="O34" s="24"/>
      <c r="P34" s="31"/>
    </row>
    <row r="35" spans="2:16" ht="16" thickBot="1" x14ac:dyDescent="0.25">
      <c r="B35" s="55"/>
      <c r="C35" s="35"/>
      <c r="D35" s="69"/>
      <c r="E35" s="19">
        <f>IF($C$15=Backend!$E$21,E34/$D34,0)</f>
        <v>0.1174344733138053</v>
      </c>
      <c r="F35" s="19">
        <f>IF($C$15=Backend!$E$21,F34/$D34,0)</f>
        <v>4.564994103549283E-2</v>
      </c>
      <c r="G35" s="19">
        <f>IF($C$15=Backend!$E$21,G34/$D34,0)</f>
        <v>0.8369155856507019</v>
      </c>
      <c r="H35" s="24"/>
      <c r="I35" s="24"/>
      <c r="J35" s="24"/>
      <c r="K35" s="24"/>
      <c r="L35" s="24"/>
      <c r="M35" s="24"/>
      <c r="N35" s="24"/>
      <c r="O35" s="24"/>
      <c r="P35" s="31"/>
    </row>
    <row r="36" spans="2:16" x14ac:dyDescent="0.2">
      <c r="B36" s="55"/>
      <c r="C36" s="35">
        <f>C34+1</f>
        <v>2010</v>
      </c>
      <c r="D36" s="68">
        <f>IF($C$15=Backend!$E$20,Data!D8,SUM(Data!D96,Data!D74,Data!D85))</f>
        <v>87710565</v>
      </c>
      <c r="E36" s="52">
        <f>IF($C$15=Backend!$E$21,SUMIFS(Data!$D$5:$D$103,Data!$B$5:$B$103,Model!$E$29,Data!$C$5:$C$103,Model!$C36),SUMIFS(Data!$D$5:$D$103,Data!$B$5:$B$103,Model!$E$29,Data!$C$5:$C$103,Model!$C36))</f>
        <v>8103375</v>
      </c>
      <c r="F36" s="52">
        <f>IF($C$15=Backend!$E$21,SUMIFS(Data!$D$5:$D$103,Data!$B$5:$B$103,Model!$F$29,Data!$C$5:$C$103,Model!$C36),SUMIFS(Data!$D$5:$D$103,Data!$B$5:$B$103,Model!$F$29,Data!$C$5:$C$103,Model!$C36))</f>
        <v>3000000</v>
      </c>
      <c r="G36" s="53">
        <f>IF($C$15=Backend!$E$21,SUMIFS(Data!$D$5:$D$103,Data!$B$5:$B$103,Model!$G$29,Data!$C$5:$C$103,Model!$C36),SUMIFS(Data!$D$5:$D$103,Data!$B$5:$B$103,Model!$G$29,Data!$C$5:$C$103,Model!$C36))</f>
        <v>76607190</v>
      </c>
      <c r="H36" s="24"/>
      <c r="I36" s="24"/>
      <c r="J36" s="24"/>
      <c r="K36" s="24"/>
      <c r="L36" s="24"/>
      <c r="M36" s="24"/>
      <c r="N36" s="24"/>
      <c r="O36" s="24"/>
      <c r="P36" s="31"/>
    </row>
    <row r="37" spans="2:16" ht="16" thickBot="1" x14ac:dyDescent="0.25">
      <c r="B37" s="55"/>
      <c r="C37" s="35"/>
      <c r="D37" s="69"/>
      <c r="E37" s="19">
        <f>IF($C$15=Backend!$E$21,E36/$D36,0)</f>
        <v>9.2387673024338632E-2</v>
      </c>
      <c r="F37" s="19">
        <f>IF($C$15=Backend!$E$21,F36/$D36,0)</f>
        <v>3.4203405256823964E-2</v>
      </c>
      <c r="G37" s="19">
        <f>IF($C$15=Backend!$E$21,G36/$D36,0)</f>
        <v>0.87340892171883744</v>
      </c>
      <c r="H37" s="24"/>
      <c r="I37" s="24"/>
      <c r="J37" s="24"/>
      <c r="K37" s="24"/>
      <c r="L37" s="24"/>
      <c r="M37" s="24"/>
      <c r="N37" s="24"/>
      <c r="O37" s="24"/>
      <c r="P37" s="31"/>
    </row>
    <row r="38" spans="2:16" x14ac:dyDescent="0.2">
      <c r="B38" s="55"/>
      <c r="C38" s="35">
        <f>C36+1</f>
        <v>2011</v>
      </c>
      <c r="D38" s="68">
        <f>IF($C$15=Backend!$E$20,Data!D9,SUM(Data!D97,Data!D75,Data!D86))</f>
        <v>127008543.75</v>
      </c>
      <c r="E38" s="52">
        <f>IF($C$15=Backend!$E$21,SUMIFS(Data!$D$5:$D$103,Data!$B$5:$B$103,Model!$E$29,Data!$C$5:$C$103,Model!$C38),SUMIFS(Data!$D$5:$D$103,Data!$B$5:$B$103,Model!$E$29,Data!$C$5:$C$103,Model!$C38))</f>
        <v>8508543.75</v>
      </c>
      <c r="F38" s="52">
        <f>IF($C$15=Backend!$E$21,SUMIFS(Data!$D$5:$D$103,Data!$B$5:$B$103,Model!$F$29,Data!$C$5:$C$103,Model!$C38),SUMIFS(Data!$D$5:$D$103,Data!$B$5:$B$103,Model!$F$29,Data!$C$5:$C$103,Model!$C38))</f>
        <v>3000000</v>
      </c>
      <c r="G38" s="53">
        <f>IF($C$15=Backend!$E$21,SUMIFS(Data!$D$5:$D$103,Data!$B$5:$B$103,Model!$G$29,Data!$C$5:$C$103,Model!$C38),SUMIFS(Data!$D$5:$D$103,Data!$B$5:$B$103,Model!$G$29,Data!$C$5:$C$103,Model!$C38))</f>
        <v>115500000</v>
      </c>
      <c r="H38" s="24"/>
      <c r="I38" s="24"/>
      <c r="J38" s="24"/>
      <c r="K38" s="24"/>
      <c r="L38" s="24"/>
      <c r="M38" s="24"/>
      <c r="N38" s="24"/>
      <c r="O38" s="24"/>
      <c r="P38" s="31"/>
    </row>
    <row r="39" spans="2:16" ht="16" thickBot="1" x14ac:dyDescent="0.25">
      <c r="B39" s="55"/>
      <c r="C39" s="35"/>
      <c r="D39" s="69"/>
      <c r="E39" s="19">
        <f>IF($C$15=Backend!$E$21,E38/$D38,0)</f>
        <v>6.6991900692507544E-2</v>
      </c>
      <c r="F39" s="19">
        <f>IF($C$15=Backend!$E$21,F38/$D38,0)</f>
        <v>2.3620458210316265E-2</v>
      </c>
      <c r="G39" s="19">
        <f>IF($C$15=Backend!$E$21,G38/$D38,0)</f>
        <v>0.90938764109717618</v>
      </c>
      <c r="H39" s="24"/>
      <c r="I39" s="24"/>
      <c r="J39" s="24"/>
      <c r="K39" s="24"/>
      <c r="L39" s="24"/>
      <c r="M39" s="24"/>
      <c r="N39" s="24"/>
      <c r="O39" s="24"/>
      <c r="P39" s="31"/>
    </row>
    <row r="40" spans="2:16" x14ac:dyDescent="0.2">
      <c r="B40" s="55"/>
      <c r="C40" s="35">
        <f>C38+1</f>
        <v>2012</v>
      </c>
      <c r="D40" s="68">
        <f>IF($C$15=Backend!$E$20,Data!D10,SUM(Data!D98,Data!D76,Data!D87))</f>
        <v>174721470.9375</v>
      </c>
      <c r="E40" s="52">
        <f>IF($C$15=Backend!$E$21,SUMIFS(Data!$D$5:$D$103,Data!$B$5:$B$103,Model!$E$29,Data!$C$5:$C$103,Model!$C40),SUMIFS(Data!$D$5:$D$103,Data!$B$5:$B$103,Model!$E$29,Data!$C$5:$C$103,Model!$C40))</f>
        <v>8933970.9375</v>
      </c>
      <c r="F40" s="52">
        <f>IF($C$15=Backend!$E$21,SUMIFS(Data!$D$5:$D$103,Data!$B$5:$B$103,Model!$F$29,Data!$C$5:$C$103,Model!$C40),SUMIFS(Data!$D$5:$D$103,Data!$B$5:$B$103,Model!$F$29,Data!$C$5:$C$103,Model!$C40))</f>
        <v>3125000</v>
      </c>
      <c r="G40" s="53">
        <f>IF($C$15=Backend!$E$21,SUMIFS(Data!$D$5:$D$103,Data!$B$5:$B$103,Model!$G$29,Data!$C$5:$C$103,Model!$C40),SUMIFS(Data!$D$5:$D$103,Data!$B$5:$B$103,Model!$G$29,Data!$C$5:$C$103,Model!$C40))</f>
        <v>162662500</v>
      </c>
      <c r="H40" s="24"/>
      <c r="I40" s="24"/>
      <c r="J40" s="24"/>
      <c r="K40" s="24"/>
      <c r="L40" s="24"/>
      <c r="M40" s="24"/>
      <c r="N40" s="24"/>
      <c r="O40" s="24"/>
      <c r="P40" s="31"/>
    </row>
    <row r="41" spans="2:16" ht="16" thickBot="1" x14ac:dyDescent="0.25">
      <c r="B41" s="55"/>
      <c r="C41" s="35"/>
      <c r="D41" s="69"/>
      <c r="E41" s="19">
        <f>IF($C$15=Backend!$E$21,E40/$D40,0)</f>
        <v>5.1132644943767618E-2</v>
      </c>
      <c r="F41" s="19">
        <f>IF($C$15=Backend!$E$21,F40/$D40,0)</f>
        <v>1.7885609497403161E-2</v>
      </c>
      <c r="G41" s="19">
        <f>IF($C$15=Backend!$E$21,G40/$D40,0)</f>
        <v>0.93098174555882918</v>
      </c>
      <c r="H41" s="24"/>
      <c r="I41" s="24"/>
      <c r="J41" s="24"/>
      <c r="K41" s="24"/>
      <c r="L41" s="24"/>
      <c r="M41" s="24"/>
      <c r="N41" s="24"/>
      <c r="O41" s="24"/>
      <c r="P41" s="31"/>
    </row>
    <row r="42" spans="2:16" x14ac:dyDescent="0.2">
      <c r="B42" s="55"/>
      <c r="C42" s="35">
        <f>C40+1</f>
        <v>2013</v>
      </c>
      <c r="D42" s="68">
        <f>IF($C$15=Backend!$E$20,Data!D11,SUM(Data!D99,Data!D77,Data!D88))</f>
        <v>224820704.484375</v>
      </c>
      <c r="E42" s="52">
        <f>IF($C$15=Backend!$E$21,SUMIFS(Data!$D$5:$D$103,Data!$B$5:$B$103,Model!$E$29,Data!$C$5:$C$103,Model!$C42),SUMIFS(Data!$D$5:$D$103,Data!$B$5:$B$103,Model!$E$29,Data!$C$5:$C$103,Model!$C42))</f>
        <v>9380669.484375</v>
      </c>
      <c r="F42" s="52">
        <f>IF($C$15=Backend!$E$21,SUMIFS(Data!$D$5:$D$103,Data!$B$5:$B$103,Model!$F$29,Data!$C$5:$C$103,Model!$C42),SUMIFS(Data!$D$5:$D$103,Data!$B$5:$B$103,Model!$F$29,Data!$C$5:$C$103,Model!$C42))</f>
        <v>2500000</v>
      </c>
      <c r="G42" s="53">
        <f>IF($C$15=Backend!$E$21,SUMIFS(Data!$D$5:$D$103,Data!$B$5:$B$103,Model!$G$29,Data!$C$5:$C$103,Model!$C42),SUMIFS(Data!$D$5:$D$103,Data!$B$5:$B$103,Model!$G$29,Data!$C$5:$C$103,Model!$C42))</f>
        <v>212940035</v>
      </c>
      <c r="H42" s="24"/>
      <c r="I42" s="24"/>
      <c r="J42" s="24"/>
      <c r="K42" s="24"/>
      <c r="L42" s="24"/>
      <c r="M42" s="24"/>
      <c r="N42" s="24"/>
      <c r="O42" s="24"/>
      <c r="P42" s="31"/>
    </row>
    <row r="43" spans="2:16" ht="16" thickBot="1" x14ac:dyDescent="0.25">
      <c r="B43" s="55"/>
      <c r="C43" s="35"/>
      <c r="D43" s="69"/>
      <c r="E43" s="19">
        <f>IF($C$15=Backend!$E$21,E42/$D42,0)</f>
        <v>4.1725113822988463E-2</v>
      </c>
      <c r="F43" s="19">
        <f>IF($C$15=Backend!$E$21,F42/$D42,0)</f>
        <v>1.1119972271832061E-2</v>
      </c>
      <c r="G43" s="19">
        <f>IF($C$15=Backend!$E$21,G42/$D42,0)</f>
        <v>0.94715491390517947</v>
      </c>
      <c r="H43" s="24"/>
      <c r="I43" s="24"/>
      <c r="J43" s="24"/>
      <c r="K43" s="24"/>
      <c r="L43" s="24"/>
      <c r="M43" s="24"/>
      <c r="N43" s="24"/>
      <c r="O43" s="24"/>
      <c r="P43" s="31"/>
    </row>
    <row r="44" spans="2:16" x14ac:dyDescent="0.2">
      <c r="B44" s="55"/>
      <c r="C44" s="35">
        <f>C42+1</f>
        <v>2014</v>
      </c>
      <c r="D44" s="68">
        <f>IF($C$15=Backend!$E$20,Data!D12,SUM(Data!D100,Data!D78,Data!D89))</f>
        <v>270007102.95859373</v>
      </c>
      <c r="E44" s="52">
        <f>IF($C$15=Backend!$E$21,SUMIFS(Data!$D$5:$D$103,Data!$B$5:$B$103,Model!$E$29,Data!$C$5:$C$103,Model!$C44),SUMIFS(Data!$D$5:$D$103,Data!$B$5:$B$103,Model!$E$29,Data!$C$5:$C$103,Model!$C44))</f>
        <v>9849702.9585937504</v>
      </c>
      <c r="F44" s="52">
        <f>IF($C$15=Backend!$E$21,SUMIFS(Data!$D$5:$D$103,Data!$B$5:$B$103,Model!$F$29,Data!$C$5:$C$103,Model!$C44),SUMIFS(Data!$D$5:$D$103,Data!$B$5:$B$103,Model!$F$29,Data!$C$5:$C$103,Model!$C44))</f>
        <v>2500000</v>
      </c>
      <c r="G44" s="53">
        <f>IF($C$15=Backend!$E$21,SUMIFS(Data!$D$5:$D$103,Data!$B$5:$B$103,Model!$G$29,Data!$C$5:$C$103,Model!$C44),SUMIFS(Data!$D$5:$D$103,Data!$B$5:$B$103,Model!$G$29,Data!$C$5:$C$103,Model!$C44))</f>
        <v>257657400</v>
      </c>
      <c r="H44" s="24"/>
      <c r="I44" s="24"/>
      <c r="J44" s="24"/>
      <c r="K44" s="24"/>
      <c r="L44" s="24"/>
      <c r="M44" s="24"/>
      <c r="N44" s="24"/>
      <c r="O44" s="24"/>
      <c r="P44" s="31"/>
    </row>
    <row r="45" spans="2:16" ht="16" thickBot="1" x14ac:dyDescent="0.25">
      <c r="B45" s="55"/>
      <c r="C45" s="35"/>
      <c r="D45" s="69"/>
      <c r="E45" s="19">
        <f>IF($C$15=Backend!$E$21,E44/$D44,0)</f>
        <v>3.6479421654711901E-2</v>
      </c>
      <c r="F45" s="19">
        <f>IF($C$15=Backend!$E$21,F44/$D44,0)</f>
        <v>9.2590156799815058E-3</v>
      </c>
      <c r="G45" s="19">
        <f>IF($C$15=Backend!$E$21,G44/$D44,0)</f>
        <v>0.95426156266530671</v>
      </c>
      <c r="H45" s="24"/>
      <c r="I45" s="24"/>
      <c r="J45" s="24"/>
      <c r="K45" s="24"/>
      <c r="L45" s="24"/>
      <c r="M45" s="24"/>
      <c r="N45" s="24"/>
      <c r="O45" s="24"/>
      <c r="P45" s="31"/>
    </row>
    <row r="46" spans="2:16" x14ac:dyDescent="0.2">
      <c r="B46" s="55"/>
      <c r="C46" s="35">
        <f>C44+1</f>
        <v>2015</v>
      </c>
      <c r="D46" s="68">
        <f>IF($C$15=Backend!$E$20,Data!D13,SUM(Data!D101,Data!D79,Data!D90))</f>
        <v>284813888.10652345</v>
      </c>
      <c r="E46" s="52">
        <f>IF($C$15=Backend!$E$21,SUMIFS(Data!$D$5:$D$103,Data!$B$5:$B$103,Model!$E$29,Data!$C$5:$C$103,Model!$C46),SUMIFS(Data!$D$5:$D$103,Data!$B$5:$B$103,Model!$E$29,Data!$C$5:$C$103,Model!$C46))</f>
        <v>10342188.106523437</v>
      </c>
      <c r="F46" s="52">
        <f>IF($C$15=Backend!$E$21,SUMIFS(Data!$D$5:$D$103,Data!$B$5:$B$103,Model!$F$29,Data!$C$5:$C$103,Model!$C46),SUMIFS(Data!$D$5:$D$103,Data!$B$5:$B$103,Model!$F$29,Data!$C$5:$C$103,Model!$C46))</f>
        <v>2500000</v>
      </c>
      <c r="G46" s="53">
        <f>IF($C$15=Backend!$E$21,SUMIFS(Data!$D$5:$D$103,Data!$B$5:$B$103,Model!$G$29,Data!$C$5:$C$103,Model!$C46),SUMIFS(Data!$D$5:$D$103,Data!$B$5:$B$103,Model!$G$29,Data!$C$5:$C$103,Model!$C46))</f>
        <v>271971700</v>
      </c>
      <c r="H46" s="24"/>
      <c r="I46" s="24"/>
      <c r="J46" s="24"/>
      <c r="K46" s="24"/>
      <c r="L46" s="24"/>
      <c r="M46" s="24"/>
      <c r="N46" s="24"/>
      <c r="O46" s="24"/>
      <c r="P46" s="31"/>
    </row>
    <row r="47" spans="2:16" ht="16" thickBot="1" x14ac:dyDescent="0.25">
      <c r="B47" s="55"/>
      <c r="C47" s="35"/>
      <c r="D47" s="69"/>
      <c r="E47" s="19">
        <f>IF($C$15=Backend!$E$21,E46/$D46,0)</f>
        <v>3.6312091995511636E-2</v>
      </c>
      <c r="F47" s="19">
        <f>IF($C$15=Backend!$E$21,F46/$D46,0)</f>
        <v>8.777661850060391E-3</v>
      </c>
      <c r="G47" s="19">
        <f>IF($C$15=Backend!$E$21,G46/$D46,0)</f>
        <v>0.95491024615442788</v>
      </c>
      <c r="H47" s="24"/>
      <c r="I47" s="24"/>
      <c r="J47" s="24"/>
      <c r="K47" s="24"/>
      <c r="L47" s="24"/>
      <c r="M47" s="24"/>
      <c r="N47" s="24"/>
      <c r="O47" s="24"/>
      <c r="P47" s="31"/>
    </row>
    <row r="48" spans="2:16" x14ac:dyDescent="0.2">
      <c r="B48" s="55"/>
      <c r="C48" s="35">
        <f>C46+1</f>
        <v>2016</v>
      </c>
      <c r="D48" s="68">
        <f>IF($C$15=Backend!$E$20,Data!D14,SUM(Data!D102,Data!D80,Data!D91))</f>
        <v>288730712.51184958</v>
      </c>
      <c r="E48" s="52">
        <f>IF($C$15=Backend!$E$21,SUMIFS(Data!$D$5:$D$103,Data!$B$5:$B$103,Model!$E$29,Data!$C$5:$C$103,Model!$C48),SUMIFS(Data!$D$5:$D$103,Data!$B$5:$B$103,Model!$E$29,Data!$C$5:$C$103,Model!$C48))</f>
        <v>10859297.51184961</v>
      </c>
      <c r="F48" s="52">
        <f>IF($C$15=Backend!$E$21,SUMIFS(Data!$D$5:$D$103,Data!$B$5:$B$103,Model!$F$29,Data!$C$5:$C$103,Model!$C48),SUMIFS(Data!$D$5:$D$103,Data!$B$5:$B$103,Model!$F$29,Data!$C$5:$C$103,Model!$C48))</f>
        <v>2500000</v>
      </c>
      <c r="G48" s="53">
        <f>IF($C$15=Backend!$E$21,SUMIFS(Data!$D$5:$D$103,Data!$B$5:$B$103,Model!$G$29,Data!$C$5:$C$103,Model!$C48),SUMIFS(Data!$D$5:$D$103,Data!$B$5:$B$103,Model!$G$29,Data!$C$5:$C$103,Model!$C48))</f>
        <v>275371415</v>
      </c>
      <c r="H48" s="24"/>
      <c r="I48" s="24"/>
      <c r="J48" s="24"/>
      <c r="K48" s="24"/>
      <c r="L48" s="24"/>
      <c r="M48" s="24"/>
      <c r="N48" s="24"/>
      <c r="O48" s="24"/>
      <c r="P48" s="31"/>
    </row>
    <row r="49" spans="2:16" ht="16" thickBot="1" x14ac:dyDescent="0.25">
      <c r="B49" s="55"/>
      <c r="C49" s="35"/>
      <c r="D49" s="69"/>
      <c r="E49" s="19">
        <f>IF($C$15=Backend!$E$21,E48/$D48,0)</f>
        <v>3.7610468998527276E-2</v>
      </c>
      <c r="F49" s="19">
        <f>IF($C$15=Backend!$E$21,F48/$D48,0)</f>
        <v>8.6585870212799038E-3</v>
      </c>
      <c r="G49" s="19">
        <f>IF($C$15=Backend!$E$21,G48/$D48,0)</f>
        <v>0.95373094398019287</v>
      </c>
      <c r="H49" s="24"/>
      <c r="I49" s="24"/>
      <c r="J49" s="24"/>
      <c r="K49" s="24"/>
      <c r="L49" s="24"/>
      <c r="M49" s="24"/>
      <c r="N49" s="24"/>
      <c r="O49" s="24"/>
      <c r="P49" s="31"/>
    </row>
    <row r="50" spans="2:16" x14ac:dyDescent="0.2">
      <c r="B50" s="55"/>
      <c r="C50" s="35">
        <f>C48+1</f>
        <v>2017</v>
      </c>
      <c r="D50" s="70">
        <f>IF($C$15=Backend!$E$20,Data!D15,SUM(Data!D103,Data!D81,Data!D92))</f>
        <v>261736552.38744208</v>
      </c>
      <c r="E50" s="52">
        <f>IF($C$15=Backend!$E$21,SUMIFS(Data!$D$5:$D$103,Data!$B$5:$B$103,Model!$E$29,Data!$C$5:$C$103,Model!$C50),SUMIFS(Data!$D$5:$D$103,Data!$B$5:$B$103,Model!$E$29,Data!$C$5:$C$103,Model!$C50))</f>
        <v>11402262.387442091</v>
      </c>
      <c r="F50" s="52">
        <f>IF($C$15=Backend!$E$21,SUMIFS(Data!$D$5:$D$103,Data!$B$5:$B$103,Model!$F$29,Data!$C$5:$C$103,Model!$C50),SUMIFS(Data!$D$5:$D$103,Data!$B$5:$B$103,Model!$F$29,Data!$C$5:$C$103,Model!$C50))</f>
        <v>2500000</v>
      </c>
      <c r="G50" s="53">
        <f>IF($C$15=Backend!$E$21,SUMIFS(Data!$D$5:$D$103,Data!$B$5:$B$103,Model!$G$29,Data!$C$5:$C$103,Model!$C50),SUMIFS(Data!$D$5:$D$103,Data!$B$5:$B$103,Model!$G$29,Data!$C$5:$C$103,Model!$C50))</f>
        <v>247834290</v>
      </c>
      <c r="H50" s="24"/>
      <c r="I50" s="24"/>
      <c r="J50" s="24"/>
      <c r="K50" s="24"/>
      <c r="L50" s="24"/>
      <c r="M50" s="24"/>
      <c r="N50" s="24"/>
      <c r="O50" s="24"/>
      <c r="P50" s="31"/>
    </row>
    <row r="51" spans="2:16" ht="16" thickBot="1" x14ac:dyDescent="0.25">
      <c r="B51" s="55"/>
      <c r="C51" s="23"/>
      <c r="D51" s="71"/>
      <c r="E51" s="19">
        <f>IF($C$15=Backend!$E$21,E50/$D50,0)</f>
        <v>4.356389003918569E-2</v>
      </c>
      <c r="F51" s="19">
        <f>IF($C$15=Backend!$E$21,F50/$D50,0)</f>
        <v>9.5515890967315577E-3</v>
      </c>
      <c r="G51" s="13">
        <f>IF($C$15=Backend!$E$21,G50/$D50,0)</f>
        <v>0.94688452086408281</v>
      </c>
      <c r="H51" s="24"/>
      <c r="I51" s="24"/>
      <c r="J51" s="24"/>
      <c r="K51" s="24"/>
      <c r="L51" s="24"/>
      <c r="M51" s="24"/>
      <c r="N51" s="24"/>
      <c r="O51" s="24"/>
      <c r="P51" s="31"/>
    </row>
    <row r="52" spans="2:16" ht="16" thickBot="1" x14ac:dyDescent="0.25">
      <c r="B52" s="56"/>
      <c r="C52" s="57"/>
      <c r="D52" s="63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8"/>
    </row>
  </sheetData>
  <mergeCells count="12">
    <mergeCell ref="D38:D39"/>
    <mergeCell ref="D40:D41"/>
    <mergeCell ref="F3:J4"/>
    <mergeCell ref="D30:D31"/>
    <mergeCell ref="D32:D33"/>
    <mergeCell ref="D34:D35"/>
    <mergeCell ref="D36:D37"/>
    <mergeCell ref="D42:D43"/>
    <mergeCell ref="D44:D45"/>
    <mergeCell ref="D46:D47"/>
    <mergeCell ref="D48:D49"/>
    <mergeCell ref="D50:D51"/>
  </mergeCells>
  <conditionalFormatting sqref="D17">
    <cfRule type="expression" dxfId="35" priority="36">
      <formula>$C$15="Cost Contribution"</formula>
    </cfRule>
  </conditionalFormatting>
  <conditionalFormatting sqref="D18:D27">
    <cfRule type="expression" dxfId="34" priority="35">
      <formula>$C$15="Cost Contribution"</formula>
    </cfRule>
  </conditionalFormatting>
  <conditionalFormatting sqref="E18:E27">
    <cfRule type="expression" dxfId="33" priority="34">
      <formula>$C$15="Cost Contribution"</formula>
    </cfRule>
  </conditionalFormatting>
  <conditionalFormatting sqref="E30">
    <cfRule type="expression" dxfId="32" priority="33">
      <formula>$C$15="Cost Contribution"</formula>
    </cfRule>
  </conditionalFormatting>
  <conditionalFormatting sqref="E32">
    <cfRule type="expression" dxfId="31" priority="32">
      <formula>$C$15="Cost Contribution"</formula>
    </cfRule>
  </conditionalFormatting>
  <conditionalFormatting sqref="E34">
    <cfRule type="expression" dxfId="30" priority="31">
      <formula>$C$15="Cost Contribution"</formula>
    </cfRule>
  </conditionalFormatting>
  <conditionalFormatting sqref="E36">
    <cfRule type="expression" dxfId="29" priority="30">
      <formula>$C$15="Cost Contribution"</formula>
    </cfRule>
  </conditionalFormatting>
  <conditionalFormatting sqref="E38">
    <cfRule type="expression" dxfId="28" priority="29">
      <formula>$C$15="Cost Contribution"</formula>
    </cfRule>
  </conditionalFormatting>
  <conditionalFormatting sqref="E40">
    <cfRule type="expression" dxfId="27" priority="28">
      <formula>$C$15="Cost Contribution"</formula>
    </cfRule>
  </conditionalFormatting>
  <conditionalFormatting sqref="E42">
    <cfRule type="expression" dxfId="26" priority="27">
      <formula>$C$15="Cost Contribution"</formula>
    </cfRule>
  </conditionalFormatting>
  <conditionalFormatting sqref="E44">
    <cfRule type="expression" dxfId="25" priority="26">
      <formula>$C$15="Cost Contribution"</formula>
    </cfRule>
  </conditionalFormatting>
  <conditionalFormatting sqref="E46">
    <cfRule type="expression" dxfId="24" priority="25">
      <formula>$C$15="Cost Contribution"</formula>
    </cfRule>
  </conditionalFormatting>
  <conditionalFormatting sqref="E48">
    <cfRule type="expression" dxfId="23" priority="24">
      <formula>$C$15="Cost Contribution"</formula>
    </cfRule>
  </conditionalFormatting>
  <conditionalFormatting sqref="E50">
    <cfRule type="expression" dxfId="22" priority="23">
      <formula>$C$15="Cost Contribution"</formula>
    </cfRule>
  </conditionalFormatting>
  <conditionalFormatting sqref="F30">
    <cfRule type="expression" dxfId="21" priority="22">
      <formula>$C$15="Cost Contribution"</formula>
    </cfRule>
  </conditionalFormatting>
  <conditionalFormatting sqref="F32">
    <cfRule type="expression" dxfId="20" priority="21">
      <formula>$C$15="Cost Contribution"</formula>
    </cfRule>
  </conditionalFormatting>
  <conditionalFormatting sqref="F34">
    <cfRule type="expression" dxfId="19" priority="20">
      <formula>$C$15="Cost Contribution"</formula>
    </cfRule>
  </conditionalFormatting>
  <conditionalFormatting sqref="F36">
    <cfRule type="expression" dxfId="18" priority="19">
      <formula>$C$15="Cost Contribution"</formula>
    </cfRule>
  </conditionalFormatting>
  <conditionalFormatting sqref="F38">
    <cfRule type="expression" dxfId="17" priority="18">
      <formula>$C$15="Cost Contribution"</formula>
    </cfRule>
  </conditionalFormatting>
  <conditionalFormatting sqref="F40">
    <cfRule type="expression" dxfId="16" priority="17">
      <formula>$C$15="Cost Contribution"</formula>
    </cfRule>
  </conditionalFormatting>
  <conditionalFormatting sqref="F42">
    <cfRule type="expression" dxfId="15" priority="16">
      <formula>$C$15="Cost Contribution"</formula>
    </cfRule>
  </conditionalFormatting>
  <conditionalFormatting sqref="F44">
    <cfRule type="expression" dxfId="14" priority="15">
      <formula>$C$15="Cost Contribution"</formula>
    </cfRule>
  </conditionalFormatting>
  <conditionalFormatting sqref="F46">
    <cfRule type="expression" dxfId="13" priority="14">
      <formula>$C$15="Cost Contribution"</formula>
    </cfRule>
  </conditionalFormatting>
  <conditionalFormatting sqref="F48">
    <cfRule type="expression" dxfId="12" priority="13">
      <formula>$C$15="Cost Contribution"</formula>
    </cfRule>
  </conditionalFormatting>
  <conditionalFormatting sqref="F50">
    <cfRule type="expression" dxfId="11" priority="12">
      <formula>$C$15="Cost Contribution"</formula>
    </cfRule>
  </conditionalFormatting>
  <conditionalFormatting sqref="G30">
    <cfRule type="expression" dxfId="10" priority="11">
      <formula>$C$15="Cost Contribution"</formula>
    </cfRule>
  </conditionalFormatting>
  <conditionalFormatting sqref="G32">
    <cfRule type="expression" dxfId="9" priority="10">
      <formula>$C$15="Cost Contribution"</formula>
    </cfRule>
  </conditionalFormatting>
  <conditionalFormatting sqref="G34">
    <cfRule type="expression" dxfId="8" priority="9">
      <formula>$C$15="Cost Contribution"</formula>
    </cfRule>
  </conditionalFormatting>
  <conditionalFormatting sqref="G36">
    <cfRule type="expression" dxfId="7" priority="8">
      <formula>$C$15="Cost Contribution"</formula>
    </cfRule>
  </conditionalFormatting>
  <conditionalFormatting sqref="G38">
    <cfRule type="expression" dxfId="6" priority="7">
      <formula>$C$15="Cost Contribution"</formula>
    </cfRule>
  </conditionalFormatting>
  <conditionalFormatting sqref="G40">
    <cfRule type="expression" dxfId="5" priority="6">
      <formula>$C$15="Cost Contribution"</formula>
    </cfRule>
  </conditionalFormatting>
  <conditionalFormatting sqref="G42">
    <cfRule type="expression" dxfId="4" priority="5">
      <formula>$C$15="Cost Contribution"</formula>
    </cfRule>
  </conditionalFormatting>
  <conditionalFormatting sqref="G44">
    <cfRule type="expression" dxfId="3" priority="4">
      <formula>$C$15="Cost Contribution"</formula>
    </cfRule>
  </conditionalFormatting>
  <conditionalFormatting sqref="G46">
    <cfRule type="expression" dxfId="2" priority="3">
      <formula>$C$15="Cost Contribution"</formula>
    </cfRule>
  </conditionalFormatting>
  <conditionalFormatting sqref="G48">
    <cfRule type="expression" dxfId="1" priority="2">
      <formula>$C$15="Cost Contribution"</formula>
    </cfRule>
  </conditionalFormatting>
  <conditionalFormatting sqref="G50">
    <cfRule type="expression" dxfId="0" priority="1">
      <formula>$C$15="Cost Contribution"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60E5D6-1B60-4675-801A-77DD6DFF6553}">
          <x14:formula1>
            <xm:f>Backend!$E$15:$E$17</xm:f>
          </x14:formula1>
          <xm:sqref>D16</xm:sqref>
        </x14:dataValidation>
        <x14:dataValidation type="list" allowBlank="1" showInputMessage="1" showErrorMessage="1" xr:uid="{68307838-882D-4503-A41E-1DCDF8561CF0}">
          <x14:formula1>
            <xm:f>Backend!$E$20:$E$21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269E-80B3-4F1A-8FFF-3EC5E103C739}">
  <dimension ref="B2:N103"/>
  <sheetViews>
    <sheetView showGridLines="0" workbookViewId="0">
      <selection activeCell="D5" sqref="D5:D15"/>
    </sheetView>
  </sheetViews>
  <sheetFormatPr baseColWidth="10" defaultColWidth="9.1640625" defaultRowHeight="14" x14ac:dyDescent="0.15"/>
  <cols>
    <col min="1" max="1" width="9.1640625" style="1"/>
    <col min="2" max="2" width="28.5" style="1" bestFit="1" customWidth="1"/>
    <col min="3" max="3" width="9.1640625" style="1"/>
    <col min="4" max="4" width="12.5" style="1" bestFit="1" customWidth="1"/>
    <col min="5" max="5" width="12" style="1" bestFit="1" customWidth="1"/>
    <col min="6" max="16384" width="9.1640625" style="1"/>
  </cols>
  <sheetData>
    <row r="2" spans="2:14" x14ac:dyDescent="0.15"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x14ac:dyDescent="0.15">
      <c r="B4" s="1" t="s">
        <v>3</v>
      </c>
      <c r="C4" s="1" t="s">
        <v>1</v>
      </c>
      <c r="D4" s="1" t="s">
        <v>2</v>
      </c>
    </row>
    <row r="5" spans="2:14" x14ac:dyDescent="0.15">
      <c r="B5" s="4" t="s">
        <v>0</v>
      </c>
      <c r="C5" s="4">
        <v>2007</v>
      </c>
      <c r="D5" s="5">
        <v>50000000</v>
      </c>
      <c r="E5" s="1" t="s">
        <v>23</v>
      </c>
    </row>
    <row r="6" spans="2:14" x14ac:dyDescent="0.15">
      <c r="B6" s="1" t="s">
        <v>0</v>
      </c>
      <c r="C6" s="1">
        <v>2008</v>
      </c>
      <c r="D6" s="3">
        <v>60000000</v>
      </c>
      <c r="E6" s="1" t="s">
        <v>23</v>
      </c>
    </row>
    <row r="7" spans="2:14" x14ac:dyDescent="0.15">
      <c r="B7" s="1" t="s">
        <v>0</v>
      </c>
      <c r="C7" s="1">
        <v>2009</v>
      </c>
      <c r="D7" s="3">
        <v>75000000</v>
      </c>
      <c r="E7" s="1" t="s">
        <v>23</v>
      </c>
    </row>
    <row r="8" spans="2:14" x14ac:dyDescent="0.15">
      <c r="B8" s="1" t="s">
        <v>0</v>
      </c>
      <c r="C8" s="1">
        <v>2010</v>
      </c>
      <c r="D8" s="3">
        <v>97500000</v>
      </c>
      <c r="E8" s="1" t="s">
        <v>23</v>
      </c>
    </row>
    <row r="9" spans="2:14" x14ac:dyDescent="0.15">
      <c r="B9" s="1" t="s">
        <v>0</v>
      </c>
      <c r="C9" s="1">
        <v>2011</v>
      </c>
      <c r="D9" s="3">
        <v>136500000</v>
      </c>
      <c r="E9" s="1" t="s">
        <v>23</v>
      </c>
    </row>
    <row r="10" spans="2:14" x14ac:dyDescent="0.15">
      <c r="B10" s="1" t="s">
        <v>0</v>
      </c>
      <c r="C10" s="1">
        <v>2012</v>
      </c>
      <c r="D10" s="3">
        <v>177450000</v>
      </c>
      <c r="E10" s="1" t="s">
        <v>23</v>
      </c>
    </row>
    <row r="11" spans="2:14" x14ac:dyDescent="0.15">
      <c r="B11" s="1" t="s">
        <v>0</v>
      </c>
      <c r="C11" s="1">
        <v>2013</v>
      </c>
      <c r="D11" s="3">
        <v>212940000</v>
      </c>
      <c r="E11" s="1" t="s">
        <v>23</v>
      </c>
    </row>
    <row r="12" spans="2:14" x14ac:dyDescent="0.15">
      <c r="B12" s="1" t="s">
        <v>0</v>
      </c>
      <c r="C12" s="1">
        <v>2014</v>
      </c>
      <c r="D12" s="3">
        <v>234234000.00000003</v>
      </c>
      <c r="E12" s="1" t="s">
        <v>23</v>
      </c>
    </row>
    <row r="13" spans="2:14" x14ac:dyDescent="0.15">
      <c r="B13" s="1" t="s">
        <v>0</v>
      </c>
      <c r="C13" s="1">
        <v>2015</v>
      </c>
      <c r="D13" s="3">
        <v>222522300.00000003</v>
      </c>
      <c r="E13" s="1" t="s">
        <v>23</v>
      </c>
    </row>
    <row r="14" spans="2:14" x14ac:dyDescent="0.15">
      <c r="B14" s="1" t="s">
        <v>0</v>
      </c>
      <c r="C14" s="1">
        <v>2016</v>
      </c>
      <c r="D14" s="3">
        <v>200270070.00000003</v>
      </c>
      <c r="E14" s="1" t="s">
        <v>23</v>
      </c>
    </row>
    <row r="15" spans="2:14" x14ac:dyDescent="0.15">
      <c r="B15" s="1" t="s">
        <v>0</v>
      </c>
      <c r="C15" s="1">
        <v>2017</v>
      </c>
      <c r="D15" s="3">
        <v>180243063.00000003</v>
      </c>
      <c r="E15" s="1" t="s">
        <v>23</v>
      </c>
    </row>
    <row r="16" spans="2:14" x14ac:dyDescent="0.15">
      <c r="B16" s="1" t="s">
        <v>4</v>
      </c>
      <c r="C16" s="1">
        <v>2007</v>
      </c>
      <c r="D16" s="3">
        <v>25</v>
      </c>
      <c r="E16" s="1" t="s">
        <v>23</v>
      </c>
    </row>
    <row r="17" spans="2:5" x14ac:dyDescent="0.15">
      <c r="B17" s="1" t="s">
        <v>4</v>
      </c>
      <c r="C17" s="1">
        <v>2008</v>
      </c>
      <c r="D17" s="3">
        <v>30</v>
      </c>
      <c r="E17" s="1" t="s">
        <v>23</v>
      </c>
    </row>
    <row r="18" spans="2:5" x14ac:dyDescent="0.15">
      <c r="B18" s="1" t="s">
        <v>4</v>
      </c>
      <c r="C18" s="1">
        <v>2009</v>
      </c>
      <c r="D18" s="3">
        <v>35</v>
      </c>
      <c r="E18" s="1" t="s">
        <v>23</v>
      </c>
    </row>
    <row r="19" spans="2:5" x14ac:dyDescent="0.15">
      <c r="B19" s="1" t="s">
        <v>4</v>
      </c>
      <c r="C19" s="1">
        <v>2010</v>
      </c>
      <c r="D19" s="3">
        <v>40</v>
      </c>
      <c r="E19" s="1" t="s">
        <v>23</v>
      </c>
    </row>
    <row r="20" spans="2:5" x14ac:dyDescent="0.15">
      <c r="B20" s="1" t="s">
        <v>4</v>
      </c>
      <c r="C20" s="1">
        <v>2011</v>
      </c>
      <c r="D20" s="3">
        <v>100</v>
      </c>
      <c r="E20" s="1" t="s">
        <v>23</v>
      </c>
    </row>
    <row r="21" spans="2:5" x14ac:dyDescent="0.15">
      <c r="B21" s="1" t="s">
        <v>4</v>
      </c>
      <c r="C21" s="1">
        <v>2012</v>
      </c>
      <c r="D21" s="3">
        <v>150</v>
      </c>
      <c r="E21" s="1" t="s">
        <v>23</v>
      </c>
    </row>
    <row r="22" spans="2:5" x14ac:dyDescent="0.15">
      <c r="B22" s="1" t="s">
        <v>4</v>
      </c>
      <c r="C22" s="1">
        <v>2013</v>
      </c>
      <c r="D22" s="3">
        <v>180</v>
      </c>
      <c r="E22" s="1" t="s">
        <v>23</v>
      </c>
    </row>
    <row r="23" spans="2:5" x14ac:dyDescent="0.15">
      <c r="B23" s="1" t="s">
        <v>4</v>
      </c>
      <c r="C23" s="1">
        <v>2014</v>
      </c>
      <c r="D23" s="3">
        <v>200</v>
      </c>
      <c r="E23" s="1" t="s">
        <v>23</v>
      </c>
    </row>
    <row r="24" spans="2:5" x14ac:dyDescent="0.15">
      <c r="B24" s="1" t="s">
        <v>4</v>
      </c>
      <c r="C24" s="1">
        <v>2015</v>
      </c>
      <c r="D24" s="3">
        <v>300</v>
      </c>
      <c r="E24" s="1" t="s">
        <v>23</v>
      </c>
    </row>
    <row r="25" spans="2:5" x14ac:dyDescent="0.15">
      <c r="B25" s="1" t="s">
        <v>4</v>
      </c>
      <c r="C25" s="1">
        <v>2016</v>
      </c>
      <c r="D25" s="3">
        <v>310</v>
      </c>
      <c r="E25" s="1" t="s">
        <v>23</v>
      </c>
    </row>
    <row r="26" spans="2:5" x14ac:dyDescent="0.15">
      <c r="B26" s="1" t="s">
        <v>4</v>
      </c>
      <c r="C26" s="1">
        <v>2017</v>
      </c>
      <c r="D26" s="3">
        <v>320</v>
      </c>
      <c r="E26" s="1" t="s">
        <v>23</v>
      </c>
    </row>
    <row r="27" spans="2:5" ht="15" x14ac:dyDescent="0.2">
      <c r="B27" s="1" t="s">
        <v>5</v>
      </c>
      <c r="C27" s="1">
        <v>2007</v>
      </c>
      <c r="D27" s="3">
        <v>500000</v>
      </c>
      <c r="E27" s="6" t="s">
        <v>19</v>
      </c>
    </row>
    <row r="28" spans="2:5" ht="15" x14ac:dyDescent="0.2">
      <c r="B28" s="1" t="s">
        <v>5</v>
      </c>
      <c r="C28" s="1">
        <v>2008</v>
      </c>
      <c r="D28" s="3">
        <v>600000</v>
      </c>
      <c r="E28" s="6" t="s">
        <v>19</v>
      </c>
    </row>
    <row r="29" spans="2:5" ht="15" x14ac:dyDescent="0.2">
      <c r="B29" s="1" t="s">
        <v>5</v>
      </c>
      <c r="C29" s="1">
        <v>2009</v>
      </c>
      <c r="D29" s="3">
        <v>750000</v>
      </c>
      <c r="E29" s="6" t="s">
        <v>19</v>
      </c>
    </row>
    <row r="30" spans="2:5" ht="15" x14ac:dyDescent="0.2">
      <c r="B30" s="1" t="s">
        <v>5</v>
      </c>
      <c r="C30" s="1">
        <v>2010</v>
      </c>
      <c r="D30" s="3">
        <v>975000</v>
      </c>
      <c r="E30" s="6" t="s">
        <v>19</v>
      </c>
    </row>
    <row r="31" spans="2:5" ht="15" x14ac:dyDescent="0.2">
      <c r="B31" s="1" t="s">
        <v>5</v>
      </c>
      <c r="C31" s="1">
        <v>2011</v>
      </c>
      <c r="D31" s="3">
        <v>1365000</v>
      </c>
      <c r="E31" s="6" t="s">
        <v>19</v>
      </c>
    </row>
    <row r="32" spans="2:5" ht="15" x14ac:dyDescent="0.2">
      <c r="B32" s="1" t="s">
        <v>5</v>
      </c>
      <c r="C32" s="1">
        <v>2012</v>
      </c>
      <c r="D32" s="3">
        <v>1774500</v>
      </c>
      <c r="E32" s="6" t="s">
        <v>19</v>
      </c>
    </row>
    <row r="33" spans="2:5" ht="15" x14ac:dyDescent="0.2">
      <c r="B33" s="1" t="s">
        <v>5</v>
      </c>
      <c r="C33" s="1">
        <v>2013</v>
      </c>
      <c r="D33" s="3">
        <v>2129400</v>
      </c>
      <c r="E33" s="6" t="s">
        <v>19</v>
      </c>
    </row>
    <row r="34" spans="2:5" ht="15" x14ac:dyDescent="0.2">
      <c r="B34" s="1" t="s">
        <v>5</v>
      </c>
      <c r="C34" s="1">
        <v>2014</v>
      </c>
      <c r="D34" s="3">
        <v>2342340</v>
      </c>
      <c r="E34" s="6" t="s">
        <v>19</v>
      </c>
    </row>
    <row r="35" spans="2:5" ht="15" x14ac:dyDescent="0.2">
      <c r="B35" s="1" t="s">
        <v>5</v>
      </c>
      <c r="C35" s="1">
        <v>2015</v>
      </c>
      <c r="D35" s="3">
        <v>2225223</v>
      </c>
      <c r="E35" s="6" t="s">
        <v>19</v>
      </c>
    </row>
    <row r="36" spans="2:5" ht="15" x14ac:dyDescent="0.2">
      <c r="B36" s="1" t="s">
        <v>5</v>
      </c>
      <c r="C36" s="1">
        <v>2016</v>
      </c>
      <c r="D36" s="3">
        <v>2002701</v>
      </c>
      <c r="E36" s="6" t="s">
        <v>19</v>
      </c>
    </row>
    <row r="37" spans="2:5" ht="15" x14ac:dyDescent="0.2">
      <c r="B37" s="1" t="s">
        <v>5</v>
      </c>
      <c r="C37" s="1">
        <v>2017</v>
      </c>
      <c r="D37" s="3">
        <v>1802431</v>
      </c>
      <c r="E37" s="6" t="s">
        <v>19</v>
      </c>
    </row>
    <row r="38" spans="2:5" ht="15" x14ac:dyDescent="0.2">
      <c r="B38" s="1" t="s">
        <v>6</v>
      </c>
      <c r="C38" s="1">
        <v>2007</v>
      </c>
      <c r="D38" s="3">
        <v>100</v>
      </c>
      <c r="E38" s="6" t="s">
        <v>19</v>
      </c>
    </row>
    <row r="39" spans="2:5" ht="15" x14ac:dyDescent="0.2">
      <c r="B39" s="1" t="s">
        <v>6</v>
      </c>
      <c r="C39" s="1">
        <v>2008</v>
      </c>
      <c r="D39" s="3">
        <v>125</v>
      </c>
      <c r="E39" s="6" t="s">
        <v>19</v>
      </c>
    </row>
    <row r="40" spans="2:5" ht="15" x14ac:dyDescent="0.2">
      <c r="B40" s="1" t="s">
        <v>6</v>
      </c>
      <c r="C40" s="1">
        <v>2009</v>
      </c>
      <c r="D40" s="3">
        <v>150</v>
      </c>
      <c r="E40" s="6" t="s">
        <v>19</v>
      </c>
    </row>
    <row r="41" spans="2:5" ht="15" x14ac:dyDescent="0.2">
      <c r="B41" s="1" t="s">
        <v>6</v>
      </c>
      <c r="C41" s="1">
        <v>2010</v>
      </c>
      <c r="D41" s="3">
        <v>200</v>
      </c>
      <c r="E41" s="6" t="s">
        <v>19</v>
      </c>
    </row>
    <row r="42" spans="2:5" ht="15" x14ac:dyDescent="0.2">
      <c r="B42" s="1" t="s">
        <v>6</v>
      </c>
      <c r="C42" s="1">
        <v>2011</v>
      </c>
      <c r="D42" s="3">
        <v>500</v>
      </c>
      <c r="E42" s="6" t="s">
        <v>19</v>
      </c>
    </row>
    <row r="43" spans="2:5" ht="15" x14ac:dyDescent="0.2">
      <c r="B43" s="1" t="s">
        <v>6</v>
      </c>
      <c r="C43" s="1">
        <v>2012</v>
      </c>
      <c r="D43" s="3">
        <v>680</v>
      </c>
      <c r="E43" s="6" t="s">
        <v>19</v>
      </c>
    </row>
    <row r="44" spans="2:5" ht="15" x14ac:dyDescent="0.2">
      <c r="B44" s="1" t="s">
        <v>6</v>
      </c>
      <c r="C44" s="1">
        <v>2013</v>
      </c>
      <c r="D44" s="3">
        <v>850</v>
      </c>
      <c r="E44" s="6" t="s">
        <v>19</v>
      </c>
    </row>
    <row r="45" spans="2:5" ht="15" x14ac:dyDescent="0.2">
      <c r="B45" s="1" t="s">
        <v>6</v>
      </c>
      <c r="C45" s="1">
        <v>2014</v>
      </c>
      <c r="D45" s="3">
        <v>950</v>
      </c>
      <c r="E45" s="6" t="s">
        <v>19</v>
      </c>
    </row>
    <row r="46" spans="2:5" ht="15" x14ac:dyDescent="0.2">
      <c r="B46" s="1" t="s">
        <v>6</v>
      </c>
      <c r="C46" s="1">
        <v>2015</v>
      </c>
      <c r="D46" s="3">
        <v>975</v>
      </c>
      <c r="E46" s="6" t="s">
        <v>19</v>
      </c>
    </row>
    <row r="47" spans="2:5" ht="15" x14ac:dyDescent="0.2">
      <c r="B47" s="1" t="s">
        <v>6</v>
      </c>
      <c r="C47" s="1">
        <v>2016</v>
      </c>
      <c r="D47" s="3">
        <v>980</v>
      </c>
      <c r="E47" s="6" t="s">
        <v>19</v>
      </c>
    </row>
    <row r="48" spans="2:5" ht="15" x14ac:dyDescent="0.2">
      <c r="B48" s="1" t="s">
        <v>6</v>
      </c>
      <c r="C48" s="1">
        <v>2017</v>
      </c>
      <c r="D48" s="3">
        <v>980</v>
      </c>
      <c r="E48" s="6" t="s">
        <v>19</v>
      </c>
    </row>
    <row r="49" spans="2:7" x14ac:dyDescent="0.15">
      <c r="B49" s="1" t="s">
        <v>7</v>
      </c>
      <c r="C49" s="1">
        <v>2007</v>
      </c>
      <c r="D49" s="3">
        <v>10</v>
      </c>
      <c r="E49" s="1" t="s">
        <v>23</v>
      </c>
    </row>
    <row r="50" spans="2:7" x14ac:dyDescent="0.15">
      <c r="B50" s="1" t="s">
        <v>7</v>
      </c>
      <c r="C50" s="1">
        <v>2008</v>
      </c>
      <c r="D50" s="3">
        <v>20</v>
      </c>
      <c r="E50" s="1" t="s">
        <v>23</v>
      </c>
    </row>
    <row r="51" spans="2:7" x14ac:dyDescent="0.15">
      <c r="B51" s="1" t="s">
        <v>7</v>
      </c>
      <c r="C51" s="1">
        <v>2009</v>
      </c>
      <c r="D51" s="3">
        <v>20</v>
      </c>
      <c r="E51" s="1" t="s">
        <v>23</v>
      </c>
    </row>
    <row r="52" spans="2:7" x14ac:dyDescent="0.15">
      <c r="B52" s="1" t="s">
        <v>7</v>
      </c>
      <c r="C52" s="1">
        <v>2010</v>
      </c>
      <c r="D52" s="3">
        <v>20</v>
      </c>
      <c r="E52" s="1" t="s">
        <v>23</v>
      </c>
    </row>
    <row r="53" spans="2:7" x14ac:dyDescent="0.15">
      <c r="B53" s="1" t="s">
        <v>7</v>
      </c>
      <c r="C53" s="1">
        <v>2011</v>
      </c>
      <c r="D53" s="3">
        <v>20</v>
      </c>
      <c r="E53" s="1" t="s">
        <v>23</v>
      </c>
    </row>
    <row r="54" spans="2:7" x14ac:dyDescent="0.15">
      <c r="B54" s="1" t="s">
        <v>7</v>
      </c>
      <c r="C54" s="1">
        <v>2012</v>
      </c>
      <c r="D54" s="3">
        <v>25</v>
      </c>
      <c r="E54" s="1" t="s">
        <v>23</v>
      </c>
    </row>
    <row r="55" spans="2:7" x14ac:dyDescent="0.15">
      <c r="B55" s="1" t="s">
        <v>7</v>
      </c>
      <c r="C55" s="1">
        <v>2013</v>
      </c>
      <c r="D55" s="3">
        <v>30</v>
      </c>
      <c r="E55" s="1" t="s">
        <v>23</v>
      </c>
    </row>
    <row r="56" spans="2:7" x14ac:dyDescent="0.15">
      <c r="B56" s="1" t="s">
        <v>7</v>
      </c>
      <c r="C56" s="1">
        <v>2014</v>
      </c>
      <c r="D56" s="3">
        <v>35</v>
      </c>
      <c r="E56" s="1" t="s">
        <v>23</v>
      </c>
    </row>
    <row r="57" spans="2:7" x14ac:dyDescent="0.15">
      <c r="B57" s="1" t="s">
        <v>7</v>
      </c>
      <c r="C57" s="1">
        <v>2015</v>
      </c>
      <c r="D57" s="3">
        <v>35</v>
      </c>
      <c r="E57" s="1" t="s">
        <v>23</v>
      </c>
    </row>
    <row r="58" spans="2:7" x14ac:dyDescent="0.15">
      <c r="B58" s="1" t="s">
        <v>7</v>
      </c>
      <c r="C58" s="1">
        <v>2016</v>
      </c>
      <c r="D58" s="3">
        <v>35</v>
      </c>
      <c r="E58" s="1" t="s">
        <v>23</v>
      </c>
    </row>
    <row r="59" spans="2:7" x14ac:dyDescent="0.15">
      <c r="B59" s="1" t="s">
        <v>7</v>
      </c>
      <c r="C59" s="1">
        <v>2017</v>
      </c>
      <c r="D59" s="3">
        <v>35</v>
      </c>
      <c r="E59" s="1" t="s">
        <v>23</v>
      </c>
    </row>
    <row r="60" spans="2:7" ht="15" x14ac:dyDescent="0.2">
      <c r="B60" s="1" t="s">
        <v>8</v>
      </c>
      <c r="C60" s="1">
        <v>2007</v>
      </c>
      <c r="D60" s="3">
        <v>625000</v>
      </c>
      <c r="E60" s="6" t="s">
        <v>19</v>
      </c>
      <c r="G60" s="3"/>
    </row>
    <row r="61" spans="2:7" ht="15" x14ac:dyDescent="0.2">
      <c r="B61" s="1" t="s">
        <v>8</v>
      </c>
      <c r="C61" s="1">
        <v>2008</v>
      </c>
      <c r="D61" s="3">
        <v>750000</v>
      </c>
      <c r="E61" s="6" t="s">
        <v>19</v>
      </c>
      <c r="G61" s="3"/>
    </row>
    <row r="62" spans="2:7" ht="15" x14ac:dyDescent="0.2">
      <c r="B62" s="1" t="s">
        <v>8</v>
      </c>
      <c r="C62" s="1">
        <v>2009</v>
      </c>
      <c r="D62" s="3">
        <v>1000000</v>
      </c>
      <c r="E62" s="6" t="s">
        <v>19</v>
      </c>
      <c r="G62" s="3"/>
    </row>
    <row r="63" spans="2:7" ht="15" x14ac:dyDescent="0.2">
      <c r="B63" s="1" t="s">
        <v>8</v>
      </c>
      <c r="C63" s="1">
        <v>2010</v>
      </c>
      <c r="D63" s="3">
        <v>1392858</v>
      </c>
      <c r="E63" s="6" t="s">
        <v>19</v>
      </c>
      <c r="G63" s="3"/>
    </row>
    <row r="64" spans="2:7" ht="15" x14ac:dyDescent="0.2">
      <c r="B64" s="1" t="s">
        <v>8</v>
      </c>
      <c r="C64" s="1">
        <v>2011</v>
      </c>
      <c r="D64" s="3">
        <v>2100000</v>
      </c>
      <c r="E64" s="6" t="s">
        <v>19</v>
      </c>
      <c r="G64" s="3"/>
    </row>
    <row r="65" spans="2:7" ht="15" x14ac:dyDescent="0.2">
      <c r="B65" s="1" t="s">
        <v>8</v>
      </c>
      <c r="C65" s="1">
        <v>2012</v>
      </c>
      <c r="D65" s="3">
        <v>2957500</v>
      </c>
      <c r="E65" s="6" t="s">
        <v>19</v>
      </c>
      <c r="G65" s="3"/>
    </row>
    <row r="66" spans="2:7" ht="15" x14ac:dyDescent="0.2">
      <c r="B66" s="1" t="s">
        <v>8</v>
      </c>
      <c r="C66" s="1">
        <v>2013</v>
      </c>
      <c r="D66" s="3">
        <v>3871637</v>
      </c>
      <c r="E66" s="6" t="s">
        <v>19</v>
      </c>
      <c r="G66" s="3"/>
    </row>
    <row r="67" spans="2:7" ht="15" x14ac:dyDescent="0.2">
      <c r="B67" s="1" t="s">
        <v>8</v>
      </c>
      <c r="C67" s="1">
        <v>2014</v>
      </c>
      <c r="D67" s="3">
        <v>4684680</v>
      </c>
      <c r="E67" s="6" t="s">
        <v>19</v>
      </c>
      <c r="G67" s="3"/>
    </row>
    <row r="68" spans="2:7" ht="15" x14ac:dyDescent="0.2">
      <c r="B68" s="1" t="s">
        <v>8</v>
      </c>
      <c r="C68" s="1">
        <v>2015</v>
      </c>
      <c r="D68" s="3">
        <v>4944940</v>
      </c>
      <c r="E68" s="6" t="s">
        <v>19</v>
      </c>
      <c r="G68" s="3"/>
    </row>
    <row r="69" spans="2:7" ht="15" x14ac:dyDescent="0.2">
      <c r="B69" s="1" t="s">
        <v>8</v>
      </c>
      <c r="C69" s="1">
        <v>2016</v>
      </c>
      <c r="D69" s="3">
        <v>5006753</v>
      </c>
      <c r="E69" s="6" t="s">
        <v>19</v>
      </c>
      <c r="G69" s="3"/>
    </row>
    <row r="70" spans="2:7" ht="15" x14ac:dyDescent="0.2">
      <c r="B70" s="1" t="s">
        <v>8</v>
      </c>
      <c r="C70" s="1">
        <v>2017</v>
      </c>
      <c r="D70" s="3">
        <v>4506078</v>
      </c>
      <c r="E70" s="6" t="s">
        <v>19</v>
      </c>
      <c r="G70" s="3"/>
    </row>
    <row r="71" spans="2:7" ht="15" x14ac:dyDescent="0.2">
      <c r="B71" s="1" t="s">
        <v>9</v>
      </c>
      <c r="C71" s="1">
        <v>2007</v>
      </c>
      <c r="D71" s="3">
        <v>34375000</v>
      </c>
      <c r="E71" s="6" t="s">
        <v>22</v>
      </c>
    </row>
    <row r="72" spans="2:7" ht="15" x14ac:dyDescent="0.2">
      <c r="B72" s="1" t="s">
        <v>9</v>
      </c>
      <c r="C72" s="1">
        <v>2008</v>
      </c>
      <c r="D72" s="3">
        <v>41250000</v>
      </c>
      <c r="E72" s="6" t="s">
        <v>22</v>
      </c>
    </row>
    <row r="73" spans="2:7" ht="15" x14ac:dyDescent="0.2">
      <c r="B73" s="1" t="s">
        <v>9</v>
      </c>
      <c r="C73" s="1">
        <v>2009</v>
      </c>
      <c r="D73" s="3">
        <v>55000000</v>
      </c>
      <c r="E73" s="6" t="s">
        <v>22</v>
      </c>
    </row>
    <row r="74" spans="2:7" ht="15" x14ac:dyDescent="0.2">
      <c r="B74" s="1" t="s">
        <v>9</v>
      </c>
      <c r="C74" s="1">
        <v>2010</v>
      </c>
      <c r="D74" s="3">
        <v>76607190</v>
      </c>
      <c r="E74" s="6" t="s">
        <v>22</v>
      </c>
    </row>
    <row r="75" spans="2:7" ht="15" x14ac:dyDescent="0.2">
      <c r="B75" s="1" t="s">
        <v>9</v>
      </c>
      <c r="C75" s="1">
        <v>2011</v>
      </c>
      <c r="D75" s="3">
        <v>115500000</v>
      </c>
      <c r="E75" s="6" t="s">
        <v>22</v>
      </c>
    </row>
    <row r="76" spans="2:7" ht="15" x14ac:dyDescent="0.2">
      <c r="B76" s="1" t="s">
        <v>9</v>
      </c>
      <c r="C76" s="1">
        <v>2012</v>
      </c>
      <c r="D76" s="3">
        <v>162662500</v>
      </c>
      <c r="E76" s="6" t="s">
        <v>22</v>
      </c>
    </row>
    <row r="77" spans="2:7" ht="15" x14ac:dyDescent="0.2">
      <c r="B77" s="1" t="s">
        <v>9</v>
      </c>
      <c r="C77" s="1">
        <v>2013</v>
      </c>
      <c r="D77" s="3">
        <v>212940035</v>
      </c>
      <c r="E77" s="6" t="s">
        <v>22</v>
      </c>
    </row>
    <row r="78" spans="2:7" ht="15" x14ac:dyDescent="0.2">
      <c r="B78" s="1" t="s">
        <v>9</v>
      </c>
      <c r="C78" s="1">
        <v>2014</v>
      </c>
      <c r="D78" s="3">
        <v>257657400</v>
      </c>
      <c r="E78" s="6" t="s">
        <v>22</v>
      </c>
    </row>
    <row r="79" spans="2:7" ht="15" x14ac:dyDescent="0.2">
      <c r="B79" s="1" t="s">
        <v>9</v>
      </c>
      <c r="C79" s="1">
        <v>2015</v>
      </c>
      <c r="D79" s="3">
        <v>271971700</v>
      </c>
      <c r="E79" s="6" t="s">
        <v>22</v>
      </c>
    </row>
    <row r="80" spans="2:7" ht="15" x14ac:dyDescent="0.2">
      <c r="B80" s="1" t="s">
        <v>9</v>
      </c>
      <c r="C80" s="1">
        <v>2016</v>
      </c>
      <c r="D80" s="3">
        <v>275371415</v>
      </c>
      <c r="E80" s="6" t="s">
        <v>22</v>
      </c>
    </row>
    <row r="81" spans="2:5" ht="15" x14ac:dyDescent="0.2">
      <c r="B81" s="1" t="s">
        <v>9</v>
      </c>
      <c r="C81" s="1">
        <v>2017</v>
      </c>
      <c r="D81" s="3">
        <v>247834290</v>
      </c>
      <c r="E81" s="6" t="s">
        <v>22</v>
      </c>
    </row>
    <row r="82" spans="2:5" ht="15" x14ac:dyDescent="0.2">
      <c r="B82" s="1" t="s">
        <v>10</v>
      </c>
      <c r="C82" s="1">
        <v>2007</v>
      </c>
      <c r="D82" s="3">
        <v>750000</v>
      </c>
      <c r="E82" s="6" t="s">
        <v>22</v>
      </c>
    </row>
    <row r="83" spans="2:5" ht="15" x14ac:dyDescent="0.2">
      <c r="B83" s="1" t="s">
        <v>10</v>
      </c>
      <c r="C83" s="1">
        <v>2008</v>
      </c>
      <c r="D83" s="3">
        <v>2500000</v>
      </c>
      <c r="E83" s="6" t="s">
        <v>22</v>
      </c>
    </row>
    <row r="84" spans="2:5" ht="15" x14ac:dyDescent="0.2">
      <c r="B84" s="1" t="s">
        <v>10</v>
      </c>
      <c r="C84" s="1">
        <v>2009</v>
      </c>
      <c r="D84" s="3">
        <v>3000000</v>
      </c>
      <c r="E84" s="6" t="s">
        <v>22</v>
      </c>
    </row>
    <row r="85" spans="2:5" ht="15" x14ac:dyDescent="0.2">
      <c r="B85" s="1" t="s">
        <v>10</v>
      </c>
      <c r="C85" s="1">
        <v>2010</v>
      </c>
      <c r="D85" s="3">
        <v>3000000</v>
      </c>
      <c r="E85" s="6" t="s">
        <v>22</v>
      </c>
    </row>
    <row r="86" spans="2:5" ht="15" x14ac:dyDescent="0.2">
      <c r="B86" s="1" t="s">
        <v>10</v>
      </c>
      <c r="C86" s="1">
        <v>2011</v>
      </c>
      <c r="D86" s="3">
        <v>3000000</v>
      </c>
      <c r="E86" s="6" t="s">
        <v>22</v>
      </c>
    </row>
    <row r="87" spans="2:5" ht="15" x14ac:dyDescent="0.2">
      <c r="B87" s="1" t="s">
        <v>10</v>
      </c>
      <c r="C87" s="1">
        <v>2012</v>
      </c>
      <c r="D87" s="3">
        <v>3125000</v>
      </c>
      <c r="E87" s="6" t="s">
        <v>22</v>
      </c>
    </row>
    <row r="88" spans="2:5" ht="15" x14ac:dyDescent="0.2">
      <c r="B88" s="1" t="s">
        <v>10</v>
      </c>
      <c r="C88" s="1">
        <v>2013</v>
      </c>
      <c r="D88" s="3">
        <v>2500000</v>
      </c>
      <c r="E88" s="6" t="s">
        <v>22</v>
      </c>
    </row>
    <row r="89" spans="2:5" ht="15" x14ac:dyDescent="0.2">
      <c r="B89" s="1" t="s">
        <v>10</v>
      </c>
      <c r="C89" s="1">
        <v>2014</v>
      </c>
      <c r="D89" s="3">
        <v>2500000</v>
      </c>
      <c r="E89" s="6" t="s">
        <v>22</v>
      </c>
    </row>
    <row r="90" spans="2:5" ht="15" x14ac:dyDescent="0.2">
      <c r="B90" s="1" t="s">
        <v>10</v>
      </c>
      <c r="C90" s="1">
        <v>2015</v>
      </c>
      <c r="D90" s="3">
        <v>2500000</v>
      </c>
      <c r="E90" s="6" t="s">
        <v>22</v>
      </c>
    </row>
    <row r="91" spans="2:5" ht="15" x14ac:dyDescent="0.2">
      <c r="B91" s="1" t="s">
        <v>10</v>
      </c>
      <c r="C91" s="1">
        <v>2016</v>
      </c>
      <c r="D91" s="3">
        <v>2500000</v>
      </c>
      <c r="E91" s="6" t="s">
        <v>22</v>
      </c>
    </row>
    <row r="92" spans="2:5" ht="15" x14ac:dyDescent="0.2">
      <c r="B92" s="1" t="s">
        <v>10</v>
      </c>
      <c r="C92" s="1">
        <v>2017</v>
      </c>
      <c r="D92" s="3">
        <v>2500000</v>
      </c>
      <c r="E92" s="6" t="s">
        <v>22</v>
      </c>
    </row>
    <row r="93" spans="2:5" ht="15" x14ac:dyDescent="0.2">
      <c r="B93" s="1" t="s">
        <v>11</v>
      </c>
      <c r="C93" s="1">
        <v>2007</v>
      </c>
      <c r="D93" s="3">
        <f>7*10^6</f>
        <v>7000000</v>
      </c>
      <c r="E93" s="6" t="s">
        <v>22</v>
      </c>
    </row>
    <row r="94" spans="2:5" ht="15" x14ac:dyDescent="0.2">
      <c r="B94" s="1" t="s">
        <v>11</v>
      </c>
      <c r="C94" s="1">
        <v>2008</v>
      </c>
      <c r="D94" s="3">
        <v>7350000</v>
      </c>
      <c r="E94" s="6" t="s">
        <v>22</v>
      </c>
    </row>
    <row r="95" spans="2:5" ht="15" x14ac:dyDescent="0.2">
      <c r="B95" s="1" t="s">
        <v>11</v>
      </c>
      <c r="C95" s="1">
        <v>2009</v>
      </c>
      <c r="D95" s="3">
        <v>7717500</v>
      </c>
      <c r="E95" s="6" t="s">
        <v>22</v>
      </c>
    </row>
    <row r="96" spans="2:5" ht="15" x14ac:dyDescent="0.2">
      <c r="B96" s="1" t="s">
        <v>11</v>
      </c>
      <c r="C96" s="1">
        <v>2010</v>
      </c>
      <c r="D96" s="3">
        <v>8103375</v>
      </c>
      <c r="E96" s="6" t="s">
        <v>22</v>
      </c>
    </row>
    <row r="97" spans="2:5" ht="15" x14ac:dyDescent="0.2">
      <c r="B97" s="1" t="s">
        <v>11</v>
      </c>
      <c r="C97" s="1">
        <v>2011</v>
      </c>
      <c r="D97" s="3">
        <v>8508543.75</v>
      </c>
      <c r="E97" s="6" t="s">
        <v>22</v>
      </c>
    </row>
    <row r="98" spans="2:5" ht="15" x14ac:dyDescent="0.2">
      <c r="B98" s="1" t="s">
        <v>11</v>
      </c>
      <c r="C98" s="1">
        <v>2012</v>
      </c>
      <c r="D98" s="3">
        <v>8933970.9375</v>
      </c>
      <c r="E98" s="6" t="s">
        <v>22</v>
      </c>
    </row>
    <row r="99" spans="2:5" ht="15" x14ac:dyDescent="0.2">
      <c r="B99" s="1" t="s">
        <v>11</v>
      </c>
      <c r="C99" s="1">
        <v>2013</v>
      </c>
      <c r="D99" s="3">
        <v>9380669.484375</v>
      </c>
      <c r="E99" s="6" t="s">
        <v>22</v>
      </c>
    </row>
    <row r="100" spans="2:5" ht="15" x14ac:dyDescent="0.2">
      <c r="B100" s="1" t="s">
        <v>11</v>
      </c>
      <c r="C100" s="1">
        <v>2014</v>
      </c>
      <c r="D100" s="3">
        <v>9849702.9585937504</v>
      </c>
      <c r="E100" s="6" t="s">
        <v>22</v>
      </c>
    </row>
    <row r="101" spans="2:5" ht="15" x14ac:dyDescent="0.2">
      <c r="B101" s="1" t="s">
        <v>11</v>
      </c>
      <c r="C101" s="1">
        <v>2015</v>
      </c>
      <c r="D101" s="3">
        <v>10342188.106523437</v>
      </c>
      <c r="E101" s="6" t="s">
        <v>22</v>
      </c>
    </row>
    <row r="102" spans="2:5" ht="15" x14ac:dyDescent="0.2">
      <c r="B102" s="1" t="s">
        <v>11</v>
      </c>
      <c r="C102" s="1">
        <v>2016</v>
      </c>
      <c r="D102" s="3">
        <v>10859297.51184961</v>
      </c>
      <c r="E102" s="6" t="s">
        <v>22</v>
      </c>
    </row>
    <row r="103" spans="2:5" ht="15" x14ac:dyDescent="0.2">
      <c r="B103" s="1" t="s">
        <v>11</v>
      </c>
      <c r="C103" s="1">
        <v>2017</v>
      </c>
      <c r="D103" s="3">
        <v>11402262.387442091</v>
      </c>
      <c r="E103" s="6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C2FE-FC3E-42B8-B7F0-E6C69C81C84B}">
  <dimension ref="A4:AH112"/>
  <sheetViews>
    <sheetView topLeftCell="H11" workbookViewId="0">
      <selection activeCell="R38" sqref="R38"/>
    </sheetView>
  </sheetViews>
  <sheetFormatPr baseColWidth="10" defaultColWidth="8.83203125" defaultRowHeight="15" x14ac:dyDescent="0.2"/>
  <cols>
    <col min="1" max="1" width="8.83203125" style="6"/>
    <col min="2" max="5" width="11" style="6" bestFit="1" customWidth="1"/>
    <col min="6" max="6" width="12.1640625" style="6" bestFit="1" customWidth="1"/>
    <col min="7" max="7" width="15.6640625" style="6" bestFit="1" customWidth="1"/>
    <col min="8" max="8" width="24.83203125" style="6" bestFit="1" customWidth="1"/>
    <col min="9" max="12" width="12.1640625" style="6" bestFit="1" customWidth="1"/>
    <col min="13" max="13" width="24.1640625" style="6" bestFit="1" customWidth="1"/>
    <col min="14" max="14" width="14.6640625" style="6" bestFit="1" customWidth="1"/>
    <col min="15" max="15" width="8.83203125" style="6"/>
    <col min="16" max="16" width="12.1640625" style="6" bestFit="1" customWidth="1"/>
    <col min="17" max="16384" width="8.83203125" style="6"/>
  </cols>
  <sheetData>
    <row r="4" spans="1:34" x14ac:dyDescent="0.2">
      <c r="B4" s="25" t="s">
        <v>0</v>
      </c>
      <c r="C4" s="26" t="s">
        <v>0</v>
      </c>
      <c r="D4" s="26" t="s">
        <v>0</v>
      </c>
      <c r="E4" s="26" t="s">
        <v>0</v>
      </c>
      <c r="F4" s="26" t="s">
        <v>0</v>
      </c>
      <c r="G4" s="26" t="s">
        <v>0</v>
      </c>
      <c r="H4" s="26" t="s">
        <v>0</v>
      </c>
      <c r="I4" s="26" t="s">
        <v>0</v>
      </c>
      <c r="J4" s="26" t="s">
        <v>0</v>
      </c>
      <c r="K4" s="26" t="s">
        <v>0</v>
      </c>
      <c r="L4" s="26" t="s">
        <v>0</v>
      </c>
    </row>
    <row r="5" spans="1:34" x14ac:dyDescent="0.2">
      <c r="B5" s="25">
        <v>2007</v>
      </c>
      <c r="C5" s="26">
        <v>2008</v>
      </c>
      <c r="D5" s="26">
        <v>2009</v>
      </c>
      <c r="E5" s="26">
        <v>2010</v>
      </c>
      <c r="F5" s="26">
        <v>2011</v>
      </c>
      <c r="G5" s="26">
        <v>2012</v>
      </c>
      <c r="H5" s="26">
        <v>2013</v>
      </c>
      <c r="I5" s="26">
        <v>2014</v>
      </c>
      <c r="J5" s="26">
        <v>2015</v>
      </c>
      <c r="K5" s="26">
        <v>2016</v>
      </c>
      <c r="L5" s="26">
        <v>2017</v>
      </c>
    </row>
    <row r="6" spans="1:34" x14ac:dyDescent="0.2">
      <c r="B6" s="27">
        <v>50000000</v>
      </c>
      <c r="C6" s="28">
        <v>60000000</v>
      </c>
      <c r="D6" s="28">
        <v>75000000</v>
      </c>
      <c r="E6" s="28">
        <v>97500000</v>
      </c>
      <c r="F6" s="28">
        <v>136500000</v>
      </c>
      <c r="G6" s="28">
        <v>177450000</v>
      </c>
      <c r="H6" s="28">
        <v>212940000</v>
      </c>
      <c r="I6" s="28">
        <v>234234000.00000003</v>
      </c>
      <c r="J6" s="28">
        <v>222522300.00000003</v>
      </c>
      <c r="K6" s="28">
        <v>200270070.00000003</v>
      </c>
      <c r="L6" s="28">
        <v>180243063.00000003</v>
      </c>
    </row>
    <row r="8" spans="1:34" x14ac:dyDescent="0.2">
      <c r="B8" s="26" t="s">
        <v>9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x14ac:dyDescent="0.2">
      <c r="B9" s="26">
        <v>2007</v>
      </c>
      <c r="C9" s="26">
        <v>2008</v>
      </c>
      <c r="D9" s="26">
        <v>2009</v>
      </c>
      <c r="E9" s="26">
        <v>2010</v>
      </c>
      <c r="F9" s="26">
        <v>2011</v>
      </c>
      <c r="G9" s="26">
        <v>2012</v>
      </c>
      <c r="H9" s="26">
        <v>2013</v>
      </c>
      <c r="I9" s="26">
        <v>2014</v>
      </c>
      <c r="J9" s="26">
        <v>2015</v>
      </c>
      <c r="K9" s="26">
        <v>2016</v>
      </c>
      <c r="L9" s="26">
        <v>2017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">
      <c r="A10" s="6" t="s">
        <v>14</v>
      </c>
      <c r="B10" s="28">
        <v>34375000</v>
      </c>
      <c r="C10" s="28">
        <v>41250000</v>
      </c>
      <c r="D10" s="28">
        <v>55000000</v>
      </c>
      <c r="E10" s="28">
        <v>76607190</v>
      </c>
      <c r="F10" s="28">
        <v>115500000</v>
      </c>
      <c r="G10" s="28">
        <v>162662500</v>
      </c>
      <c r="H10" s="28">
        <v>212940035</v>
      </c>
      <c r="I10" s="28">
        <v>257657400</v>
      </c>
      <c r="J10" s="28">
        <v>271971700</v>
      </c>
      <c r="K10" s="28">
        <v>275371415</v>
      </c>
      <c r="L10" s="28">
        <v>247834290</v>
      </c>
    </row>
    <row r="11" spans="1:34" x14ac:dyDescent="0.2">
      <c r="A11" s="6" t="s">
        <v>15</v>
      </c>
      <c r="B11" s="28">
        <v>750000</v>
      </c>
      <c r="C11" s="28">
        <v>2500000</v>
      </c>
      <c r="D11" s="28">
        <v>3000000</v>
      </c>
      <c r="E11" s="28">
        <v>3000000</v>
      </c>
      <c r="F11" s="28">
        <v>3000000</v>
      </c>
      <c r="G11" s="28">
        <v>3125000</v>
      </c>
      <c r="H11" s="28">
        <v>2500000</v>
      </c>
      <c r="I11" s="28">
        <v>2500000</v>
      </c>
      <c r="J11" s="28">
        <v>2500000</v>
      </c>
      <c r="K11" s="28">
        <v>2500000</v>
      </c>
      <c r="L11" s="28">
        <v>2500000</v>
      </c>
    </row>
    <row r="12" spans="1:34" x14ac:dyDescent="0.2">
      <c r="A12" s="6" t="s">
        <v>16</v>
      </c>
      <c r="B12" s="28">
        <f>7*10^6</f>
        <v>7000000</v>
      </c>
      <c r="C12" s="28">
        <v>7350000</v>
      </c>
      <c r="D12" s="28">
        <v>7717500</v>
      </c>
      <c r="E12" s="28">
        <v>8103375</v>
      </c>
      <c r="F12" s="28">
        <v>8508543.75</v>
      </c>
      <c r="G12" s="28">
        <v>8933970.9375</v>
      </c>
      <c r="H12" s="28">
        <v>9380669.484375</v>
      </c>
      <c r="I12" s="28">
        <v>9849702.9585937504</v>
      </c>
      <c r="J12" s="28">
        <v>10342188.106523437</v>
      </c>
      <c r="K12" s="28">
        <v>10859297.51184961</v>
      </c>
      <c r="L12" s="28">
        <v>11402262.387442091</v>
      </c>
    </row>
    <row r="13" spans="1:34" x14ac:dyDescent="0.2">
      <c r="B13" s="7">
        <f>SUM(B10:B12)</f>
        <v>42125000</v>
      </c>
      <c r="C13" s="7">
        <f t="shared" ref="C13:L13" si="0">SUM(C10:C12)</f>
        <v>51100000</v>
      </c>
      <c r="D13" s="7">
        <f t="shared" si="0"/>
        <v>65717500</v>
      </c>
      <c r="E13" s="7">
        <f t="shared" si="0"/>
        <v>87710565</v>
      </c>
      <c r="F13" s="7">
        <f t="shared" si="0"/>
        <v>127008543.75</v>
      </c>
      <c r="G13" s="7">
        <f t="shared" si="0"/>
        <v>174721470.9375</v>
      </c>
      <c r="H13" s="7">
        <f t="shared" si="0"/>
        <v>224820704.484375</v>
      </c>
      <c r="I13" s="7">
        <f t="shared" si="0"/>
        <v>270007102.95859373</v>
      </c>
      <c r="J13" s="7">
        <f t="shared" si="0"/>
        <v>284813888.10652345</v>
      </c>
      <c r="K13" s="7">
        <f t="shared" si="0"/>
        <v>288730712.51184958</v>
      </c>
      <c r="L13" s="7">
        <f t="shared" si="0"/>
        <v>261736552.38744208</v>
      </c>
    </row>
    <row r="14" spans="1:34" x14ac:dyDescent="0.2">
      <c r="B14" s="4" t="s">
        <v>0</v>
      </c>
      <c r="E14" s="6" t="str">
        <f>Model!C15</f>
        <v>Cost Contribution</v>
      </c>
    </row>
    <row r="15" spans="1:34" x14ac:dyDescent="0.2">
      <c r="B15" s="1" t="s">
        <v>4</v>
      </c>
      <c r="E15" s="1" t="str">
        <f>M15</f>
        <v>Venue costs</v>
      </c>
      <c r="H15" s="1" t="s">
        <v>9</v>
      </c>
      <c r="J15" s="1" t="s">
        <v>5</v>
      </c>
      <c r="M15" s="1" t="str">
        <f>IF($E$14=$E$20,J15,H15)</f>
        <v>Venue costs</v>
      </c>
    </row>
    <row r="16" spans="1:34" x14ac:dyDescent="0.2">
      <c r="B16" s="1" t="s">
        <v>5</v>
      </c>
      <c r="E16" s="1" t="str">
        <f>M16</f>
        <v>Actor Compensation</v>
      </c>
      <c r="H16" s="1" t="s">
        <v>10</v>
      </c>
      <c r="J16" s="1" t="s">
        <v>6</v>
      </c>
      <c r="M16" s="1" t="str">
        <f t="shared" ref="M16:M17" si="1">IF($E$14=$E$20,J16,H16)</f>
        <v>Actor Compensation</v>
      </c>
    </row>
    <row r="17" spans="2:18" x14ac:dyDescent="0.2">
      <c r="B17" s="1" t="s">
        <v>6</v>
      </c>
      <c r="E17" s="1" t="str">
        <f>M17</f>
        <v>Fixed expense / overhead</v>
      </c>
      <c r="H17" s="1" t="s">
        <v>11</v>
      </c>
      <c r="J17" s="1" t="s">
        <v>8</v>
      </c>
      <c r="M17" s="1" t="str">
        <f t="shared" si="1"/>
        <v>Fixed expense / overhead</v>
      </c>
    </row>
    <row r="18" spans="2:18" x14ac:dyDescent="0.2">
      <c r="B18" s="1" t="s">
        <v>7</v>
      </c>
    </row>
    <row r="19" spans="2:18" x14ac:dyDescent="0.2">
      <c r="B19" s="1" t="s">
        <v>8</v>
      </c>
      <c r="H19" s="6" t="str">
        <f>IF(E14=E20,J17,H17)</f>
        <v>Fixed expense / overhead</v>
      </c>
      <c r="I19" s="6" t="str">
        <f>IF(E14=E20,J16,H16)</f>
        <v>Actor Compensation</v>
      </c>
      <c r="J19" s="6" t="str">
        <f>IF(E14=E20,J15,H15)</f>
        <v>Venue costs</v>
      </c>
      <c r="L19" s="6" t="s">
        <v>12</v>
      </c>
    </row>
    <row r="20" spans="2:18" x14ac:dyDescent="0.2">
      <c r="E20" s="6" t="s">
        <v>19</v>
      </c>
      <c r="L20" s="6" t="s">
        <v>13</v>
      </c>
    </row>
    <row r="21" spans="2:18" x14ac:dyDescent="0.2">
      <c r="E21" s="6" t="s">
        <v>22</v>
      </c>
    </row>
    <row r="22" spans="2:18" x14ac:dyDescent="0.2">
      <c r="L22" s="6" t="str">
        <f>IF(E14=E20,"Total "&amp;L20,"Total "&amp;L19)</f>
        <v>Total Cost</v>
      </c>
    </row>
    <row r="23" spans="2:18" x14ac:dyDescent="0.2">
      <c r="B23">
        <v>42125000</v>
      </c>
      <c r="C23" s="6">
        <v>51100000</v>
      </c>
      <c r="D23" s="6">
        <v>65717500</v>
      </c>
      <c r="E23" s="6">
        <v>87710565</v>
      </c>
      <c r="F23" s="6">
        <v>127008543.75</v>
      </c>
      <c r="G23" s="6">
        <v>174721470.9375</v>
      </c>
      <c r="H23" s="6">
        <v>224820704.484375</v>
      </c>
      <c r="I23" s="6">
        <v>270007102.95859373</v>
      </c>
      <c r="J23" s="6">
        <v>284813888.10652345</v>
      </c>
      <c r="K23" s="6">
        <v>288730712.51184958</v>
      </c>
      <c r="L23" s="6">
        <v>261736552.38744208</v>
      </c>
    </row>
    <row r="24" spans="2:18" x14ac:dyDescent="0.2">
      <c r="B24">
        <v>42125000</v>
      </c>
    </row>
    <row r="25" spans="2:18" x14ac:dyDescent="0.2">
      <c r="B25" s="6">
        <v>51100000</v>
      </c>
      <c r="E25" s="6" t="s">
        <v>13</v>
      </c>
      <c r="M25" s="6" t="s">
        <v>12</v>
      </c>
      <c r="P25" s="6" t="s">
        <v>13</v>
      </c>
    </row>
    <row r="26" spans="2:18" x14ac:dyDescent="0.2">
      <c r="B26" s="6">
        <v>65717500</v>
      </c>
      <c r="E26" s="6" t="s">
        <v>1</v>
      </c>
      <c r="F26" s="6" t="s">
        <v>13</v>
      </c>
      <c r="G26" s="1" t="s">
        <v>5</v>
      </c>
      <c r="H26" s="1" t="s">
        <v>6</v>
      </c>
      <c r="I26" s="1" t="s">
        <v>8</v>
      </c>
      <c r="L26" s="35">
        <v>2007</v>
      </c>
      <c r="M26">
        <v>42125000</v>
      </c>
      <c r="P26" s="5">
        <v>50000000</v>
      </c>
    </row>
    <row r="27" spans="2:18" x14ac:dyDescent="0.2">
      <c r="B27" s="6">
        <v>87710565</v>
      </c>
      <c r="E27" s="35">
        <v>2007</v>
      </c>
      <c r="F27" s="5">
        <v>50000000</v>
      </c>
      <c r="G27" s="3">
        <v>500000</v>
      </c>
      <c r="H27" s="3">
        <v>100</v>
      </c>
      <c r="L27" s="35">
        <f t="shared" ref="L27:L36" si="2">L26+1</f>
        <v>2008</v>
      </c>
      <c r="M27" s="6">
        <v>51100000</v>
      </c>
      <c r="N27" s="6">
        <f>M27-M26</f>
        <v>8975000</v>
      </c>
      <c r="O27" s="9">
        <f>N27/M26</f>
        <v>0.21305637982195846</v>
      </c>
      <c r="P27" s="3">
        <v>60000000</v>
      </c>
      <c r="Q27" s="6">
        <f>P27-P26</f>
        <v>10000000</v>
      </c>
      <c r="R27" s="9">
        <f>Q27/P26</f>
        <v>0.2</v>
      </c>
    </row>
    <row r="28" spans="2:18" x14ac:dyDescent="0.2">
      <c r="B28" s="6">
        <v>127008543.75</v>
      </c>
      <c r="E28" s="35">
        <f t="shared" ref="E28:E37" si="3">E27+1</f>
        <v>2008</v>
      </c>
      <c r="F28" s="3">
        <v>60000000</v>
      </c>
      <c r="G28" s="3">
        <v>600000</v>
      </c>
      <c r="H28" s="3">
        <v>125</v>
      </c>
      <c r="L28" s="35">
        <f t="shared" si="2"/>
        <v>2009</v>
      </c>
      <c r="M28" s="6">
        <v>65717500</v>
      </c>
      <c r="N28" s="6">
        <f t="shared" ref="N28:N36" si="4">M28-M27</f>
        <v>14617500</v>
      </c>
      <c r="O28" s="9">
        <f t="shared" ref="O28:O36" si="5">N28/M27</f>
        <v>0.28605675146771037</v>
      </c>
      <c r="P28" s="3">
        <v>75000000</v>
      </c>
      <c r="Q28" s="6">
        <f t="shared" ref="Q28:Q36" si="6">P28-P27</f>
        <v>15000000</v>
      </c>
      <c r="R28" s="9">
        <f t="shared" ref="R28:R36" si="7">Q28/P27</f>
        <v>0.25</v>
      </c>
    </row>
    <row r="29" spans="2:18" x14ac:dyDescent="0.2">
      <c r="B29" s="6">
        <v>174721470.9375</v>
      </c>
      <c r="E29" s="35">
        <f t="shared" si="3"/>
        <v>2009</v>
      </c>
      <c r="F29" s="3">
        <v>75000000</v>
      </c>
      <c r="G29" s="3">
        <v>750000</v>
      </c>
      <c r="H29" s="3">
        <v>150</v>
      </c>
      <c r="L29" s="35">
        <f t="shared" si="2"/>
        <v>2010</v>
      </c>
      <c r="M29" s="6">
        <v>87710565</v>
      </c>
      <c r="N29" s="6">
        <f t="shared" si="4"/>
        <v>21993065</v>
      </c>
      <c r="O29" s="9">
        <f t="shared" si="5"/>
        <v>0.33466070681325372</v>
      </c>
      <c r="P29" s="3">
        <v>97500000</v>
      </c>
      <c r="Q29" s="6">
        <f t="shared" si="6"/>
        <v>22500000</v>
      </c>
      <c r="R29" s="9">
        <f t="shared" si="7"/>
        <v>0.3</v>
      </c>
    </row>
    <row r="30" spans="2:18" x14ac:dyDescent="0.2">
      <c r="B30" s="6">
        <v>224820704.484375</v>
      </c>
      <c r="E30" s="35">
        <f t="shared" si="3"/>
        <v>2010</v>
      </c>
      <c r="F30" s="3">
        <v>97500000</v>
      </c>
      <c r="G30" s="3">
        <v>975000</v>
      </c>
      <c r="H30" s="3">
        <v>200</v>
      </c>
      <c r="L30" s="35">
        <f t="shared" si="2"/>
        <v>2011</v>
      </c>
      <c r="M30" s="6">
        <v>127008543.75</v>
      </c>
      <c r="N30" s="6">
        <f t="shared" si="4"/>
        <v>39297978.75</v>
      </c>
      <c r="O30" s="9">
        <f t="shared" si="5"/>
        <v>0.44804156432010217</v>
      </c>
      <c r="P30" s="3">
        <v>136500000</v>
      </c>
      <c r="Q30" s="6">
        <f t="shared" si="6"/>
        <v>39000000</v>
      </c>
      <c r="R30" s="9">
        <f t="shared" si="7"/>
        <v>0.4</v>
      </c>
    </row>
    <row r="31" spans="2:18" x14ac:dyDescent="0.2">
      <c r="B31" s="6">
        <v>270007102.95859373</v>
      </c>
      <c r="E31" s="35">
        <f t="shared" si="3"/>
        <v>2011</v>
      </c>
      <c r="F31" s="3">
        <v>136500000</v>
      </c>
      <c r="G31" s="3">
        <v>1365000</v>
      </c>
      <c r="H31" s="3">
        <v>500</v>
      </c>
      <c r="L31" s="35">
        <f t="shared" si="2"/>
        <v>2012</v>
      </c>
      <c r="M31" s="6">
        <v>174721470.9375</v>
      </c>
      <c r="N31" s="6">
        <f t="shared" si="4"/>
        <v>47712927.1875</v>
      </c>
      <c r="O31" s="9">
        <f t="shared" si="5"/>
        <v>0.3756670675747355</v>
      </c>
      <c r="P31" s="3">
        <v>177450000</v>
      </c>
      <c r="Q31" s="6">
        <f t="shared" si="6"/>
        <v>40950000</v>
      </c>
      <c r="R31" s="9">
        <f t="shared" si="7"/>
        <v>0.3</v>
      </c>
    </row>
    <row r="32" spans="2:18" x14ac:dyDescent="0.2">
      <c r="B32" s="6">
        <v>284813888.10652345</v>
      </c>
      <c r="E32" s="35">
        <f t="shared" si="3"/>
        <v>2012</v>
      </c>
      <c r="F32" s="3">
        <v>177450000</v>
      </c>
      <c r="G32" s="3">
        <v>1774500</v>
      </c>
      <c r="H32" s="3">
        <v>680</v>
      </c>
      <c r="L32" s="35">
        <f t="shared" si="2"/>
        <v>2013</v>
      </c>
      <c r="M32" s="6">
        <v>224820704.484375</v>
      </c>
      <c r="N32" s="6">
        <f t="shared" si="4"/>
        <v>50099233.546875</v>
      </c>
      <c r="O32" s="9">
        <f t="shared" si="5"/>
        <v>0.28673770474835408</v>
      </c>
      <c r="P32" s="3">
        <v>212940000</v>
      </c>
      <c r="Q32" s="6">
        <f t="shared" si="6"/>
        <v>35490000</v>
      </c>
      <c r="R32" s="9">
        <f t="shared" si="7"/>
        <v>0.2</v>
      </c>
    </row>
    <row r="33" spans="2:18" x14ac:dyDescent="0.2">
      <c r="B33" s="6">
        <v>288730712.51184958</v>
      </c>
      <c r="E33" s="35">
        <f t="shared" si="3"/>
        <v>2013</v>
      </c>
      <c r="F33" s="3">
        <v>212940000</v>
      </c>
      <c r="G33" s="3">
        <v>2129400</v>
      </c>
      <c r="H33" s="3">
        <v>850</v>
      </c>
      <c r="L33" s="35">
        <f t="shared" si="2"/>
        <v>2014</v>
      </c>
      <c r="M33" s="6">
        <v>270007102.95859373</v>
      </c>
      <c r="N33" s="6">
        <f t="shared" si="4"/>
        <v>45186398.474218726</v>
      </c>
      <c r="O33" s="9">
        <f t="shared" si="5"/>
        <v>0.20098859923890672</v>
      </c>
      <c r="P33" s="3">
        <v>234234000.00000003</v>
      </c>
      <c r="Q33" s="6">
        <f t="shared" si="6"/>
        <v>21294000.00000003</v>
      </c>
      <c r="R33" s="9">
        <f t="shared" si="7"/>
        <v>0.10000000000000014</v>
      </c>
    </row>
    <row r="34" spans="2:18" x14ac:dyDescent="0.2">
      <c r="B34" s="6">
        <v>261736552.38744208</v>
      </c>
      <c r="E34" s="35">
        <f t="shared" si="3"/>
        <v>2014</v>
      </c>
      <c r="F34" s="3">
        <v>234234000.00000003</v>
      </c>
      <c r="G34" s="3">
        <v>2342340</v>
      </c>
      <c r="H34" s="3">
        <v>950</v>
      </c>
      <c r="L34" s="35">
        <f t="shared" si="2"/>
        <v>2015</v>
      </c>
      <c r="M34" s="6">
        <v>284813888.10652345</v>
      </c>
      <c r="N34" s="6">
        <f t="shared" si="4"/>
        <v>14806785.147929728</v>
      </c>
      <c r="O34" s="9">
        <f t="shared" si="5"/>
        <v>5.4838502341919448E-2</v>
      </c>
      <c r="P34" s="3">
        <v>222522300.00000003</v>
      </c>
      <c r="Q34" s="6">
        <f t="shared" si="6"/>
        <v>-11711700</v>
      </c>
      <c r="R34" s="9">
        <f t="shared" si="7"/>
        <v>-4.9999999999999996E-2</v>
      </c>
    </row>
    <row r="35" spans="2:18" x14ac:dyDescent="0.2">
      <c r="B35"/>
      <c r="E35" s="35">
        <f t="shared" si="3"/>
        <v>2015</v>
      </c>
      <c r="F35" s="3">
        <v>222522300.00000003</v>
      </c>
      <c r="G35" s="3">
        <v>2225223</v>
      </c>
      <c r="H35" s="3">
        <v>975</v>
      </c>
      <c r="L35" s="35">
        <f t="shared" si="2"/>
        <v>2016</v>
      </c>
      <c r="M35" s="6">
        <v>288730712.51184958</v>
      </c>
      <c r="N35" s="6">
        <f t="shared" si="4"/>
        <v>3916824.405326128</v>
      </c>
      <c r="O35" s="9">
        <f t="shared" si="5"/>
        <v>1.3752224062406653E-2</v>
      </c>
      <c r="P35" s="3">
        <v>200270070.00000003</v>
      </c>
      <c r="Q35" s="6">
        <f t="shared" si="6"/>
        <v>-22252230</v>
      </c>
      <c r="R35" s="9">
        <f t="shared" si="7"/>
        <v>-9.9999999999999992E-2</v>
      </c>
    </row>
    <row r="36" spans="2:18" ht="16" thickBot="1" x14ac:dyDescent="0.25">
      <c r="B36"/>
      <c r="E36" s="35">
        <f t="shared" si="3"/>
        <v>2016</v>
      </c>
      <c r="F36" s="3">
        <v>200270070.00000003</v>
      </c>
      <c r="G36" s="3">
        <v>2002701</v>
      </c>
      <c r="H36" s="3">
        <v>980</v>
      </c>
      <c r="L36" s="36">
        <f t="shared" si="2"/>
        <v>2017</v>
      </c>
      <c r="M36" s="6">
        <v>261736552.38744208</v>
      </c>
      <c r="N36" s="6">
        <f t="shared" si="4"/>
        <v>-26994160.1244075</v>
      </c>
      <c r="O36" s="9">
        <f t="shared" si="5"/>
        <v>-9.3492513801418514E-2</v>
      </c>
      <c r="P36" s="3">
        <v>180243063.00000003</v>
      </c>
      <c r="Q36" s="6">
        <f t="shared" si="6"/>
        <v>-20027007</v>
      </c>
      <c r="R36" s="9">
        <f t="shared" si="7"/>
        <v>-9.9999999999999992E-2</v>
      </c>
    </row>
    <row r="37" spans="2:18" ht="16" thickBot="1" x14ac:dyDescent="0.25">
      <c r="B37"/>
      <c r="E37" s="36">
        <f t="shared" si="3"/>
        <v>2017</v>
      </c>
      <c r="F37" s="3">
        <v>180243063.00000003</v>
      </c>
      <c r="G37" s="3">
        <v>1802431</v>
      </c>
      <c r="H37" s="3">
        <v>980</v>
      </c>
      <c r="N37" s="8">
        <f>AVERAGE(N27:N36)</f>
        <v>21961155.238744207</v>
      </c>
      <c r="O37" s="29">
        <f>AVERAGE(O27:O36)</f>
        <v>0.21203069865879284</v>
      </c>
      <c r="R37" s="29">
        <f>AVERAGE(R27:R36)</f>
        <v>0.14999999999999997</v>
      </c>
    </row>
    <row r="38" spans="2:18" x14ac:dyDescent="0.2">
      <c r="B38"/>
    </row>
    <row r="39" spans="2:18" x14ac:dyDescent="0.2">
      <c r="B39"/>
    </row>
    <row r="40" spans="2:18" x14ac:dyDescent="0.2">
      <c r="B40"/>
    </row>
    <row r="41" spans="2:18" x14ac:dyDescent="0.2">
      <c r="B41"/>
    </row>
    <row r="42" spans="2:18" ht="16" thickBot="1" x14ac:dyDescent="0.25">
      <c r="B42"/>
    </row>
    <row r="43" spans="2:18" ht="16" thickBot="1" x14ac:dyDescent="0.25">
      <c r="B43"/>
      <c r="E43" s="10" t="s">
        <v>1</v>
      </c>
      <c r="F43" s="11">
        <f>Backend!O40</f>
        <v>0</v>
      </c>
      <c r="G43" s="11">
        <f>Backend!K37</f>
        <v>0</v>
      </c>
      <c r="H43" s="11">
        <f>Backend!L37</f>
        <v>0</v>
      </c>
      <c r="I43" s="12">
        <f>Backend!M37</f>
        <v>0</v>
      </c>
    </row>
    <row r="44" spans="2:18" x14ac:dyDescent="0.2">
      <c r="B44"/>
      <c r="E44" s="30">
        <v>2007</v>
      </c>
      <c r="F44" s="17">
        <f>IF($B$11=Backend!$E$20,Data!G23,SUM(Data!G111,Data!G89,Data!G100))</f>
        <v>0</v>
      </c>
      <c r="G44" s="47">
        <f>IF($B$11=Backend!$E$21,SUMIFS(Data!$D$5:$D$103,Data!$B$5:$B$103,Model!$E$29,Data!$C$5:$C$103,Model!$C58),SUMIFS(Data!$D$5:$D$103,Data!$B$5:$B$103,Model!$E$29,Data!$C$5:$C$103,Model!$C58))</f>
        <v>0</v>
      </c>
      <c r="H44" s="47">
        <f>IF($B$11=Backend!$E$21,SUMIFS(Data!$D$5:$D$103,Data!$B$5:$B$103,Model!$F$29,Data!$C$5:$C$103,Model!$C58),SUMIFS(Data!$D$5:$D$103,Data!$B$5:$B$103,Model!$F$29,Data!$C$5:$C$103,Model!$C58))</f>
        <v>0</v>
      </c>
      <c r="I44" s="44">
        <f>IF($B$11=Backend!$E$21,SUMIFS(Data!$D$5:$D$103,Data!$B$5:$B$103,Model!$G$29,Data!$C$5:$C$103,Model!$C58),SUMIFS(Data!$D$5:$D$103,Data!$B$5:$B$103,Model!$G$29,Data!$C$5:$C$103,Model!$C58))</f>
        <v>0</v>
      </c>
    </row>
    <row r="45" spans="2:18" x14ac:dyDescent="0.2">
      <c r="B45"/>
      <c r="E45" s="30">
        <f t="shared" ref="E45:E54" si="8">E44+1</f>
        <v>2008</v>
      </c>
      <c r="F45" s="46">
        <f>IF($B$11=Backend!$E$20,Data!G24,SUM(Data!G112,Data!G90,Data!G101))</f>
        <v>0</v>
      </c>
      <c r="G45" s="48">
        <f>IF($B$11=Backend!$E$21,SUMIFS(Data!$D$5:$D$103,Data!$B$5:$B$103,Model!$E$29,Data!$C$5:$C$103,Model!$C59),SUMIFS(Data!$D$5:$D$103,Data!$B$5:$B$103,Model!$E$29,Data!$C$5:$C$103,Model!$C59))</f>
        <v>0</v>
      </c>
      <c r="H45" s="48">
        <f>IF($B$11=Backend!$E$21,SUMIFS(Data!$D$5:$D$103,Data!$B$5:$B$103,Model!$F$29,Data!$C$5:$C$103,Model!$C59),SUMIFS(Data!$D$5:$D$103,Data!$B$5:$B$103,Model!$F$29,Data!$C$5:$C$103,Model!$C59))</f>
        <v>0</v>
      </c>
      <c r="I45" s="44">
        <f>IF($B$11=Backend!$E$21,SUMIFS(Data!$D$5:$D$103,Data!$B$5:$B$103,Model!$G$29,Data!$C$5:$C$103,Model!$C59),SUMIFS(Data!$D$5:$D$103,Data!$B$5:$B$103,Model!$G$29,Data!$C$5:$C$103,Model!$C59))</f>
        <v>0</v>
      </c>
    </row>
    <row r="46" spans="2:18" x14ac:dyDescent="0.2">
      <c r="B46"/>
      <c r="E46" s="30">
        <f t="shared" si="8"/>
        <v>2009</v>
      </c>
      <c r="F46" s="46">
        <f>IF($B$11=Backend!$E$20,Data!G25,SUM(Data!G113,Data!G91,Data!G102))</f>
        <v>0</v>
      </c>
      <c r="G46" s="48">
        <f>IF($B$11=Backend!$E$21,SUMIFS(Data!$D$5:$D$103,Data!$B$5:$B$103,Model!$E$29,Data!$C$5:$C$103,Model!$C60),SUMIFS(Data!$D$5:$D$103,Data!$B$5:$B$103,Model!$E$29,Data!$C$5:$C$103,Model!$C60))</f>
        <v>0</v>
      </c>
      <c r="H46" s="48">
        <f>IF($B$11=Backend!$E$21,SUMIFS(Data!$D$5:$D$103,Data!$B$5:$B$103,Model!$F$29,Data!$C$5:$C$103,Model!$C60),SUMIFS(Data!$D$5:$D$103,Data!$B$5:$B$103,Model!$F$29,Data!$C$5:$C$103,Model!$C60))</f>
        <v>0</v>
      </c>
      <c r="I46" s="44">
        <f>IF($B$11=Backend!$E$21,SUMIFS(Data!$D$5:$D$103,Data!$B$5:$B$103,Model!$G$29,Data!$C$5:$C$103,Model!$C60),SUMIFS(Data!$D$5:$D$103,Data!$B$5:$B$103,Model!$G$29,Data!$C$5:$C$103,Model!$C60))</f>
        <v>0</v>
      </c>
    </row>
    <row r="47" spans="2:18" x14ac:dyDescent="0.2">
      <c r="B47"/>
      <c r="E47" s="30">
        <f t="shared" si="8"/>
        <v>2010</v>
      </c>
      <c r="F47" s="46">
        <f>IF($B$11=Backend!$E$20,Data!G26,SUM(Data!G114,Data!G92,Data!G103))</f>
        <v>0</v>
      </c>
      <c r="G47" s="48">
        <f>IF($B$11=Backend!$E$21,SUMIFS(Data!$D$5:$D$103,Data!$B$5:$B$103,Model!$E$29,Data!$C$5:$C$103,Model!$C61),SUMIFS(Data!$D$5:$D$103,Data!$B$5:$B$103,Model!$E$29,Data!$C$5:$C$103,Model!$C61))</f>
        <v>0</v>
      </c>
      <c r="H47" s="48">
        <f>IF($B$11=Backend!$E$21,SUMIFS(Data!$D$5:$D$103,Data!$B$5:$B$103,Model!$F$29,Data!$C$5:$C$103,Model!$C61),SUMIFS(Data!$D$5:$D$103,Data!$B$5:$B$103,Model!$F$29,Data!$C$5:$C$103,Model!$C61))</f>
        <v>0</v>
      </c>
      <c r="I47" s="44">
        <f>IF($B$11=Backend!$E$21,SUMIFS(Data!$D$5:$D$103,Data!$B$5:$B$103,Model!$G$29,Data!$C$5:$C$103,Model!$C61),SUMIFS(Data!$D$5:$D$103,Data!$B$5:$B$103,Model!$G$29,Data!$C$5:$C$103,Model!$C61))</f>
        <v>0</v>
      </c>
    </row>
    <row r="48" spans="2:18" x14ac:dyDescent="0.2">
      <c r="B48"/>
      <c r="E48" s="30">
        <f t="shared" si="8"/>
        <v>2011</v>
      </c>
      <c r="F48" s="46">
        <f>IF($B$11=Backend!$E$20,Data!G27,SUM(Data!G115,Data!G93,Data!G104))</f>
        <v>0</v>
      </c>
      <c r="G48" s="48">
        <f>IF($B$11=Backend!$E$21,SUMIFS(Data!$D$5:$D$103,Data!$B$5:$B$103,Model!$E$29,Data!$C$5:$C$103,Model!$C62),SUMIFS(Data!$D$5:$D$103,Data!$B$5:$B$103,Model!$E$29,Data!$C$5:$C$103,Model!$C62))</f>
        <v>0</v>
      </c>
      <c r="H48" s="48">
        <f>IF($B$11=Backend!$E$21,SUMIFS(Data!$D$5:$D$103,Data!$B$5:$B$103,Model!$F$29,Data!$C$5:$C$103,Model!$C62),SUMIFS(Data!$D$5:$D$103,Data!$B$5:$B$103,Model!$F$29,Data!$C$5:$C$103,Model!$C62))</f>
        <v>0</v>
      </c>
      <c r="I48" s="44">
        <f>IF($B$11=Backend!$E$21,SUMIFS(Data!$D$5:$D$103,Data!$B$5:$B$103,Model!$G$29,Data!$C$5:$C$103,Model!$C62),SUMIFS(Data!$D$5:$D$103,Data!$B$5:$B$103,Model!$G$29,Data!$C$5:$C$103,Model!$C62))</f>
        <v>0</v>
      </c>
    </row>
    <row r="49" spans="2:9" x14ac:dyDescent="0.2">
      <c r="B49"/>
      <c r="E49" s="30">
        <f t="shared" si="8"/>
        <v>2012</v>
      </c>
      <c r="F49" s="46">
        <f>IF($B$11=Backend!$E$20,Data!G28,SUM(Data!G116,Data!G94,Data!G105))</f>
        <v>0</v>
      </c>
      <c r="G49" s="48">
        <f>IF($B$11=Backend!$E$21,SUMIFS(Data!$D$5:$D$103,Data!$B$5:$B$103,Model!$E$29,Data!$C$5:$C$103,Model!$C63),SUMIFS(Data!$D$5:$D$103,Data!$B$5:$B$103,Model!$E$29,Data!$C$5:$C$103,Model!$C63))</f>
        <v>0</v>
      </c>
      <c r="H49" s="48">
        <f>IF($B$11=Backend!$E$21,SUMIFS(Data!$D$5:$D$103,Data!$B$5:$B$103,Model!$F$29,Data!$C$5:$C$103,Model!$C63),SUMIFS(Data!$D$5:$D$103,Data!$B$5:$B$103,Model!$F$29,Data!$C$5:$C$103,Model!$C63))</f>
        <v>0</v>
      </c>
      <c r="I49" s="44">
        <f>IF($B$11=Backend!$E$21,SUMIFS(Data!$D$5:$D$103,Data!$B$5:$B$103,Model!$G$29,Data!$C$5:$C$103,Model!$C63),SUMIFS(Data!$D$5:$D$103,Data!$B$5:$B$103,Model!$G$29,Data!$C$5:$C$103,Model!$C63))</f>
        <v>0</v>
      </c>
    </row>
    <row r="50" spans="2:9" x14ac:dyDescent="0.2">
      <c r="B50"/>
      <c r="E50" s="30">
        <f t="shared" si="8"/>
        <v>2013</v>
      </c>
      <c r="F50" s="46">
        <f>IF($B$11=Backend!$E$20,Data!G29,SUM(Data!G117,Data!G95,Data!G106))</f>
        <v>0</v>
      </c>
      <c r="G50" s="48">
        <f>IF($B$11=Backend!$E$21,SUMIFS(Data!$D$5:$D$103,Data!$B$5:$B$103,Model!$E$29,Data!$C$5:$C$103,Model!$C64),SUMIFS(Data!$D$5:$D$103,Data!$B$5:$B$103,Model!$E$29,Data!$C$5:$C$103,Model!$C64))</f>
        <v>0</v>
      </c>
      <c r="H50" s="48">
        <f>IF($B$11=Backend!$E$21,SUMIFS(Data!$D$5:$D$103,Data!$B$5:$B$103,Model!$F$29,Data!$C$5:$C$103,Model!$C64),SUMIFS(Data!$D$5:$D$103,Data!$B$5:$B$103,Model!$F$29,Data!$C$5:$C$103,Model!$C64))</f>
        <v>0</v>
      </c>
      <c r="I50" s="44">
        <f>IF($B$11=Backend!$E$21,SUMIFS(Data!$D$5:$D$103,Data!$B$5:$B$103,Model!$G$29,Data!$C$5:$C$103,Model!$C64),SUMIFS(Data!$D$5:$D$103,Data!$B$5:$B$103,Model!$G$29,Data!$C$5:$C$103,Model!$C64))</f>
        <v>0</v>
      </c>
    </row>
    <row r="51" spans="2:9" x14ac:dyDescent="0.2">
      <c r="B51"/>
      <c r="E51" s="30">
        <f t="shared" si="8"/>
        <v>2014</v>
      </c>
      <c r="F51" s="46">
        <f>IF($B$11=Backend!$E$20,Data!G30,SUM(Data!G118,Data!G96,Data!G107))</f>
        <v>0</v>
      </c>
      <c r="G51" s="48">
        <f>IF($B$11=Backend!$E$21,SUMIFS(Data!$D$5:$D$103,Data!$B$5:$B$103,Model!$E$29,Data!$C$5:$C$103,Model!$C65),SUMIFS(Data!$D$5:$D$103,Data!$B$5:$B$103,Model!$E$29,Data!$C$5:$C$103,Model!$C65))</f>
        <v>0</v>
      </c>
      <c r="H51" s="48">
        <f>IF($B$11=Backend!$E$21,SUMIFS(Data!$D$5:$D$103,Data!$B$5:$B$103,Model!$F$29,Data!$C$5:$C$103,Model!$C65),SUMIFS(Data!$D$5:$D$103,Data!$B$5:$B$103,Model!$F$29,Data!$C$5:$C$103,Model!$C65))</f>
        <v>0</v>
      </c>
      <c r="I51" s="44">
        <f>IF($B$11=Backend!$E$21,SUMIFS(Data!$D$5:$D$103,Data!$B$5:$B$103,Model!$G$29,Data!$C$5:$C$103,Model!$C65),SUMIFS(Data!$D$5:$D$103,Data!$B$5:$B$103,Model!$G$29,Data!$C$5:$C$103,Model!$C65))</f>
        <v>0</v>
      </c>
    </row>
    <row r="52" spans="2:9" x14ac:dyDescent="0.2">
      <c r="B52"/>
      <c r="E52" s="30">
        <f t="shared" si="8"/>
        <v>2015</v>
      </c>
      <c r="F52" s="46">
        <f>IF($B$11=Backend!$E$20,Data!G31,SUM(Data!G119,Data!G97,Data!G108))</f>
        <v>0</v>
      </c>
      <c r="G52" s="48">
        <f>IF($B$11=Backend!$E$21,SUMIFS(Data!$D$5:$D$103,Data!$B$5:$B$103,Model!$E$29,Data!$C$5:$C$103,Model!$C66),SUMIFS(Data!$D$5:$D$103,Data!$B$5:$B$103,Model!$E$29,Data!$C$5:$C$103,Model!$C66))</f>
        <v>0</v>
      </c>
      <c r="H52" s="48">
        <f>IF($B$11=Backend!$E$21,SUMIFS(Data!$D$5:$D$103,Data!$B$5:$B$103,Model!$F$29,Data!$C$5:$C$103,Model!$C66),SUMIFS(Data!$D$5:$D$103,Data!$B$5:$B$103,Model!$F$29,Data!$C$5:$C$103,Model!$C66))</f>
        <v>0</v>
      </c>
      <c r="I52" s="44">
        <f>IF($B$11=Backend!$E$21,SUMIFS(Data!$D$5:$D$103,Data!$B$5:$B$103,Model!$G$29,Data!$C$5:$C$103,Model!$C66),SUMIFS(Data!$D$5:$D$103,Data!$B$5:$B$103,Model!$G$29,Data!$C$5:$C$103,Model!$C66))</f>
        <v>0</v>
      </c>
    </row>
    <row r="53" spans="2:9" x14ac:dyDescent="0.2">
      <c r="B53"/>
      <c r="E53" s="30">
        <f t="shared" si="8"/>
        <v>2016</v>
      </c>
      <c r="F53" s="46">
        <f>IF($B$11=Backend!$E$20,Data!G32,SUM(Data!G120,Data!G98,Data!G109))</f>
        <v>0</v>
      </c>
      <c r="G53" s="48">
        <f>IF($B$11=Backend!$E$21,SUMIFS(Data!$D$5:$D$103,Data!$B$5:$B$103,Model!$E$29,Data!$C$5:$C$103,Model!$C67),SUMIFS(Data!$D$5:$D$103,Data!$B$5:$B$103,Model!$E$29,Data!$C$5:$C$103,Model!$C67))</f>
        <v>0</v>
      </c>
      <c r="H53" s="48">
        <f>IF($B$11=Backend!$E$21,SUMIFS(Data!$D$5:$D$103,Data!$B$5:$B$103,Model!$F$29,Data!$C$5:$C$103,Model!$C67),SUMIFS(Data!$D$5:$D$103,Data!$B$5:$B$103,Model!$F$29,Data!$C$5:$C$103,Model!$C67))</f>
        <v>0</v>
      </c>
      <c r="I53" s="44">
        <f>IF($B$11=Backend!$E$21,SUMIFS(Data!$D$5:$D$103,Data!$B$5:$B$103,Model!$G$29,Data!$C$5:$C$103,Model!$C67),SUMIFS(Data!$D$5:$D$103,Data!$B$5:$B$103,Model!$G$29,Data!$C$5:$C$103,Model!$C67))</f>
        <v>0</v>
      </c>
    </row>
    <row r="54" spans="2:9" ht="16" thickBot="1" x14ac:dyDescent="0.25">
      <c r="B54"/>
      <c r="E54" s="33">
        <f t="shared" si="8"/>
        <v>2017</v>
      </c>
      <c r="F54" s="18">
        <f>IF($B$11=Backend!$E$20,Data!G33,SUM(Data!G121,Data!G99,Data!G110))</f>
        <v>0</v>
      </c>
      <c r="G54" s="49">
        <f>IF($B$11=Backend!$E$21,SUMIFS(Data!$D$5:$D$103,Data!$B$5:$B$103,Model!$E$29,Data!$C$5:$C$103,Model!$C68),SUMIFS(Data!$D$5:$D$103,Data!$B$5:$B$103,Model!$E$29,Data!$C$5:$C$103,Model!$C68))</f>
        <v>0</v>
      </c>
      <c r="H54" s="49">
        <f>IF($B$11=Backend!$E$21,SUMIFS(Data!$D$5:$D$103,Data!$B$5:$B$103,Model!$F$29,Data!$C$5:$C$103,Model!$C68),SUMIFS(Data!$D$5:$D$103,Data!$B$5:$B$103,Model!$F$29,Data!$C$5:$C$103,Model!$C68))</f>
        <v>0</v>
      </c>
      <c r="I54" s="45">
        <f>IF($B$11=Backend!$E$21,SUMIFS(Data!$D$5:$D$103,Data!$B$5:$B$103,Model!$G$29,Data!$C$5:$C$103,Model!$C68),SUMIFS(Data!$D$5:$D$103,Data!$B$5:$B$103,Model!$G$29,Data!$C$5:$C$103,Model!$C68))</f>
        <v>0</v>
      </c>
    </row>
    <row r="55" spans="2:9" x14ac:dyDescent="0.2">
      <c r="B55"/>
    </row>
    <row r="56" spans="2:9" x14ac:dyDescent="0.2">
      <c r="B56"/>
    </row>
    <row r="57" spans="2:9" x14ac:dyDescent="0.2">
      <c r="B57"/>
    </row>
    <row r="58" spans="2:9" x14ac:dyDescent="0.2">
      <c r="B58"/>
    </row>
    <row r="59" spans="2:9" x14ac:dyDescent="0.2">
      <c r="B59"/>
    </row>
    <row r="60" spans="2:9" x14ac:dyDescent="0.2">
      <c r="B60"/>
    </row>
    <row r="61" spans="2:9" x14ac:dyDescent="0.2">
      <c r="B61"/>
    </row>
    <row r="62" spans="2:9" x14ac:dyDescent="0.2">
      <c r="B62"/>
    </row>
    <row r="63" spans="2:9" x14ac:dyDescent="0.2">
      <c r="B63"/>
    </row>
    <row r="64" spans="2:9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Data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Okupe, Yemi</dc:creator>
  <cp:lastModifiedBy>Microsoft Office User</cp:lastModifiedBy>
  <dcterms:created xsi:type="dcterms:W3CDTF">2018-09-11T14:33:04Z</dcterms:created>
  <dcterms:modified xsi:type="dcterms:W3CDTF">2021-02-08T17:19:25Z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