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2018" sheetId="2" r:id="rId5"/>
    <sheet state="visible" name="2016" sheetId="3" r:id="rId6"/>
    <sheet state="visible" name="2014" sheetId="4" r:id="rId7"/>
    <sheet state="visible" name="2012" sheetId="5" r:id="rId8"/>
    <sheet state="visible" name="2010" sheetId="6" r:id="rId9"/>
    <sheet state="visible" name="2008" sheetId="7" r:id="rId10"/>
    <sheet state="visible" name="2006" sheetId="8" r:id="rId11"/>
  </sheets>
  <definedNames/>
  <calcPr/>
  <extLst>
    <ext uri="GoogleSheetsCustomDataVersion1">
      <go:sheetsCustomData xmlns:go="http://customooxmlschemas.google.com/" r:id="rId12" roundtripDataSignature="AMtx7mhf4K5bijDcawUvcx7iC4ZwRoeDIg=="/>
    </ext>
  </extLst>
</workbook>
</file>

<file path=xl/sharedStrings.xml><?xml version="1.0" encoding="utf-8"?>
<sst xmlns="http://schemas.openxmlformats.org/spreadsheetml/2006/main" count="8" uniqueCount="8">
  <si>
    <t>https://datosmacro.expansion.com/demografia/mortalidad/causas-muerte/suicidio?anio=2020</t>
  </si>
  <si>
    <t>https://datosmacro.expansion.com/demografia/mortalidad/causas-muerte/suicidio?anio=2018</t>
  </si>
  <si>
    <t>https://datosmacro.expansion.com/demografia/mortalidad/causas-muerte/suicidio?anio=2016</t>
  </si>
  <si>
    <t>https://datosmacro.expansion.com/demografia/mortalidad/causas-muerte/suicidio?anio=2014</t>
  </si>
  <si>
    <t>https://datosmacro.expansion.com/demografia/mortalidad/causas-muerte/suicidio?anio=2012</t>
  </si>
  <si>
    <t>https://datosmacro.expansion.com/demografia/mortalidad/causas-muerte/suicidio?anio=2010</t>
  </si>
  <si>
    <t>https://datosmacro.expansion.com/demografia/mortalidad/causas-muerte/suicidio?anio=2008</t>
  </si>
  <si>
    <t>https://datosmacro.expansion.com/demografia/mortalidad/causas-muerte/suicidio?anio=2006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</si>
</sst>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u/>
      <color rgb="FF0000FF"/>
    </font>
    <font>
      <color theme="1"/>
      <name val="Arial"/>
    </font>
    <font>
      <sz val="11.0"/>
      <color rgb="FFF7981D"/>
      <name val="Arial"/>
    </font>
    <font>
      <color theme="1"/>
      <name val="Arial"/>
      <scheme val="minor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4" xfId="0" applyFont="1" applyNumberFormat="1"/>
    <xf borderId="0" fillId="0" fontId="2" numFmtId="3" xfId="0" applyFont="1" applyNumberFormat="1"/>
    <xf borderId="0" fillId="0" fontId="2" numFmtId="10" xfId="0" applyFont="1" applyNumberFormat="1"/>
    <xf borderId="0" fillId="0" fontId="4" numFmtId="10" xfId="0" applyFont="1" applyNumberFormat="1"/>
    <xf borderId="0" fillId="0" fontId="4" numFmtId="3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osmacro.expansion.com/demografia/mortalidad/causas-muerte/suicidio?anio=202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atosmacro.expansion.com/demografia/mortalidad/causas-muerte/suicidio?anio=2018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atosmacro.expansion.com/demografia/mortalidad/causas-muerte/suicidio?anio=2016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atosmacro.expansion.com/demografia/mortalidad/causas-muerte/suicidio?anio=2014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atosmacro.expansion.com/demografia/mortalidad/causas-muerte/suicidio?anio=2012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atosmacro.expansion.com/demografia/mortalidad/causas-muerte/suicidio?anio=2010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atosmacro.expansion.com/demografia/mortalidad/causas-muerte/suicidio?anio=2008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atosmacro.expansion.com/demografia/mortalidad/causas-muerte/suicidio?anio=2006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tr">
        <f>SUBSTITUTE(C1,"[+]","")</f>
        <v/>
      </c>
    </row>
    <row r="2" ht="15.75" customHeight="1">
      <c r="B2" s="3"/>
      <c r="C2" s="2" t="str">
        <f>IFERROR(__xludf.DUMMYFUNCTION("IMPORTXML(A1, ""//table[1]/thead/tr"")"),"Países")</f>
        <v>Países</v>
      </c>
      <c r="D2" s="2" t="str">
        <f>IFERROR(__xludf.DUMMYFUNCTION("""COMPUTED_VALUE"""),"Fecha")</f>
        <v>Fecha</v>
      </c>
      <c r="E2" s="2" t="str">
        <f>IFERROR(__xludf.DUMMYFUNCTION("""COMPUTED_VALUE"""),"Suicidios mujeres")</f>
        <v>Suicidios mujeres</v>
      </c>
      <c r="F2" s="2" t="str">
        <f>IFERROR(__xludf.DUMMYFUNCTION("""COMPUTED_VALUE"""),"Suicidios hombres")</f>
        <v>Suicidios hombres</v>
      </c>
      <c r="G2" s="2" t="str">
        <f>IFERROR(__xludf.DUMMYFUNCTION("""COMPUTED_VALUE"""),"Suicidios ")</f>
        <v>Suicidios </v>
      </c>
      <c r="H2" s="2" t="str">
        <f>IFERROR(__xludf.DUMMYFUNCTION("""COMPUTED_VALUE"""),"Suicidios tasa femenina")</f>
        <v>Suicidios tasa femenina</v>
      </c>
      <c r="I2" s="2" t="str">
        <f>IFERROR(__xludf.DUMMYFUNCTION("""COMPUTED_VALUE"""),"Suicidios tasa masculina")</f>
        <v>Suicidios tasa masculina</v>
      </c>
      <c r="J2" s="2" t="str">
        <f>IFERROR(__xludf.DUMMYFUNCTION("""COMPUTED_VALUE"""),"Suicidios por 100.000")</f>
        <v>Suicidios por 100.000</v>
      </c>
      <c r="K2" s="4" t="str">
        <f>IFERROR(__xludf.DUMMYFUNCTION("""COMPUTED_VALUE"""),"Var.")</f>
        <v>Var.</v>
      </c>
    </row>
    <row r="3" ht="15.75" customHeight="1">
      <c r="C3" s="2" t="str">
        <f>IFERROR(__xludf.DUMMYFUNCTION("IMPORTXML(A1, ""//table[1]/tbody/tr"")"),"España [+]")</f>
        <v>España [+]</v>
      </c>
      <c r="D3" s="2">
        <f>IFERROR(__xludf.DUMMYFUNCTION("""COMPUTED_VALUE"""),2020.0)</f>
        <v>2020</v>
      </c>
      <c r="E3" s="5">
        <f>IFERROR(__xludf.DUMMYFUNCTION("""COMPUTED_VALUE"""),1011.0)</f>
        <v>1011</v>
      </c>
      <c r="F3" s="6">
        <f>IFERROR(__xludf.DUMMYFUNCTION("""COMPUTED_VALUE"""),2930.0)</f>
        <v>2930</v>
      </c>
      <c r="G3" s="6">
        <f>IFERROR(__xludf.DUMMYFUNCTION("""COMPUTED_VALUE"""),3941.0)</f>
        <v>3941</v>
      </c>
      <c r="H3" s="2">
        <f>IFERROR(__xludf.DUMMYFUNCTION("""COMPUTED_VALUE"""),4.2)</f>
        <v>4.2</v>
      </c>
      <c r="I3" s="7">
        <f>IFERROR(__xludf.DUMMYFUNCTION("""COMPUTED_VALUE"""),12.6)</f>
        <v>12.6</v>
      </c>
      <c r="J3" s="2">
        <f>IFERROR(__xludf.DUMMYFUNCTION("""COMPUTED_VALUE"""),8.3)</f>
        <v>8.3</v>
      </c>
      <c r="K3" s="8">
        <f>IFERROR(__xludf.DUMMYFUNCTION("""COMPUTED_VALUE"""),0.0765)</f>
        <v>0.0765</v>
      </c>
    </row>
    <row r="4" ht="15.75" customHeight="1">
      <c r="C4" s="2" t="str">
        <f>IFERROR(__xludf.DUMMYFUNCTION("""COMPUTED_VALUE"""),"Alemania [+]")</f>
        <v>Alemania [+]</v>
      </c>
      <c r="D4" s="2">
        <f>IFERROR(__xludf.DUMMYFUNCTION("""COMPUTED_VALUE"""),2020.0)</f>
        <v>2020</v>
      </c>
      <c r="E4" s="5">
        <f>IFERROR(__xludf.DUMMYFUNCTION("""COMPUTED_VALUE"""),2268.0)</f>
        <v>2268</v>
      </c>
      <c r="F4" s="6">
        <f>IFERROR(__xludf.DUMMYFUNCTION("""COMPUTED_VALUE"""),7015.0)</f>
        <v>7015</v>
      </c>
      <c r="G4" s="6">
        <f>IFERROR(__xludf.DUMMYFUNCTION("""COMPUTED_VALUE"""),9283.0)</f>
        <v>9283</v>
      </c>
      <c r="H4" s="2">
        <f>IFERROR(__xludf.DUMMYFUNCTION("""COMPUTED_VALUE"""),5.4)</f>
        <v>5.4</v>
      </c>
      <c r="I4" s="7">
        <f>IFERROR(__xludf.DUMMYFUNCTION("""COMPUTED_VALUE"""),16.9)</f>
        <v>16.9</v>
      </c>
      <c r="J4" s="2">
        <f>IFERROR(__xludf.DUMMYFUNCTION("""COMPUTED_VALUE"""),11.1)</f>
        <v>11.1</v>
      </c>
      <c r="K4" s="8">
        <f>IFERROR(__xludf.DUMMYFUNCTION("""COMPUTED_VALUE"""),0.0146)</f>
        <v>0.0146</v>
      </c>
    </row>
    <row r="5" ht="15.75" customHeight="1">
      <c r="C5" s="2" t="str">
        <f>IFERROR(__xludf.DUMMYFUNCTION("""COMPUTED_VALUE"""),"Reino Unido [+]")</f>
        <v>Reino Unido [+]</v>
      </c>
      <c r="D5" s="2">
        <f>IFERROR(__xludf.DUMMYFUNCTION("""COMPUTED_VALUE"""),2020.0)</f>
        <v>2020</v>
      </c>
      <c r="E5" s="6">
        <f>IFERROR(__xludf.DUMMYFUNCTION("""COMPUTED_VALUE"""),1337.0)</f>
        <v>1337</v>
      </c>
      <c r="F5" s="6">
        <f>IFERROR(__xludf.DUMMYFUNCTION("""COMPUTED_VALUE"""),4187.0)</f>
        <v>4187</v>
      </c>
      <c r="G5" s="6">
        <f>IFERROR(__xludf.DUMMYFUNCTION("""COMPUTED_VALUE"""),5524.0)</f>
        <v>5524</v>
      </c>
      <c r="H5" s="2">
        <f>IFERROR(__xludf.DUMMYFUNCTION("""COMPUTED_VALUE"""),3.9)</f>
        <v>3.9</v>
      </c>
      <c r="I5" s="7">
        <f>IFERROR(__xludf.DUMMYFUNCTION("""COMPUTED_VALUE"""),12.6)</f>
        <v>12.6</v>
      </c>
      <c r="J5" s="2">
        <f>IFERROR(__xludf.DUMMYFUNCTION("""COMPUTED_VALUE"""),8.2)</f>
        <v>8.2</v>
      </c>
      <c r="K5" s="8">
        <f>IFERROR(__xludf.DUMMYFUNCTION("""COMPUTED_VALUE"""),-0.0353)</f>
        <v>-0.0353</v>
      </c>
    </row>
    <row r="6" ht="15.75" customHeight="1">
      <c r="C6" s="2" t="str">
        <f>IFERROR(__xludf.DUMMYFUNCTION("""COMPUTED_VALUE"""),"Francia [+]")</f>
        <v>Francia [+]</v>
      </c>
      <c r="D6" s="2">
        <f>IFERROR(__xludf.DUMMYFUNCTION("""COMPUTED_VALUE"""),2017.0)</f>
        <v>2017</v>
      </c>
      <c r="E6" s="5">
        <f>IFERROR(__xludf.DUMMYFUNCTION("""COMPUTED_VALUE"""),2091.0)</f>
        <v>2091</v>
      </c>
      <c r="F6" s="6">
        <f>IFERROR(__xludf.DUMMYFUNCTION("""COMPUTED_VALUE"""),6298.0)</f>
        <v>6298</v>
      </c>
      <c r="G6" s="6">
        <f>IFERROR(__xludf.DUMMYFUNCTION("""COMPUTED_VALUE"""),8389.0)</f>
        <v>8389</v>
      </c>
      <c r="H6" s="2">
        <f>IFERROR(__xludf.DUMMYFUNCTION("""COMPUTED_VALUE"""),6.04)</f>
        <v>6.04</v>
      </c>
      <c r="I6" s="7">
        <f>IFERROR(__xludf.DUMMYFUNCTION("""COMPUTED_VALUE"""),19.45)</f>
        <v>19.45</v>
      </c>
      <c r="J6" s="2">
        <f>IFERROR(__xludf.DUMMYFUNCTION("""COMPUTED_VALUE"""),12.53)</f>
        <v>12.53</v>
      </c>
      <c r="K6" s="8">
        <f>IFERROR(__xludf.DUMMYFUNCTION("""COMPUTED_VALUE"""),-0.0287)</f>
        <v>-0.0287</v>
      </c>
    </row>
    <row r="7" ht="15.75" customHeight="1">
      <c r="C7" s="2" t="str">
        <f>IFERROR(__xludf.DUMMYFUNCTION("""COMPUTED_VALUE"""),"Italia [+]")</f>
        <v>Italia [+]</v>
      </c>
      <c r="D7" s="2">
        <f>IFERROR(__xludf.DUMMYFUNCTION("""COMPUTED_VALUE"""),2019.0)</f>
        <v>2019</v>
      </c>
      <c r="E7" s="5">
        <f>IFERROR(__xludf.DUMMYFUNCTION("""COMPUTED_VALUE"""),824.0)</f>
        <v>824</v>
      </c>
      <c r="F7" s="6">
        <f>IFERROR(__xludf.DUMMYFUNCTION("""COMPUTED_VALUE"""),2901.0)</f>
        <v>2901</v>
      </c>
      <c r="G7" s="6">
        <f>IFERROR(__xludf.DUMMYFUNCTION("""COMPUTED_VALUE"""),3725.0)</f>
        <v>3725</v>
      </c>
      <c r="H7" s="2">
        <f>IFERROR(__xludf.DUMMYFUNCTION("""COMPUTED_VALUE"""),2.65)</f>
        <v>2.65</v>
      </c>
      <c r="I7" s="7">
        <f>IFERROR(__xludf.DUMMYFUNCTION("""COMPUTED_VALUE"""),9.78)</f>
        <v>9.78</v>
      </c>
      <c r="J7" s="2">
        <f>IFERROR(__xludf.DUMMYFUNCTION("""COMPUTED_VALUE"""),6.12)</f>
        <v>6.12</v>
      </c>
      <c r="K7" s="8">
        <f>IFERROR(__xludf.DUMMYFUNCTION("""COMPUTED_VALUE"""),-0.0016)</f>
        <v>-0.0016</v>
      </c>
    </row>
    <row r="8" ht="15.75" customHeight="1">
      <c r="C8" s="2" t="str">
        <f>IFERROR(__xludf.DUMMYFUNCTION("""COMPUTED_VALUE"""),"Portugal [+]")</f>
        <v>Portugal [+]</v>
      </c>
      <c r="D8" s="2">
        <f>IFERROR(__xludf.DUMMYFUNCTION("""COMPUTED_VALUE"""),2019.0)</f>
        <v>2019</v>
      </c>
      <c r="E8" s="5">
        <f>IFERROR(__xludf.DUMMYFUNCTION("""COMPUTED_VALUE"""),241.0)</f>
        <v>241</v>
      </c>
      <c r="F8" s="2">
        <f>IFERROR(__xludf.DUMMYFUNCTION("""COMPUTED_VALUE"""),751.0)</f>
        <v>751</v>
      </c>
      <c r="G8" s="6">
        <f>IFERROR(__xludf.DUMMYFUNCTION("""COMPUTED_VALUE"""),992.0)</f>
        <v>992</v>
      </c>
      <c r="H8" s="2">
        <f>IFERROR(__xludf.DUMMYFUNCTION("""COMPUTED_VALUE"""),4.36)</f>
        <v>4.36</v>
      </c>
      <c r="I8" s="7">
        <f>IFERROR(__xludf.DUMMYFUNCTION("""COMPUTED_VALUE"""),15.18)</f>
        <v>15.18</v>
      </c>
      <c r="J8" s="2">
        <f>IFERROR(__xludf.DUMMYFUNCTION("""COMPUTED_VALUE"""),9.47)</f>
        <v>9.47</v>
      </c>
      <c r="K8" s="8">
        <f>IFERROR(__xludf.DUMMYFUNCTION("""COMPUTED_VALUE"""),-0.0166)</f>
        <v>-0.0166</v>
      </c>
    </row>
    <row r="9" ht="15.75" customHeight="1">
      <c r="C9" s="2" t="str">
        <f>IFERROR(__xludf.DUMMYFUNCTION("""COMPUTED_VALUE"""),"Estados Unidos [+]")</f>
        <v>Estados Unidos [+]</v>
      </c>
      <c r="D9" s="2">
        <f>IFERROR(__xludf.DUMMYFUNCTION("""COMPUTED_VALUE"""),2020.0)</f>
        <v>2020</v>
      </c>
      <c r="E9" s="6">
        <f>IFERROR(__xludf.DUMMYFUNCTION("""COMPUTED_VALUE"""),9416.0)</f>
        <v>9416</v>
      </c>
      <c r="F9" s="6">
        <f>IFERROR(__xludf.DUMMYFUNCTION("""COMPUTED_VALUE"""),36524.0)</f>
        <v>36524</v>
      </c>
      <c r="G9" s="6">
        <f>IFERROR(__xludf.DUMMYFUNCTION("""COMPUTED_VALUE"""),45940.0)</f>
        <v>45940</v>
      </c>
      <c r="H9" s="2">
        <f>IFERROR(__xludf.DUMMYFUNCTION("""COMPUTED_VALUE"""),5.6)</f>
        <v>5.6</v>
      </c>
      <c r="I9" s="7">
        <f>IFERROR(__xludf.DUMMYFUNCTION("""COMPUTED_VALUE"""),22.2)</f>
        <v>22.2</v>
      </c>
      <c r="J9" s="2">
        <f>IFERROR(__xludf.DUMMYFUNCTION("""COMPUTED_VALUE"""),13.9)</f>
        <v>13.9</v>
      </c>
      <c r="K9" s="8">
        <f>IFERROR(__xludf.DUMMYFUNCTION("""COMPUTED_VALUE"""),-0.0414)</f>
        <v>-0.0414</v>
      </c>
    </row>
    <row r="10" ht="15.75" customHeight="1">
      <c r="C10" s="2" t="str">
        <f>IFERROR(__xludf.DUMMYFUNCTION("""COMPUTED_VALUE"""),"Japón [+]")</f>
        <v>Japón [+]</v>
      </c>
      <c r="D10" s="2">
        <f>IFERROR(__xludf.DUMMYFUNCTION("""COMPUTED_VALUE"""),2019.0)</f>
        <v>2019</v>
      </c>
      <c r="E10" s="6">
        <f>IFERROR(__xludf.DUMMYFUNCTION("""COMPUTED_VALUE"""),5757.0)</f>
        <v>5757</v>
      </c>
      <c r="F10" s="6">
        <f>IFERROR(__xludf.DUMMYFUNCTION("""COMPUTED_VALUE"""),13668.0)</f>
        <v>13668</v>
      </c>
      <c r="G10" s="6">
        <f>IFERROR(__xludf.DUMMYFUNCTION("""COMPUTED_VALUE"""),19425.0)</f>
        <v>19425</v>
      </c>
      <c r="H10" s="2">
        <f>IFERROR(__xludf.DUMMYFUNCTION("""COMPUTED_VALUE"""),8.9)</f>
        <v>8.9</v>
      </c>
      <c r="I10" s="7">
        <f>IFERROR(__xludf.DUMMYFUNCTION("""COMPUTED_VALUE"""),22.3)</f>
        <v>22.3</v>
      </c>
      <c r="J10" s="2">
        <f>IFERROR(__xludf.DUMMYFUNCTION("""COMPUTED_VALUE"""),15.4)</f>
        <v>15.4</v>
      </c>
      <c r="K10" s="8">
        <f>IFERROR(__xludf.DUMMYFUNCTION("""COMPUTED_VALUE"""),-0.0253)</f>
        <v>-0.0253</v>
      </c>
    </row>
    <row r="11" ht="15.75" customHeight="1">
      <c r="C11" s="2" t="str">
        <f>IFERROR(__xludf.DUMMYFUNCTION("""COMPUTED_VALUE"""),"China [+]")</f>
        <v>China [+]</v>
      </c>
      <c r="D11" s="2">
        <f>IFERROR(__xludf.DUMMYFUNCTION("""COMPUTED_VALUE"""),2015.0)</f>
        <v>2015</v>
      </c>
      <c r="E11" s="6">
        <f>IFERROR(__xludf.DUMMYFUNCTION("""COMPUTED_VALUE"""),76844.0)</f>
        <v>76844</v>
      </c>
      <c r="F11" s="6">
        <f>IFERROR(__xludf.DUMMYFUNCTION("""COMPUTED_VALUE"""),61779.0)</f>
        <v>61779</v>
      </c>
      <c r="G11" s="6">
        <f>IFERROR(__xludf.DUMMYFUNCTION("""COMPUTED_VALUE"""),138622.0)</f>
        <v>138622</v>
      </c>
      <c r="H11" s="2">
        <f>IFERROR(__xludf.DUMMYFUNCTION("""COMPUTED_VALUE"""),11.45)</f>
        <v>11.45</v>
      </c>
      <c r="I11" s="7">
        <f>IFERROR(__xludf.DUMMYFUNCTION("""COMPUTED_VALUE"""),8.72)</f>
        <v>8.72</v>
      </c>
      <c r="J11" s="2">
        <f>IFERROR(__xludf.DUMMYFUNCTION("""COMPUTED_VALUE"""),10.02)</f>
        <v>10.02</v>
      </c>
      <c r="K11" s="8">
        <f>IFERROR(__xludf.DUMMYFUNCTION("""COMPUTED_VALUE"""),0.005)</f>
        <v>0.005</v>
      </c>
    </row>
    <row r="12" ht="15.75" customHeight="1">
      <c r="C12" s="2" t="str">
        <f>IFERROR(__xludf.DUMMYFUNCTION("""COMPUTED_VALUE"""),"Emiratos Árabes Unidos [+]")</f>
        <v>Emiratos Árabes Unidos [+]</v>
      </c>
      <c r="D12" s="2">
        <f>IFERROR(__xludf.DUMMYFUNCTION("""COMPUTED_VALUE"""),2015.0)</f>
        <v>2015</v>
      </c>
      <c r="E12" s="2">
        <f>IFERROR(__xludf.DUMMYFUNCTION("""COMPUTED_VALUE"""),19.0)</f>
        <v>19</v>
      </c>
      <c r="F12" s="2">
        <f>IFERROR(__xludf.DUMMYFUNCTION("""COMPUTED_VALUE"""),242.0)</f>
        <v>242</v>
      </c>
      <c r="G12" s="6">
        <f>IFERROR(__xludf.DUMMYFUNCTION("""COMPUTED_VALUE"""),261.0)</f>
        <v>261</v>
      </c>
      <c r="H12" s="2">
        <f>IFERROR(__xludf.DUMMYFUNCTION("""COMPUTED_VALUE"""),0.7)</f>
        <v>0.7</v>
      </c>
      <c r="I12" s="7">
        <f>IFERROR(__xludf.DUMMYFUNCTION("""COMPUTED_VALUE"""),3.71)</f>
        <v>3.71</v>
      </c>
      <c r="J12" s="2">
        <f>IFERROR(__xludf.DUMMYFUNCTION("""COMPUTED_VALUE"""),2.92)</f>
        <v>2.92</v>
      </c>
      <c r="K12" s="8">
        <f>IFERROR(__xludf.DUMMYFUNCTION("""COMPUTED_VALUE"""),-0.0299)</f>
        <v>-0.0299</v>
      </c>
    </row>
    <row r="13" ht="15.75" customHeight="1">
      <c r="C13" s="2" t="str">
        <f>IFERROR(__xludf.DUMMYFUNCTION("""COMPUTED_VALUE"""),"Afganistán [+]")</f>
        <v>Afganistán [+]</v>
      </c>
      <c r="D13" s="2">
        <f>IFERROR(__xludf.DUMMYFUNCTION("""COMPUTED_VALUE"""),2015.0)</f>
        <v>2015</v>
      </c>
      <c r="E13" s="2">
        <f>IFERROR(__xludf.DUMMYFUNCTION("""COMPUTED_VALUE"""),401.0)</f>
        <v>401</v>
      </c>
      <c r="F13" s="6">
        <f>IFERROR(__xludf.DUMMYFUNCTION("""COMPUTED_VALUE"""),1395.0)</f>
        <v>1395</v>
      </c>
      <c r="G13" s="6">
        <f>IFERROR(__xludf.DUMMYFUNCTION("""COMPUTED_VALUE"""),1796.0)</f>
        <v>1796</v>
      </c>
      <c r="H13" s="2">
        <f>IFERROR(__xludf.DUMMYFUNCTION("""COMPUTED_VALUE"""),2.4)</f>
        <v>2.4</v>
      </c>
      <c r="I13" s="7">
        <f>IFERROR(__xludf.DUMMYFUNCTION("""COMPUTED_VALUE"""),7.89)</f>
        <v>7.89</v>
      </c>
      <c r="J13" s="2">
        <f>IFERROR(__xludf.DUMMYFUNCTION("""COMPUTED_VALUE"""),6.32)</f>
        <v>6.32</v>
      </c>
      <c r="K13" s="8">
        <f>IFERROR(__xludf.DUMMYFUNCTION("""COMPUTED_VALUE"""),0.0227)</f>
        <v>0.0227</v>
      </c>
    </row>
    <row r="14" ht="15.75" customHeight="1">
      <c r="C14" s="2" t="str">
        <f>IFERROR(__xludf.DUMMYFUNCTION("""COMPUTED_VALUE"""),"Antigua y Barbuda [+]")</f>
        <v>Antigua y Barbuda [+]</v>
      </c>
      <c r="D14" s="2">
        <f>IFERROR(__xludf.DUMMYFUNCTION("""COMPUTED_VALUE"""),2015.0)</f>
        <v>2015</v>
      </c>
      <c r="E14" s="5">
        <f>IFERROR(__xludf.DUMMYFUNCTION("""COMPUTED_VALUE"""),0.0)</f>
        <v>0</v>
      </c>
      <c r="F14" s="2">
        <f>IFERROR(__xludf.DUMMYFUNCTION("""COMPUTED_VALUE"""),0.0)</f>
        <v>0</v>
      </c>
      <c r="G14" s="6">
        <f>IFERROR(__xludf.DUMMYFUNCTION("""COMPUTED_VALUE"""),0.0)</f>
        <v>0</v>
      </c>
      <c r="H14" s="2">
        <f>IFERROR(__xludf.DUMMYFUNCTION("""COMPUTED_VALUE"""),0.0)</f>
        <v>0</v>
      </c>
      <c r="I14" s="7">
        <f>IFERROR(__xludf.DUMMYFUNCTION("""COMPUTED_VALUE"""),0.0)</f>
        <v>0</v>
      </c>
      <c r="J14" s="2">
        <f>IFERROR(__xludf.DUMMYFUNCTION("""COMPUTED_VALUE"""),0.0)</f>
        <v>0</v>
      </c>
      <c r="K14" s="8">
        <f>IFERROR(__xludf.DUMMYFUNCTION("""COMPUTED_VALUE"""),-1.0)</f>
        <v>-1</v>
      </c>
    </row>
    <row r="15" ht="15.75" customHeight="1">
      <c r="C15" s="2" t="str">
        <f>IFERROR(__xludf.DUMMYFUNCTION("""COMPUTED_VALUE"""),"Albania [+]")</f>
        <v>Albania [+]</v>
      </c>
      <c r="D15" s="2">
        <f>IFERROR(__xludf.DUMMYFUNCTION("""COMPUTED_VALUE"""),2010.0)</f>
        <v>2010</v>
      </c>
      <c r="E15" s="2">
        <f>IFERROR(__xludf.DUMMYFUNCTION("""COMPUTED_VALUE"""),35.0)</f>
        <v>35</v>
      </c>
      <c r="F15" s="2">
        <f>IFERROR(__xludf.DUMMYFUNCTION("""COMPUTED_VALUE"""),61.0)</f>
        <v>61</v>
      </c>
      <c r="G15" s="2">
        <f>IFERROR(__xludf.DUMMYFUNCTION("""COMPUTED_VALUE"""),96.0)</f>
        <v>96</v>
      </c>
      <c r="H15" s="2">
        <f>IFERROR(__xludf.DUMMYFUNCTION("""COMPUTED_VALUE"""),2.41)</f>
        <v>2.41</v>
      </c>
      <c r="I15" s="7">
        <f>IFERROR(__xludf.DUMMYFUNCTION("""COMPUTED_VALUE"""),4.19)</f>
        <v>4.19</v>
      </c>
      <c r="J15" s="2">
        <f>IFERROR(__xludf.DUMMYFUNCTION("""COMPUTED_VALUE"""),3.3)</f>
        <v>3.3</v>
      </c>
      <c r="K15" s="8">
        <f>IFERROR(__xludf.DUMMYFUNCTION("""COMPUTED_VALUE"""),-0.2979)</f>
        <v>-0.2979</v>
      </c>
    </row>
    <row r="16" ht="15.75" customHeight="1">
      <c r="C16" s="2" t="str">
        <f>IFERROR(__xludf.DUMMYFUNCTION("""COMPUTED_VALUE"""),"Armenia [+]")</f>
        <v>Armenia [+]</v>
      </c>
      <c r="D16" s="2">
        <f>IFERROR(__xludf.DUMMYFUNCTION("""COMPUTED_VALUE"""),2015.0)</f>
        <v>2015</v>
      </c>
      <c r="E16" s="5">
        <f>IFERROR(__xludf.DUMMYFUNCTION("""COMPUTED_VALUE"""),38.0)</f>
        <v>38</v>
      </c>
      <c r="F16" s="2">
        <f>IFERROR(__xludf.DUMMYFUNCTION("""COMPUTED_VALUE"""),124.0)</f>
        <v>124</v>
      </c>
      <c r="G16" s="6">
        <f>IFERROR(__xludf.DUMMYFUNCTION("""COMPUTED_VALUE"""),162.0)</f>
        <v>162</v>
      </c>
      <c r="H16" s="2">
        <f>IFERROR(__xludf.DUMMYFUNCTION("""COMPUTED_VALUE"""),2.42)</f>
        <v>2.42</v>
      </c>
      <c r="I16" s="7">
        <f>IFERROR(__xludf.DUMMYFUNCTION("""COMPUTED_VALUE"""),8.65)</f>
        <v>8.65</v>
      </c>
      <c r="J16" s="2">
        <f>IFERROR(__xludf.DUMMYFUNCTION("""COMPUTED_VALUE"""),5.39)</f>
        <v>5.39</v>
      </c>
      <c r="K16" s="8">
        <f>IFERROR(__xludf.DUMMYFUNCTION("""COMPUTED_VALUE"""),-0.0019)</f>
        <v>-0.0019</v>
      </c>
    </row>
    <row r="17" ht="15.75" customHeight="1">
      <c r="C17" s="2" t="str">
        <f>IFERROR(__xludf.DUMMYFUNCTION("""COMPUTED_VALUE"""),"Angola [+]")</f>
        <v>Angola [+]</v>
      </c>
      <c r="D17" s="2">
        <f>IFERROR(__xludf.DUMMYFUNCTION("""COMPUTED_VALUE"""),2015.0)</f>
        <v>2015</v>
      </c>
      <c r="E17" s="6">
        <f>IFERROR(__xludf.DUMMYFUNCTION("""COMPUTED_VALUE"""),1461.0)</f>
        <v>1461</v>
      </c>
      <c r="F17" s="6">
        <f>IFERROR(__xludf.DUMMYFUNCTION("""COMPUTED_VALUE"""),3663.0)</f>
        <v>3663</v>
      </c>
      <c r="G17" s="6">
        <f>IFERROR(__xludf.DUMMYFUNCTION("""COMPUTED_VALUE"""),5124.0)</f>
        <v>5124</v>
      </c>
      <c r="H17" s="2">
        <f>IFERROR(__xludf.DUMMYFUNCTION("""COMPUTED_VALUE"""),10.37)</f>
        <v>10.37</v>
      </c>
      <c r="I17" s="7">
        <f>IFERROR(__xludf.DUMMYFUNCTION("""COMPUTED_VALUE"""),26.56)</f>
        <v>26.56</v>
      </c>
      <c r="J17" s="2">
        <f>IFERROR(__xludf.DUMMYFUNCTION("""COMPUTED_VALUE"""),19.21)</f>
        <v>19.21</v>
      </c>
      <c r="K17" s="8">
        <f>IFERROR(__xludf.DUMMYFUNCTION("""COMPUTED_VALUE"""),0.0021)</f>
        <v>0.0021</v>
      </c>
    </row>
    <row r="18" ht="15.75" customHeight="1">
      <c r="C18" s="2" t="str">
        <f>IFERROR(__xludf.DUMMYFUNCTION("""COMPUTED_VALUE"""),"Argentina [+]")</f>
        <v>Argentina [+]</v>
      </c>
      <c r="D18" s="2">
        <f>IFERROR(__xludf.DUMMYFUNCTION("""COMPUTED_VALUE"""),2019.0)</f>
        <v>2019</v>
      </c>
      <c r="E18" s="5">
        <f>IFERROR(__xludf.DUMMYFUNCTION("""COMPUTED_VALUE"""),578.0)</f>
        <v>578</v>
      </c>
      <c r="F18" s="6">
        <f>IFERROR(__xludf.DUMMYFUNCTION("""COMPUTED_VALUE"""),2714.0)</f>
        <v>2714</v>
      </c>
      <c r="G18" s="6">
        <f>IFERROR(__xludf.DUMMYFUNCTION("""COMPUTED_VALUE"""),3292.0)</f>
        <v>3292</v>
      </c>
      <c r="H18" s="2">
        <f>IFERROR(__xludf.DUMMYFUNCTION("""COMPUTED_VALUE"""),2.5)</f>
        <v>2.5</v>
      </c>
      <c r="I18" s="7">
        <f>IFERROR(__xludf.DUMMYFUNCTION("""COMPUTED_VALUE"""),12.3)</f>
        <v>12.3</v>
      </c>
      <c r="J18" s="2">
        <f>IFERROR(__xludf.DUMMYFUNCTION("""COMPUTED_VALUE"""),7.3)</f>
        <v>7.3</v>
      </c>
      <c r="K18" s="8">
        <f>IFERROR(__xludf.DUMMYFUNCTION("""COMPUTED_VALUE"""),-0.0135)</f>
        <v>-0.0135</v>
      </c>
    </row>
    <row r="19" ht="15.75" customHeight="1">
      <c r="C19" s="2" t="str">
        <f>IFERROR(__xludf.DUMMYFUNCTION("""COMPUTED_VALUE"""),"Austria [+]")</f>
        <v>Austria [+]</v>
      </c>
      <c r="D19" s="2">
        <f>IFERROR(__xludf.DUMMYFUNCTION("""COMPUTED_VALUE"""),2020.0)</f>
        <v>2020</v>
      </c>
      <c r="E19" s="2">
        <f>IFERROR(__xludf.DUMMYFUNCTION("""COMPUTED_VALUE"""),236.0)</f>
        <v>236</v>
      </c>
      <c r="F19" s="2">
        <f>IFERROR(__xludf.DUMMYFUNCTION("""COMPUTED_VALUE"""),863.0)</f>
        <v>863</v>
      </c>
      <c r="G19" s="6">
        <f>IFERROR(__xludf.DUMMYFUNCTION("""COMPUTED_VALUE"""),1099.0)</f>
        <v>1099</v>
      </c>
      <c r="H19" s="2">
        <f>IFERROR(__xludf.DUMMYFUNCTION("""COMPUTED_VALUE"""),5.2)</f>
        <v>5.2</v>
      </c>
      <c r="I19" s="7">
        <f>IFERROR(__xludf.DUMMYFUNCTION("""COMPUTED_VALUE"""),19.1)</f>
        <v>19.1</v>
      </c>
      <c r="J19" s="2">
        <f>IFERROR(__xludf.DUMMYFUNCTION("""COMPUTED_VALUE"""),12.0)</f>
        <v>12</v>
      </c>
      <c r="K19" s="8">
        <f>IFERROR(__xludf.DUMMYFUNCTION("""COMPUTED_VALUE"""),-0.0529)</f>
        <v>-0.0529</v>
      </c>
    </row>
    <row r="20" ht="15.75" customHeight="1">
      <c r="C20" s="2" t="str">
        <f>IFERROR(__xludf.DUMMYFUNCTION("""COMPUTED_VALUE"""),"Australia [+]")</f>
        <v>Australia [+]</v>
      </c>
      <c r="D20" s="2">
        <f>IFERROR(__xludf.DUMMYFUNCTION("""COMPUTED_VALUE"""),2020.0)</f>
        <v>2020</v>
      </c>
      <c r="E20" s="5">
        <f>IFERROR(__xludf.DUMMYFUNCTION("""COMPUTED_VALUE"""),754.0)</f>
        <v>754</v>
      </c>
      <c r="F20" s="6">
        <f>IFERROR(__xludf.DUMMYFUNCTION("""COMPUTED_VALUE"""),2382.0)</f>
        <v>2382</v>
      </c>
      <c r="G20" s="6">
        <f>IFERROR(__xludf.DUMMYFUNCTION("""COMPUTED_VALUE"""),3136.0)</f>
        <v>3136</v>
      </c>
      <c r="H20" s="2">
        <f>IFERROR(__xludf.DUMMYFUNCTION("""COMPUTED_VALUE"""),5.8)</f>
        <v>5.8</v>
      </c>
      <c r="I20" s="7">
        <f>IFERROR(__xludf.DUMMYFUNCTION("""COMPUTED_VALUE"""),18.7)</f>
        <v>18.7</v>
      </c>
      <c r="J20" s="2">
        <f>IFERROR(__xludf.DUMMYFUNCTION("""COMPUTED_VALUE"""),12.2)</f>
        <v>12.2</v>
      </c>
      <c r="K20" s="8">
        <f>IFERROR(__xludf.DUMMYFUNCTION("""COMPUTED_VALUE"""),-0.0687)</f>
        <v>-0.0687</v>
      </c>
    </row>
    <row r="21" ht="15.75" customHeight="1">
      <c r="C21" s="2" t="str">
        <f>IFERROR(__xludf.DUMMYFUNCTION("""COMPUTED_VALUE"""),"Azerbaiyán [+]")</f>
        <v>Azerbaiyán [+]</v>
      </c>
      <c r="D21" s="2">
        <f>IFERROR(__xludf.DUMMYFUNCTION("""COMPUTED_VALUE"""),2015.0)</f>
        <v>2015</v>
      </c>
      <c r="E21" s="2">
        <f>IFERROR(__xludf.DUMMYFUNCTION("""COMPUTED_VALUE"""),60.0)</f>
        <v>60</v>
      </c>
      <c r="F21" s="2">
        <f>IFERROR(__xludf.DUMMYFUNCTION("""COMPUTED_VALUE"""),259.0)</f>
        <v>259</v>
      </c>
      <c r="G21" s="2">
        <f>IFERROR(__xludf.DUMMYFUNCTION("""COMPUTED_VALUE"""),319.0)</f>
        <v>319</v>
      </c>
      <c r="H21" s="2">
        <f>IFERROR(__xludf.DUMMYFUNCTION("""COMPUTED_VALUE"""),1.23)</f>
        <v>1.23</v>
      </c>
      <c r="I21" s="7">
        <f>IFERROR(__xludf.DUMMYFUNCTION("""COMPUTED_VALUE"""),5.36)</f>
        <v>5.36</v>
      </c>
      <c r="J21" s="2">
        <f>IFERROR(__xludf.DUMMYFUNCTION("""COMPUTED_VALUE"""),3.28)</f>
        <v>3.28</v>
      </c>
      <c r="K21" s="8">
        <f>IFERROR(__xludf.DUMMYFUNCTION("""COMPUTED_VALUE"""),-0.003)</f>
        <v>-0.003</v>
      </c>
    </row>
    <row r="22" ht="15.75" customHeight="1">
      <c r="C22" s="2" t="str">
        <f>IFERROR(__xludf.DUMMYFUNCTION("""COMPUTED_VALUE"""),"Bosnia y Herzegovina [+]")</f>
        <v>Bosnia y Herzegovina [+]</v>
      </c>
      <c r="D22" s="2">
        <f>IFERROR(__xludf.DUMMYFUNCTION("""COMPUTED_VALUE"""),2015.0)</f>
        <v>2015</v>
      </c>
      <c r="E22" s="2">
        <f>IFERROR(__xludf.DUMMYFUNCTION("""COMPUTED_VALUE"""),52.0)</f>
        <v>52</v>
      </c>
      <c r="F22" s="2">
        <f>IFERROR(__xludf.DUMMYFUNCTION("""COMPUTED_VALUE"""),176.0)</f>
        <v>176</v>
      </c>
      <c r="G22" s="2">
        <f>IFERROR(__xludf.DUMMYFUNCTION("""COMPUTED_VALUE"""),228.0)</f>
        <v>228</v>
      </c>
      <c r="H22" s="2">
        <f>IFERROR(__xludf.DUMMYFUNCTION("""COMPUTED_VALUE"""),2.99)</f>
        <v>2.99</v>
      </c>
      <c r="I22" s="7">
        <f>IFERROR(__xludf.DUMMYFUNCTION("""COMPUTED_VALUE"""),10.44)</f>
        <v>10.44</v>
      </c>
      <c r="J22" s="2">
        <f>IFERROR(__xludf.DUMMYFUNCTION("""COMPUTED_VALUE"""),6.48)</f>
        <v>6.48</v>
      </c>
      <c r="K22" s="8">
        <f>IFERROR(__xludf.DUMMYFUNCTION("""COMPUTED_VALUE"""),0.0891)</f>
        <v>0.0891</v>
      </c>
    </row>
    <row r="23" ht="15.75" customHeight="1">
      <c r="C23" s="2" t="str">
        <f>IFERROR(__xludf.DUMMYFUNCTION("""COMPUTED_VALUE"""),"Barbados [+]")</f>
        <v>Barbados [+]</v>
      </c>
      <c r="D23" s="2">
        <f>IFERROR(__xludf.DUMMYFUNCTION("""COMPUTED_VALUE"""),2015.0)</f>
        <v>2015</v>
      </c>
      <c r="E23" s="2">
        <f>IFERROR(__xludf.DUMMYFUNCTION("""COMPUTED_VALUE"""),0.0)</f>
        <v>0</v>
      </c>
      <c r="F23" s="2">
        <f>IFERROR(__xludf.DUMMYFUNCTION("""COMPUTED_VALUE"""),1.0)</f>
        <v>1</v>
      </c>
      <c r="G23" s="2">
        <f>IFERROR(__xludf.DUMMYFUNCTION("""COMPUTED_VALUE"""),1.0)</f>
        <v>1</v>
      </c>
      <c r="H23" s="2">
        <f>IFERROR(__xludf.DUMMYFUNCTION("""COMPUTED_VALUE"""),0.27)</f>
        <v>0.27</v>
      </c>
      <c r="I23" s="7">
        <f>IFERROR(__xludf.DUMMYFUNCTION("""COMPUTED_VALUE"""),0.58)</f>
        <v>0.58</v>
      </c>
      <c r="J23" s="2">
        <f>IFERROR(__xludf.DUMMYFUNCTION("""COMPUTED_VALUE"""),0.42)</f>
        <v>0.42</v>
      </c>
      <c r="K23" s="8">
        <f>IFERROR(__xludf.DUMMYFUNCTION("""COMPUTED_VALUE"""),-0.0455)</f>
        <v>-0.0455</v>
      </c>
    </row>
    <row r="24" ht="15.75" customHeight="1">
      <c r="C24" s="2" t="str">
        <f>IFERROR(__xludf.DUMMYFUNCTION("""COMPUTED_VALUE"""),"Bangladés [+]")</f>
        <v>Bangladés [+]</v>
      </c>
      <c r="D24" s="2">
        <f>IFERROR(__xludf.DUMMYFUNCTION("""COMPUTED_VALUE"""),2015.0)</f>
        <v>2015</v>
      </c>
      <c r="E24" s="6">
        <f>IFERROR(__xludf.DUMMYFUNCTION("""COMPUTED_VALUE"""),5176.0)</f>
        <v>5176</v>
      </c>
      <c r="F24" s="6">
        <f>IFERROR(__xludf.DUMMYFUNCTION("""COMPUTED_VALUE"""),3703.0)</f>
        <v>3703</v>
      </c>
      <c r="G24" s="6">
        <f>IFERROR(__xludf.DUMMYFUNCTION("""COMPUTED_VALUE"""),8879.0)</f>
        <v>8879</v>
      </c>
      <c r="H24" s="2">
        <f>IFERROR(__xludf.DUMMYFUNCTION("""COMPUTED_VALUE"""),6.72)</f>
        <v>6.72</v>
      </c>
      <c r="I24" s="7">
        <f>IFERROR(__xludf.DUMMYFUNCTION("""COMPUTED_VALUE"""),4.67)</f>
        <v>4.67</v>
      </c>
      <c r="J24" s="2">
        <f>IFERROR(__xludf.DUMMYFUNCTION("""COMPUTED_VALUE"""),5.68)</f>
        <v>5.68</v>
      </c>
      <c r="K24" s="8">
        <f>IFERROR(__xludf.DUMMYFUNCTION("""COMPUTED_VALUE"""),-0.0224)</f>
        <v>-0.0224</v>
      </c>
    </row>
    <row r="25" ht="15.75" customHeight="1">
      <c r="C25" s="2" t="str">
        <f>IFERROR(__xludf.DUMMYFUNCTION("""COMPUTED_VALUE"""),"Bélgica [+]")</f>
        <v>Bélgica [+]</v>
      </c>
      <c r="D25" s="2">
        <f>IFERROR(__xludf.DUMMYFUNCTION("""COMPUTED_VALUE"""),2019.0)</f>
        <v>2019</v>
      </c>
      <c r="E25" s="2">
        <f>IFERROR(__xludf.DUMMYFUNCTION("""COMPUTED_VALUE"""),470.0)</f>
        <v>470</v>
      </c>
      <c r="F25" s="6">
        <f>IFERROR(__xludf.DUMMYFUNCTION("""COMPUTED_VALUE"""),1291.0)</f>
        <v>1291</v>
      </c>
      <c r="G25" s="6">
        <f>IFERROR(__xludf.DUMMYFUNCTION("""COMPUTED_VALUE"""),1761.0)</f>
        <v>1761</v>
      </c>
      <c r="H25" s="2">
        <f>IFERROR(__xludf.DUMMYFUNCTION("""COMPUTED_VALUE"""),7.96)</f>
        <v>7.96</v>
      </c>
      <c r="I25" s="7">
        <f>IFERROR(__xludf.DUMMYFUNCTION("""COMPUTED_VALUE"""),22.46)</f>
        <v>22.46</v>
      </c>
      <c r="J25" s="2">
        <f>IFERROR(__xludf.DUMMYFUNCTION("""COMPUTED_VALUE"""),15.11)</f>
        <v>15.11</v>
      </c>
      <c r="K25" s="8">
        <f>IFERROR(__xludf.DUMMYFUNCTION("""COMPUTED_VALUE"""),-0.0419)</f>
        <v>-0.0419</v>
      </c>
    </row>
    <row r="26" ht="15.75" customHeight="1">
      <c r="C26" s="2" t="str">
        <f>IFERROR(__xludf.DUMMYFUNCTION("""COMPUTED_VALUE"""),"Burkina Faso [+]")</f>
        <v>Burkina Faso [+]</v>
      </c>
      <c r="D26" s="2">
        <f>IFERROR(__xludf.DUMMYFUNCTION("""COMPUTED_VALUE"""),2015.0)</f>
        <v>2015</v>
      </c>
      <c r="E26" s="2">
        <f>IFERROR(__xludf.DUMMYFUNCTION("""COMPUTED_VALUE"""),576.0)</f>
        <v>576</v>
      </c>
      <c r="F26" s="6">
        <f>IFERROR(__xludf.DUMMYFUNCTION("""COMPUTED_VALUE"""),1094.0)</f>
        <v>1094</v>
      </c>
      <c r="G26" s="6">
        <f>IFERROR(__xludf.DUMMYFUNCTION("""COMPUTED_VALUE"""),1671.0)</f>
        <v>1671</v>
      </c>
      <c r="H26" s="2">
        <f>IFERROR(__xludf.DUMMYFUNCTION("""COMPUTED_VALUE"""),6.34)</f>
        <v>6.34</v>
      </c>
      <c r="I26" s="7">
        <f>IFERROR(__xludf.DUMMYFUNCTION("""COMPUTED_VALUE"""),12.14)</f>
        <v>12.14</v>
      </c>
      <c r="J26" s="2">
        <f>IFERROR(__xludf.DUMMYFUNCTION("""COMPUTED_VALUE"""),9.23)</f>
        <v>9.23</v>
      </c>
      <c r="K26" s="8">
        <f>IFERROR(__xludf.DUMMYFUNCTION("""COMPUTED_VALUE"""),-0.0043)</f>
        <v>-0.0043</v>
      </c>
    </row>
    <row r="27" ht="15.75" customHeight="1">
      <c r="C27" s="2" t="str">
        <f>IFERROR(__xludf.DUMMYFUNCTION("""COMPUTED_VALUE"""),"Bulgaria [+]")</f>
        <v>Bulgaria [+]</v>
      </c>
      <c r="D27" s="2">
        <f>IFERROR(__xludf.DUMMYFUNCTION("""COMPUTED_VALUE"""),2020.0)</f>
        <v>2020</v>
      </c>
      <c r="E27" s="2">
        <f>IFERROR(__xludf.DUMMYFUNCTION("""COMPUTED_VALUE"""),124.0)</f>
        <v>124</v>
      </c>
      <c r="F27" s="2">
        <f>IFERROR(__xludf.DUMMYFUNCTION("""COMPUTED_VALUE"""),463.0)</f>
        <v>463</v>
      </c>
      <c r="G27" s="2">
        <f>IFERROR(__xludf.DUMMYFUNCTION("""COMPUTED_VALUE"""),587.0)</f>
        <v>587</v>
      </c>
      <c r="H27" s="2">
        <f>IFERROR(__xludf.DUMMYFUNCTION("""COMPUTED_VALUE"""),3.48)</f>
        <v>3.48</v>
      </c>
      <c r="I27" s="7">
        <f>IFERROR(__xludf.DUMMYFUNCTION("""COMPUTED_VALUE"""),13.82)</f>
        <v>13.82</v>
      </c>
      <c r="J27" s="2">
        <f>IFERROR(__xludf.DUMMYFUNCTION("""COMPUTED_VALUE"""),8.49)</f>
        <v>8.49</v>
      </c>
      <c r="K27" s="8">
        <f>IFERROR(__xludf.DUMMYFUNCTION("""COMPUTED_VALUE"""),0.0303)</f>
        <v>0.0303</v>
      </c>
    </row>
    <row r="28" ht="15.75" customHeight="1">
      <c r="C28" s="2" t="str">
        <f>IFERROR(__xludf.DUMMYFUNCTION("""COMPUTED_VALUE"""),"Baréin [+]")</f>
        <v>Baréin [+]</v>
      </c>
      <c r="D28" s="2">
        <f>IFERROR(__xludf.DUMMYFUNCTION("""COMPUTED_VALUE"""),2015.0)</f>
        <v>2015</v>
      </c>
      <c r="E28" s="2">
        <f>IFERROR(__xludf.DUMMYFUNCTION("""COMPUTED_VALUE"""),13.0)</f>
        <v>13</v>
      </c>
      <c r="F28" s="2">
        <f>IFERROR(__xludf.DUMMYFUNCTION("""COMPUTED_VALUE"""),77.0)</f>
        <v>77</v>
      </c>
      <c r="G28" s="2">
        <f>IFERROR(__xludf.DUMMYFUNCTION("""COMPUTED_VALUE"""),90.0)</f>
        <v>90</v>
      </c>
      <c r="H28" s="2">
        <f>IFERROR(__xludf.DUMMYFUNCTION("""COMPUTED_VALUE"""),2.4)</f>
        <v>2.4</v>
      </c>
      <c r="I28" s="7">
        <f>IFERROR(__xludf.DUMMYFUNCTION("""COMPUTED_VALUE"""),9.14)</f>
        <v>9.14</v>
      </c>
      <c r="J28" s="2">
        <f>IFERROR(__xludf.DUMMYFUNCTION("""COMPUTED_VALUE"""),6.57)</f>
        <v>6.57</v>
      </c>
      <c r="K28" s="8">
        <f>IFERROR(__xludf.DUMMYFUNCTION("""COMPUTED_VALUE"""),-0.0223)</f>
        <v>-0.0223</v>
      </c>
    </row>
    <row r="29" ht="15.75" customHeight="1">
      <c r="C29" s="2" t="str">
        <f>IFERROR(__xludf.DUMMYFUNCTION("""COMPUTED_VALUE"""),"Burundi [+]")</f>
        <v>Burundi [+]</v>
      </c>
      <c r="D29" s="2">
        <f>IFERROR(__xludf.DUMMYFUNCTION("""COMPUTED_VALUE"""),2015.0)</f>
        <v>2015</v>
      </c>
      <c r="E29" s="2">
        <f>IFERROR(__xludf.DUMMYFUNCTION("""COMPUTED_VALUE"""),223.0)</f>
        <v>223</v>
      </c>
      <c r="F29" s="2">
        <f>IFERROR(__xludf.DUMMYFUNCTION("""COMPUTED_VALUE"""),676.0)</f>
        <v>676</v>
      </c>
      <c r="G29" s="2">
        <f>IFERROR(__xludf.DUMMYFUNCTION("""COMPUTED_VALUE"""),899.0)</f>
        <v>899</v>
      </c>
      <c r="H29" s="2">
        <f>IFERROR(__xludf.DUMMYFUNCTION("""COMPUTED_VALUE"""),4.34)</f>
        <v>4.34</v>
      </c>
      <c r="I29" s="7">
        <f>IFERROR(__xludf.DUMMYFUNCTION("""COMPUTED_VALUE"""),13.45)</f>
        <v>13.45</v>
      </c>
      <c r="J29" s="2">
        <f>IFERROR(__xludf.DUMMYFUNCTION("""COMPUTED_VALUE"""),8.81)</f>
        <v>8.81</v>
      </c>
      <c r="K29" s="8">
        <f>IFERROR(__xludf.DUMMYFUNCTION("""COMPUTED_VALUE"""),-0.0178)</f>
        <v>-0.0178</v>
      </c>
    </row>
    <row r="30" ht="15.75" customHeight="1">
      <c r="C30" s="2" t="str">
        <f>IFERROR(__xludf.DUMMYFUNCTION("""COMPUTED_VALUE"""),"Benin [+]")</f>
        <v>Benin [+]</v>
      </c>
      <c r="D30" s="2">
        <f>IFERROR(__xludf.DUMMYFUNCTION("""COMPUTED_VALUE"""),2015.0)</f>
        <v>2015</v>
      </c>
      <c r="E30" s="5">
        <f>IFERROR(__xludf.DUMMYFUNCTION("""COMPUTED_VALUE"""),298.0)</f>
        <v>298</v>
      </c>
      <c r="F30" s="2">
        <f>IFERROR(__xludf.DUMMYFUNCTION("""COMPUTED_VALUE"""),719.0)</f>
        <v>719</v>
      </c>
      <c r="G30" s="6">
        <f>IFERROR(__xludf.DUMMYFUNCTION("""COMPUTED_VALUE"""),1017.0)</f>
        <v>1017</v>
      </c>
      <c r="H30" s="2">
        <f>IFERROR(__xludf.DUMMYFUNCTION("""COMPUTED_VALUE"""),5.62)</f>
        <v>5.62</v>
      </c>
      <c r="I30" s="7">
        <f>IFERROR(__xludf.DUMMYFUNCTION("""COMPUTED_VALUE"""),13.63)</f>
        <v>13.63</v>
      </c>
      <c r="J30" s="2">
        <f>IFERROR(__xludf.DUMMYFUNCTION("""COMPUTED_VALUE"""),9.61)</f>
        <v>9.61</v>
      </c>
      <c r="K30" s="8">
        <f>IFERROR(__xludf.DUMMYFUNCTION("""COMPUTED_VALUE"""),0.0042)</f>
        <v>0.0042</v>
      </c>
    </row>
    <row r="31" ht="15.75" customHeight="1">
      <c r="C31" s="2" t="str">
        <f>IFERROR(__xludf.DUMMYFUNCTION("""COMPUTED_VALUE"""),"Brunéi [+]")</f>
        <v>Brunéi [+]</v>
      </c>
      <c r="D31" s="2">
        <f>IFERROR(__xludf.DUMMYFUNCTION("""COMPUTED_VALUE"""),2015.0)</f>
        <v>2015</v>
      </c>
      <c r="E31" s="2">
        <f>IFERROR(__xludf.DUMMYFUNCTION("""COMPUTED_VALUE"""),2.0)</f>
        <v>2</v>
      </c>
      <c r="F31" s="2">
        <f>IFERROR(__xludf.DUMMYFUNCTION("""COMPUTED_VALUE"""),4.0)</f>
        <v>4</v>
      </c>
      <c r="G31" s="2">
        <f>IFERROR(__xludf.DUMMYFUNCTION("""COMPUTED_VALUE"""),5.0)</f>
        <v>5</v>
      </c>
      <c r="H31" s="2">
        <f>IFERROR(__xludf.DUMMYFUNCTION("""COMPUTED_VALUE"""),0.96)</f>
        <v>0.96</v>
      </c>
      <c r="I31" s="7">
        <f>IFERROR(__xludf.DUMMYFUNCTION("""COMPUTED_VALUE"""),1.64)</f>
        <v>1.64</v>
      </c>
      <c r="J31" s="2">
        <f>IFERROR(__xludf.DUMMYFUNCTION("""COMPUTED_VALUE"""),1.32)</f>
        <v>1.32</v>
      </c>
      <c r="K31" s="8">
        <f>IFERROR(__xludf.DUMMYFUNCTION("""COMPUTED_VALUE"""),0.1)</f>
        <v>0.1</v>
      </c>
    </row>
    <row r="32" ht="15.75" customHeight="1">
      <c r="C32" s="2" t="str">
        <f>IFERROR(__xludf.DUMMYFUNCTION("""COMPUTED_VALUE"""),"Bolivia [+]")</f>
        <v>Bolivia [+]</v>
      </c>
      <c r="D32" s="2">
        <f>IFERROR(__xludf.DUMMYFUNCTION("""COMPUTED_VALUE"""),2015.0)</f>
        <v>2015</v>
      </c>
      <c r="E32" s="2">
        <f>IFERROR(__xludf.DUMMYFUNCTION("""COMPUTED_VALUE"""),703.0)</f>
        <v>703</v>
      </c>
      <c r="F32" s="5">
        <f>IFERROR(__xludf.DUMMYFUNCTION("""COMPUTED_VALUE"""),1307.0)</f>
        <v>1307</v>
      </c>
      <c r="G32" s="6">
        <f>IFERROR(__xludf.DUMMYFUNCTION("""COMPUTED_VALUE"""),2010.0)</f>
        <v>2010</v>
      </c>
      <c r="H32" s="6">
        <f>IFERROR(__xludf.DUMMYFUNCTION("""COMPUTED_VALUE"""),13.01)</f>
        <v>13.01</v>
      </c>
      <c r="I32" s="7">
        <f>IFERROR(__xludf.DUMMYFUNCTION("""COMPUTED_VALUE"""),23.93)</f>
        <v>23.93</v>
      </c>
      <c r="J32" s="2">
        <f>IFERROR(__xludf.DUMMYFUNCTION("""COMPUTED_VALUE"""),18.56)</f>
        <v>18.56</v>
      </c>
      <c r="K32" s="8">
        <f>IFERROR(__xludf.DUMMYFUNCTION("""COMPUTED_VALUE"""),-0.0122)</f>
        <v>-0.0122</v>
      </c>
    </row>
    <row r="33" ht="15.75" customHeight="1">
      <c r="C33" s="2" t="str">
        <f>IFERROR(__xludf.DUMMYFUNCTION("""COMPUTED_VALUE"""),"Brasil [+]")</f>
        <v>Brasil [+]</v>
      </c>
      <c r="D33" s="2">
        <f>IFERROR(__xludf.DUMMYFUNCTION("""COMPUTED_VALUE"""),2019.0)</f>
        <v>2019</v>
      </c>
      <c r="E33" s="6">
        <f>IFERROR(__xludf.DUMMYFUNCTION("""COMPUTED_VALUE"""),2919.0)</f>
        <v>2919</v>
      </c>
      <c r="F33" s="6">
        <f>IFERROR(__xludf.DUMMYFUNCTION("""COMPUTED_VALUE"""),10599.0)</f>
        <v>10599</v>
      </c>
      <c r="G33" s="6">
        <f>IFERROR(__xludf.DUMMYFUNCTION("""COMPUTED_VALUE"""),13518.0)</f>
        <v>13518</v>
      </c>
      <c r="H33" s="2">
        <f>IFERROR(__xludf.DUMMYFUNCTION("""COMPUTED_VALUE"""),2.7)</f>
        <v>2.7</v>
      </c>
      <c r="I33" s="7">
        <f>IFERROR(__xludf.DUMMYFUNCTION("""COMPUTED_VALUE"""),10.3)</f>
        <v>10.3</v>
      </c>
      <c r="J33" s="2">
        <f>IFERROR(__xludf.DUMMYFUNCTION("""COMPUTED_VALUE"""),6.4)</f>
        <v>6.4</v>
      </c>
      <c r="K33" s="8">
        <f>IFERROR(__xludf.DUMMYFUNCTION("""COMPUTED_VALUE"""),0.0492)</f>
        <v>0.0492</v>
      </c>
    </row>
    <row r="34" ht="15.75" customHeight="1">
      <c r="C34" s="2" t="str">
        <f>IFERROR(__xludf.DUMMYFUNCTION("""COMPUTED_VALUE"""),"Bahamas [+]")</f>
        <v>Bahamas [+]</v>
      </c>
      <c r="D34" s="2">
        <f>IFERROR(__xludf.DUMMYFUNCTION("""COMPUTED_VALUE"""),2015.0)</f>
        <v>2015</v>
      </c>
      <c r="E34" s="2">
        <f>IFERROR(__xludf.DUMMYFUNCTION("""COMPUTED_VALUE"""),1.0)</f>
        <v>1</v>
      </c>
      <c r="F34" s="2">
        <f>IFERROR(__xludf.DUMMYFUNCTION("""COMPUTED_VALUE"""),6.0)</f>
        <v>6</v>
      </c>
      <c r="G34" s="2">
        <f>IFERROR(__xludf.DUMMYFUNCTION("""COMPUTED_VALUE"""),7.0)</f>
        <v>7</v>
      </c>
      <c r="H34" s="2">
        <f>IFERROR(__xludf.DUMMYFUNCTION("""COMPUTED_VALUE"""),0.44)</f>
        <v>0.44</v>
      </c>
      <c r="I34" s="7">
        <f>IFERROR(__xludf.DUMMYFUNCTION("""COMPUTED_VALUE"""),3.32)</f>
        <v>3.32</v>
      </c>
      <c r="J34" s="2">
        <f>IFERROR(__xludf.DUMMYFUNCTION("""COMPUTED_VALUE"""),1.89)</f>
        <v>1.89</v>
      </c>
      <c r="K34" s="8">
        <f>IFERROR(__xludf.DUMMYFUNCTION("""COMPUTED_VALUE"""),-0.0455)</f>
        <v>-0.0455</v>
      </c>
    </row>
    <row r="35" ht="15.75" customHeight="1">
      <c r="C35" s="2" t="str">
        <f>IFERROR(__xludf.DUMMYFUNCTION("""COMPUTED_VALUE"""),"Bután [+]")</f>
        <v>Bután [+]</v>
      </c>
      <c r="D35" s="2">
        <f>IFERROR(__xludf.DUMMYFUNCTION("""COMPUTED_VALUE"""),2015.0)</f>
        <v>2015</v>
      </c>
      <c r="E35" s="2">
        <f>IFERROR(__xludf.DUMMYFUNCTION("""COMPUTED_VALUE"""),34.0)</f>
        <v>34</v>
      </c>
      <c r="F35" s="2">
        <f>IFERROR(__xludf.DUMMYFUNCTION("""COMPUTED_VALUE"""),57.0)</f>
        <v>57</v>
      </c>
      <c r="G35" s="2">
        <f>IFERROR(__xludf.DUMMYFUNCTION("""COMPUTED_VALUE"""),91.0)</f>
        <v>91</v>
      </c>
      <c r="H35" s="2">
        <f>IFERROR(__xludf.DUMMYFUNCTION("""COMPUTED_VALUE"""),9.81)</f>
        <v>9.81</v>
      </c>
      <c r="I35" s="7">
        <f>IFERROR(__xludf.DUMMYFUNCTION("""COMPUTED_VALUE"""),14.88)</f>
        <v>14.88</v>
      </c>
      <c r="J35" s="2">
        <f>IFERROR(__xludf.DUMMYFUNCTION("""COMPUTED_VALUE"""),12.75)</f>
        <v>12.75</v>
      </c>
      <c r="K35" s="8">
        <f>IFERROR(__xludf.DUMMYFUNCTION("""COMPUTED_VALUE"""),-0.007)</f>
        <v>-0.007</v>
      </c>
    </row>
    <row r="36" ht="15.75" customHeight="1">
      <c r="C36" s="2" t="str">
        <f>IFERROR(__xludf.DUMMYFUNCTION("""COMPUTED_VALUE"""),"Botsuana [+]")</f>
        <v>Botsuana [+]</v>
      </c>
      <c r="D36" s="2">
        <f>IFERROR(__xludf.DUMMYFUNCTION("""COMPUTED_VALUE"""),2015.0)</f>
        <v>2015</v>
      </c>
      <c r="E36" s="5">
        <f>IFERROR(__xludf.DUMMYFUNCTION("""COMPUTED_VALUE"""),52.0)</f>
        <v>52</v>
      </c>
      <c r="F36" s="2">
        <f>IFERROR(__xludf.DUMMYFUNCTION("""COMPUTED_VALUE"""),168.0)</f>
        <v>168</v>
      </c>
      <c r="G36" s="6">
        <f>IFERROR(__xludf.DUMMYFUNCTION("""COMPUTED_VALUE"""),220.0)</f>
        <v>220</v>
      </c>
      <c r="H36" s="2">
        <f>IFERROR(__xludf.DUMMYFUNCTION("""COMPUTED_VALUE"""),4.75)</f>
        <v>4.75</v>
      </c>
      <c r="I36" s="7">
        <f>IFERROR(__xludf.DUMMYFUNCTION("""COMPUTED_VALUE"""),16.43)</f>
        <v>16.43</v>
      </c>
      <c r="J36" s="2">
        <f>IFERROR(__xludf.DUMMYFUNCTION("""COMPUTED_VALUE"""),10.37)</f>
        <v>10.37</v>
      </c>
      <c r="K36" s="8">
        <f>IFERROR(__xludf.DUMMYFUNCTION("""COMPUTED_VALUE"""),-0.0152)</f>
        <v>-0.0152</v>
      </c>
    </row>
    <row r="37" ht="15.75" customHeight="1">
      <c r="C37" s="2" t="str">
        <f>IFERROR(__xludf.DUMMYFUNCTION("""COMPUTED_VALUE"""),"Bielorrusia [+]")</f>
        <v>Bielorrusia [+]</v>
      </c>
      <c r="D37" s="2">
        <f>IFERROR(__xludf.DUMMYFUNCTION("""COMPUTED_VALUE"""),2015.0)</f>
        <v>2015</v>
      </c>
      <c r="E37" s="2">
        <f>IFERROR(__xludf.DUMMYFUNCTION("""COMPUTED_VALUE"""),353.0)</f>
        <v>353</v>
      </c>
      <c r="F37" s="6">
        <f>IFERROR(__xludf.DUMMYFUNCTION("""COMPUTED_VALUE"""),1809.0)</f>
        <v>1809</v>
      </c>
      <c r="G37" s="6">
        <f>IFERROR(__xludf.DUMMYFUNCTION("""COMPUTED_VALUE"""),2162.0)</f>
        <v>2162</v>
      </c>
      <c r="H37" s="2">
        <f>IFERROR(__xludf.DUMMYFUNCTION("""COMPUTED_VALUE"""),6.95)</f>
        <v>6.95</v>
      </c>
      <c r="I37" s="7">
        <f>IFERROR(__xludf.DUMMYFUNCTION("""COMPUTED_VALUE"""),40.92)</f>
        <v>40.92</v>
      </c>
      <c r="J37" s="2">
        <f>IFERROR(__xludf.DUMMYFUNCTION("""COMPUTED_VALUE"""),22.76)</f>
        <v>22.76</v>
      </c>
      <c r="K37" s="8">
        <f>IFERROR(__xludf.DUMMYFUNCTION("""COMPUTED_VALUE"""),0.0397)</f>
        <v>0.0397</v>
      </c>
    </row>
    <row r="38" ht="15.75" customHeight="1">
      <c r="C38" s="2" t="str">
        <f>IFERROR(__xludf.DUMMYFUNCTION("""COMPUTED_VALUE"""),"Belice [+]")</f>
        <v>Belice [+]</v>
      </c>
      <c r="D38" s="2">
        <f>IFERROR(__xludf.DUMMYFUNCTION("""COMPUTED_VALUE"""),2015.0)</f>
        <v>2015</v>
      </c>
      <c r="E38" s="5">
        <f>IFERROR(__xludf.DUMMYFUNCTION("""COMPUTED_VALUE"""),4.0)</f>
        <v>4</v>
      </c>
      <c r="F38" s="2">
        <f>IFERROR(__xludf.DUMMYFUNCTION("""COMPUTED_VALUE"""),22.0)</f>
        <v>22</v>
      </c>
      <c r="G38" s="6">
        <f>IFERROR(__xludf.DUMMYFUNCTION("""COMPUTED_VALUE"""),26.0)</f>
        <v>26</v>
      </c>
      <c r="H38" s="2">
        <f>IFERROR(__xludf.DUMMYFUNCTION("""COMPUTED_VALUE"""),2.29)</f>
        <v>2.29</v>
      </c>
      <c r="I38" s="7">
        <f>IFERROR(__xludf.DUMMYFUNCTION("""COMPUTED_VALUE"""),12.34)</f>
        <v>12.34</v>
      </c>
      <c r="J38" s="2">
        <f>IFERROR(__xludf.DUMMYFUNCTION("""COMPUTED_VALUE"""),7.17)</f>
        <v>7.17</v>
      </c>
      <c r="K38" s="8">
        <f>IFERROR(__xludf.DUMMYFUNCTION("""COMPUTED_VALUE"""),-0.0165)</f>
        <v>-0.0165</v>
      </c>
    </row>
    <row r="39" ht="15.75" customHeight="1">
      <c r="C39" s="2" t="str">
        <f>IFERROR(__xludf.DUMMYFUNCTION("""COMPUTED_VALUE"""),"Canadá [+]")</f>
        <v>Canadá [+]</v>
      </c>
      <c r="D39" s="2">
        <f>IFERROR(__xludf.DUMMYFUNCTION("""COMPUTED_VALUE"""),2019.0)</f>
        <v>2019</v>
      </c>
      <c r="E39" s="5">
        <f>IFERROR(__xludf.DUMMYFUNCTION("""COMPUTED_VALUE"""),953.0)</f>
        <v>953</v>
      </c>
      <c r="F39" s="6">
        <f>IFERROR(__xludf.DUMMYFUNCTION("""COMPUTED_VALUE"""),3057.0)</f>
        <v>3057</v>
      </c>
      <c r="G39" s="6">
        <f>IFERROR(__xludf.DUMMYFUNCTION("""COMPUTED_VALUE"""),4010.0)</f>
        <v>4010</v>
      </c>
      <c r="H39" s="2">
        <f>IFERROR(__xludf.DUMMYFUNCTION("""COMPUTED_VALUE"""),5.0)</f>
        <v>5</v>
      </c>
      <c r="I39" s="7">
        <f>IFERROR(__xludf.DUMMYFUNCTION("""COMPUTED_VALUE"""),16.4)</f>
        <v>16.4</v>
      </c>
      <c r="J39" s="2">
        <f>IFERROR(__xludf.DUMMYFUNCTION("""COMPUTED_VALUE"""),10.7)</f>
        <v>10.7</v>
      </c>
      <c r="K39" s="8">
        <f>IFERROR(__xludf.DUMMYFUNCTION("""COMPUTED_VALUE"""),0.0388)</f>
        <v>0.0388</v>
      </c>
    </row>
    <row r="40" ht="15.75" customHeight="1">
      <c r="C40" s="2" t="str">
        <f>IFERROR(__xludf.DUMMYFUNCTION("""COMPUTED_VALUE"""),"República Democrática del Congo [+]")</f>
        <v>República Democrática del Congo [+]</v>
      </c>
      <c r="D40" s="2">
        <f>IFERROR(__xludf.DUMMYFUNCTION("""COMPUTED_VALUE"""),2015.0)</f>
        <v>2015</v>
      </c>
      <c r="E40" s="5">
        <f>IFERROR(__xludf.DUMMYFUNCTION("""COMPUTED_VALUE"""),2300.0)</f>
        <v>2300</v>
      </c>
      <c r="F40" s="6">
        <f>IFERROR(__xludf.DUMMYFUNCTION("""COMPUTED_VALUE"""),5277.0)</f>
        <v>5277</v>
      </c>
      <c r="G40" s="6">
        <f>IFERROR(__xludf.DUMMYFUNCTION("""COMPUTED_VALUE"""),7577.0)</f>
        <v>7577</v>
      </c>
      <c r="H40" s="2">
        <f>IFERROR(__xludf.DUMMYFUNCTION("""COMPUTED_VALUE"""),6.02)</f>
        <v>6.02</v>
      </c>
      <c r="I40" s="7">
        <f>IFERROR(__xludf.DUMMYFUNCTION("""COMPUTED_VALUE"""),13.88)</f>
        <v>13.88</v>
      </c>
      <c r="J40" s="2">
        <f>IFERROR(__xludf.DUMMYFUNCTION("""COMPUTED_VALUE"""),9.81)</f>
        <v>9.81</v>
      </c>
      <c r="K40" s="8">
        <f>IFERROR(__xludf.DUMMYFUNCTION("""COMPUTED_VALUE"""),0.0124)</f>
        <v>0.0124</v>
      </c>
    </row>
    <row r="41" ht="15.75" customHeight="1">
      <c r="C41" s="2" t="str">
        <f>IFERROR(__xludf.DUMMYFUNCTION("""COMPUTED_VALUE"""),"República Centroafricana [+]")</f>
        <v>República Centroafricana [+]</v>
      </c>
      <c r="D41" s="2">
        <f>IFERROR(__xludf.DUMMYFUNCTION("""COMPUTED_VALUE"""),2015.0)</f>
        <v>2015</v>
      </c>
      <c r="E41" s="2">
        <f>IFERROR(__xludf.DUMMYFUNCTION("""COMPUTED_VALUE"""),205.0)</f>
        <v>205</v>
      </c>
      <c r="F41" s="2">
        <f>IFERROR(__xludf.DUMMYFUNCTION("""COMPUTED_VALUE"""),646.0)</f>
        <v>646</v>
      </c>
      <c r="G41" s="2">
        <f>IFERROR(__xludf.DUMMYFUNCTION("""COMPUTED_VALUE"""),851.0)</f>
        <v>851</v>
      </c>
      <c r="H41" s="2">
        <f>IFERROR(__xludf.DUMMYFUNCTION("""COMPUTED_VALUE"""),9.03)</f>
        <v>9.03</v>
      </c>
      <c r="I41" s="7">
        <f>IFERROR(__xludf.DUMMYFUNCTION("""COMPUTED_VALUE"""),29.03)</f>
        <v>29.03</v>
      </c>
      <c r="J41" s="2">
        <f>IFERROR(__xludf.DUMMYFUNCTION("""COMPUTED_VALUE"""),18.94)</f>
        <v>18.94</v>
      </c>
      <c r="K41" s="8">
        <f>IFERROR(__xludf.DUMMYFUNCTION("""COMPUTED_VALUE"""),-0.0099)</f>
        <v>-0.0099</v>
      </c>
    </row>
    <row r="42" ht="15.75" customHeight="1">
      <c r="C42" s="2" t="str">
        <f>IFERROR(__xludf.DUMMYFUNCTION("""COMPUTED_VALUE"""),"República del Congo [+]")</f>
        <v>República del Congo [+]</v>
      </c>
      <c r="D42" s="2">
        <f>IFERROR(__xludf.DUMMYFUNCTION("""COMPUTED_VALUE"""),2015.0)</f>
        <v>2015</v>
      </c>
      <c r="E42" s="2">
        <f>IFERROR(__xludf.DUMMYFUNCTION("""COMPUTED_VALUE"""),112.0)</f>
        <v>112</v>
      </c>
      <c r="F42" s="2">
        <f>IFERROR(__xludf.DUMMYFUNCTION("""COMPUTED_VALUE"""),331.0)</f>
        <v>331</v>
      </c>
      <c r="G42" s="2">
        <f>IFERROR(__xludf.DUMMYFUNCTION("""COMPUTED_VALUE"""),443.0)</f>
        <v>443</v>
      </c>
      <c r="H42" s="2">
        <f>IFERROR(__xludf.DUMMYFUNCTION("""COMPUTED_VALUE"""),4.6)</f>
        <v>4.6</v>
      </c>
      <c r="I42" s="7">
        <f>IFERROR(__xludf.DUMMYFUNCTION("""COMPUTED_VALUE"""),13.66)</f>
        <v>13.66</v>
      </c>
      <c r="J42" s="2">
        <f>IFERROR(__xludf.DUMMYFUNCTION("""COMPUTED_VALUE"""),10.7)</f>
        <v>10.7</v>
      </c>
      <c r="K42" s="8">
        <f>IFERROR(__xludf.DUMMYFUNCTION("""COMPUTED_VALUE"""),-0.0237)</f>
        <v>-0.0237</v>
      </c>
    </row>
    <row r="43" ht="15.75" customHeight="1">
      <c r="C43" s="2" t="str">
        <f>IFERROR(__xludf.DUMMYFUNCTION("""COMPUTED_VALUE"""),"Suiza [+]")</f>
        <v>Suiza [+]</v>
      </c>
      <c r="D43" s="2">
        <f>IFERROR(__xludf.DUMMYFUNCTION("""COMPUTED_VALUE"""),2019.0)</f>
        <v>2019</v>
      </c>
      <c r="E43" s="5">
        <f>IFERROR(__xludf.DUMMYFUNCTION("""COMPUTED_VALUE"""),285.0)</f>
        <v>285</v>
      </c>
      <c r="F43" s="2">
        <f>IFERROR(__xludf.DUMMYFUNCTION("""COMPUTED_VALUE"""),771.0)</f>
        <v>771</v>
      </c>
      <c r="G43" s="6">
        <f>IFERROR(__xludf.DUMMYFUNCTION("""COMPUTED_VALUE"""),1056.0)</f>
        <v>1056</v>
      </c>
      <c r="H43" s="2">
        <f>IFERROR(__xludf.DUMMYFUNCTION("""COMPUTED_VALUE"""),6.39)</f>
        <v>6.39</v>
      </c>
      <c r="I43" s="7">
        <f>IFERROR(__xludf.DUMMYFUNCTION("""COMPUTED_VALUE"""),17.66)</f>
        <v>17.66</v>
      </c>
      <c r="J43" s="2">
        <f>IFERROR(__xludf.DUMMYFUNCTION("""COMPUTED_VALUE"""),11.98)</f>
        <v>11.98</v>
      </c>
      <c r="K43" s="8">
        <f>IFERROR(__xludf.DUMMYFUNCTION("""COMPUTED_VALUE"""),0.0017)</f>
        <v>0.0017</v>
      </c>
    </row>
    <row r="44" ht="15.75" customHeight="1">
      <c r="C44" s="2" t="str">
        <f>IFERROR(__xludf.DUMMYFUNCTION("""COMPUTED_VALUE"""),"Costa de Marfil [+]")</f>
        <v>Costa de Marfil [+]</v>
      </c>
      <c r="D44" s="2">
        <f>IFERROR(__xludf.DUMMYFUNCTION("""COMPUTED_VALUE"""),2015.0)</f>
        <v>2015</v>
      </c>
      <c r="E44" s="6">
        <f>IFERROR(__xludf.DUMMYFUNCTION("""COMPUTED_VALUE"""),1089.0)</f>
        <v>1089</v>
      </c>
      <c r="F44" s="6">
        <f>IFERROR(__xludf.DUMMYFUNCTION("""COMPUTED_VALUE"""),3015.0)</f>
        <v>3015</v>
      </c>
      <c r="G44" s="6">
        <f>IFERROR(__xludf.DUMMYFUNCTION("""COMPUTED_VALUE"""),4104.0)</f>
        <v>4104</v>
      </c>
      <c r="H44" s="2">
        <f>IFERROR(__xludf.DUMMYFUNCTION("""COMPUTED_VALUE"""),9.48)</f>
        <v>9.48</v>
      </c>
      <c r="I44" s="7">
        <f>IFERROR(__xludf.DUMMYFUNCTION("""COMPUTED_VALUE"""),25.67)</f>
        <v>25.67</v>
      </c>
      <c r="J44" s="2">
        <f>IFERROR(__xludf.DUMMYFUNCTION("""COMPUTED_VALUE"""),17.31)</f>
        <v>17.31</v>
      </c>
      <c r="K44" s="8">
        <f>IFERROR(__xludf.DUMMYFUNCTION("""COMPUTED_VALUE"""),0.0076)</f>
        <v>0.0076</v>
      </c>
    </row>
    <row r="45" ht="15.75" customHeight="1">
      <c r="C45" s="2" t="str">
        <f>IFERROR(__xludf.DUMMYFUNCTION("""COMPUTED_VALUE"""),"Chile [+]")</f>
        <v>Chile [+]</v>
      </c>
      <c r="D45" s="2">
        <f>IFERROR(__xludf.DUMMYFUNCTION("""COMPUTED_VALUE"""),2018.0)</f>
        <v>2018</v>
      </c>
      <c r="E45" s="5">
        <f>IFERROR(__xludf.DUMMYFUNCTION("""COMPUTED_VALUE"""),316.0)</f>
        <v>316</v>
      </c>
      <c r="F45" s="6">
        <f>IFERROR(__xludf.DUMMYFUNCTION("""COMPUTED_VALUE"""),1507.0)</f>
        <v>1507</v>
      </c>
      <c r="G45" s="6">
        <f>IFERROR(__xludf.DUMMYFUNCTION("""COMPUTED_VALUE"""),1823.0)</f>
        <v>1823</v>
      </c>
      <c r="H45" s="2">
        <f>IFERROR(__xludf.DUMMYFUNCTION("""COMPUTED_VALUE"""),3.3)</f>
        <v>3.3</v>
      </c>
      <c r="I45" s="7">
        <f>IFERROR(__xludf.DUMMYFUNCTION("""COMPUTED_VALUE"""),16.3)</f>
        <v>16.3</v>
      </c>
      <c r="J45" s="2">
        <f>IFERROR(__xludf.DUMMYFUNCTION("""COMPUTED_VALUE"""),9.7)</f>
        <v>9.7</v>
      </c>
      <c r="K45" s="8">
        <f>IFERROR(__xludf.DUMMYFUNCTION("""COMPUTED_VALUE"""),-0.049)</f>
        <v>-0.049</v>
      </c>
    </row>
    <row r="46" ht="15.75" customHeight="1">
      <c r="C46" s="2" t="str">
        <f>IFERROR(__xludf.DUMMYFUNCTION("""COMPUTED_VALUE"""),"Camerún [+]")</f>
        <v>Camerún [+]</v>
      </c>
      <c r="D46" s="2">
        <f>IFERROR(__xludf.DUMMYFUNCTION("""COMPUTED_VALUE"""),2015.0)</f>
        <v>2015</v>
      </c>
      <c r="E46" s="5">
        <f>IFERROR(__xludf.DUMMYFUNCTION("""COMPUTED_VALUE"""),647.0)</f>
        <v>647</v>
      </c>
      <c r="F46" s="6">
        <f>IFERROR(__xludf.DUMMYFUNCTION("""COMPUTED_VALUE"""),2139.0)</f>
        <v>2139</v>
      </c>
      <c r="G46" s="6">
        <f>IFERROR(__xludf.DUMMYFUNCTION("""COMPUTED_VALUE"""),2787.0)</f>
        <v>2787</v>
      </c>
      <c r="H46" s="2">
        <f>IFERROR(__xludf.DUMMYFUNCTION("""COMPUTED_VALUE"""),5.55)</f>
        <v>5.55</v>
      </c>
      <c r="I46" s="7">
        <f>IFERROR(__xludf.DUMMYFUNCTION("""COMPUTED_VALUE"""),18.38)</f>
        <v>18.38</v>
      </c>
      <c r="J46" s="2">
        <f>IFERROR(__xludf.DUMMYFUNCTION("""COMPUTED_VALUE"""),11.96)</f>
        <v>11.96</v>
      </c>
      <c r="K46" s="8">
        <f>IFERROR(__xludf.DUMMYFUNCTION("""COMPUTED_VALUE"""),-0.0108)</f>
        <v>-0.0108</v>
      </c>
    </row>
    <row r="47" ht="15.75" customHeight="1">
      <c r="C47" s="2" t="str">
        <f>IFERROR(__xludf.DUMMYFUNCTION("""COMPUTED_VALUE"""),"Colombia [+]")</f>
        <v>Colombia [+]</v>
      </c>
      <c r="D47" s="2">
        <f>IFERROR(__xludf.DUMMYFUNCTION("""COMPUTED_VALUE"""),2019.0)</f>
        <v>2019</v>
      </c>
      <c r="E47" s="2">
        <f>IFERROR(__xludf.DUMMYFUNCTION("""COMPUTED_VALUE"""),587.0)</f>
        <v>587</v>
      </c>
      <c r="F47" s="6">
        <f>IFERROR(__xludf.DUMMYFUNCTION("""COMPUTED_VALUE"""),2340.0)</f>
        <v>2340</v>
      </c>
      <c r="G47" s="6">
        <f>IFERROR(__xludf.DUMMYFUNCTION("""COMPUTED_VALUE"""),2927.0)</f>
        <v>2927</v>
      </c>
      <c r="H47" s="2">
        <f>IFERROR(__xludf.DUMMYFUNCTION("""COMPUTED_VALUE"""),2.3)</f>
        <v>2.3</v>
      </c>
      <c r="I47" s="7">
        <f>IFERROR(__xludf.DUMMYFUNCTION("""COMPUTED_VALUE"""),9.4)</f>
        <v>9.4</v>
      </c>
      <c r="J47" s="2">
        <f>IFERROR(__xludf.DUMMYFUNCTION("""COMPUTED_VALUE"""),5.8)</f>
        <v>5.8</v>
      </c>
      <c r="K47" s="4">
        <f>IFERROR(__xludf.DUMMYFUNCTION("""COMPUTED_VALUE"""),0.0)</f>
        <v>0</v>
      </c>
    </row>
    <row r="48" ht="15.75" customHeight="1">
      <c r="C48" s="2" t="str">
        <f>IFERROR(__xludf.DUMMYFUNCTION("""COMPUTED_VALUE"""),"Costa Rica [+]")</f>
        <v>Costa Rica [+]</v>
      </c>
      <c r="D48" s="2">
        <f>IFERROR(__xludf.DUMMYFUNCTION("""COMPUTED_VALUE"""),2020.0)</f>
        <v>2020</v>
      </c>
      <c r="E48" s="2">
        <f>IFERROR(__xludf.DUMMYFUNCTION("""COMPUTED_VALUE"""),75.0)</f>
        <v>75</v>
      </c>
      <c r="F48" s="2">
        <f>IFERROR(__xludf.DUMMYFUNCTION("""COMPUTED_VALUE"""),277.0)</f>
        <v>277</v>
      </c>
      <c r="G48" s="2">
        <f>IFERROR(__xludf.DUMMYFUNCTION("""COMPUTED_VALUE"""),352.0)</f>
        <v>352</v>
      </c>
      <c r="H48" s="2">
        <f>IFERROR(__xludf.DUMMYFUNCTION("""COMPUTED_VALUE"""),3.0)</f>
        <v>3</v>
      </c>
      <c r="I48" s="7">
        <f>IFERROR(__xludf.DUMMYFUNCTION("""COMPUTED_VALUE"""),10.8)</f>
        <v>10.8</v>
      </c>
      <c r="J48" s="2">
        <f>IFERROR(__xludf.DUMMYFUNCTION("""COMPUTED_VALUE"""),6.9)</f>
        <v>6.9</v>
      </c>
      <c r="K48" s="8">
        <f>IFERROR(__xludf.DUMMYFUNCTION("""COMPUTED_VALUE"""),-0.0921)</f>
        <v>-0.0921</v>
      </c>
    </row>
    <row r="49" ht="15.75" customHeight="1">
      <c r="C49" s="2" t="str">
        <f>IFERROR(__xludf.DUMMYFUNCTION("""COMPUTED_VALUE"""),"Cuba [+]")</f>
        <v>Cuba [+]</v>
      </c>
      <c r="D49" s="2">
        <f>IFERROR(__xludf.DUMMYFUNCTION("""COMPUTED_VALUE"""),2015.0)</f>
        <v>2015</v>
      </c>
      <c r="E49" s="5">
        <f>IFERROR(__xludf.DUMMYFUNCTION("""COMPUTED_VALUE"""),325.0)</f>
        <v>325</v>
      </c>
      <c r="F49" s="6">
        <f>IFERROR(__xludf.DUMMYFUNCTION("""COMPUTED_VALUE"""),1275.0)</f>
        <v>1275</v>
      </c>
      <c r="G49" s="6">
        <f>IFERROR(__xludf.DUMMYFUNCTION("""COMPUTED_VALUE"""),1600.0)</f>
        <v>1600</v>
      </c>
      <c r="H49" s="2">
        <f>IFERROR(__xludf.DUMMYFUNCTION("""COMPUTED_VALUE"""),5.7)</f>
        <v>5.7</v>
      </c>
      <c r="I49" s="7">
        <f>IFERROR(__xludf.DUMMYFUNCTION("""COMPUTED_VALUE"""),22.66)</f>
        <v>22.66</v>
      </c>
      <c r="J49" s="2">
        <f>IFERROR(__xludf.DUMMYFUNCTION("""COMPUTED_VALUE"""),14.13)</f>
        <v>14.13</v>
      </c>
      <c r="K49" s="8">
        <f>IFERROR(__xludf.DUMMYFUNCTION("""COMPUTED_VALUE"""),0.0521)</f>
        <v>0.0521</v>
      </c>
    </row>
    <row r="50" ht="15.75" customHeight="1">
      <c r="C50" s="2" t="str">
        <f>IFERROR(__xludf.DUMMYFUNCTION("""COMPUTED_VALUE"""),"Cabo Verde [+]")</f>
        <v>Cabo Verde [+]</v>
      </c>
      <c r="D50" s="2">
        <f>IFERROR(__xludf.DUMMYFUNCTION("""COMPUTED_VALUE"""),2015.0)</f>
        <v>2015</v>
      </c>
      <c r="E50" s="5">
        <f>IFERROR(__xludf.DUMMYFUNCTION("""COMPUTED_VALUE"""),15.0)</f>
        <v>15</v>
      </c>
      <c r="F50" s="2">
        <f>IFERROR(__xludf.DUMMYFUNCTION("""COMPUTED_VALUE"""),30.0)</f>
        <v>30</v>
      </c>
      <c r="G50" s="2">
        <f>IFERROR(__xludf.DUMMYFUNCTION("""COMPUTED_VALUE"""),44.0)</f>
        <v>44</v>
      </c>
      <c r="H50" s="2">
        <f>IFERROR(__xludf.DUMMYFUNCTION("""COMPUTED_VALUE"""),5.6)</f>
        <v>5.6</v>
      </c>
      <c r="I50" s="7">
        <f>IFERROR(__xludf.DUMMYFUNCTION("""COMPUTED_VALUE"""),11.28)</f>
        <v>11.28</v>
      </c>
      <c r="J50" s="2">
        <f>IFERROR(__xludf.DUMMYFUNCTION("""COMPUTED_VALUE"""),8.32)</f>
        <v>8.32</v>
      </c>
      <c r="K50" s="8">
        <f>IFERROR(__xludf.DUMMYFUNCTION("""COMPUTED_VALUE"""),-0.0404)</f>
        <v>-0.0404</v>
      </c>
    </row>
    <row r="51" ht="15.75" customHeight="1">
      <c r="C51" s="2" t="str">
        <f>IFERROR(__xludf.DUMMYFUNCTION("""COMPUTED_VALUE"""),"Chipre [+]")</f>
        <v>Chipre [+]</v>
      </c>
      <c r="D51" s="2">
        <f>IFERROR(__xludf.DUMMYFUNCTION("""COMPUTED_VALUE"""),2020.0)</f>
        <v>2020</v>
      </c>
      <c r="E51" s="5">
        <f>IFERROR(__xludf.DUMMYFUNCTION("""COMPUTED_VALUE"""),7.0)</f>
        <v>7</v>
      </c>
      <c r="F51" s="2">
        <f>IFERROR(__xludf.DUMMYFUNCTION("""COMPUTED_VALUE"""),24.0)</f>
        <v>24</v>
      </c>
      <c r="G51" s="6">
        <f>IFERROR(__xludf.DUMMYFUNCTION("""COMPUTED_VALUE"""),31.0)</f>
        <v>31</v>
      </c>
      <c r="H51" s="2">
        <f>IFERROR(__xludf.DUMMYFUNCTION("""COMPUTED_VALUE"""),1.53)</f>
        <v>1.53</v>
      </c>
      <c r="I51" s="7">
        <f>IFERROR(__xludf.DUMMYFUNCTION("""COMPUTED_VALUE"""),5.48)</f>
        <v>5.48</v>
      </c>
      <c r="J51" s="2">
        <f>IFERROR(__xludf.DUMMYFUNCTION("""COMPUTED_VALUE"""),3.46)</f>
        <v>3.46</v>
      </c>
      <c r="K51" s="8">
        <f>IFERROR(__xludf.DUMMYFUNCTION("""COMPUTED_VALUE"""),-0.1972)</f>
        <v>-0.1972</v>
      </c>
    </row>
    <row r="52" ht="15.75" customHeight="1">
      <c r="C52" s="2" t="str">
        <f>IFERROR(__xludf.DUMMYFUNCTION("""COMPUTED_VALUE"""),"Chequia [+]")</f>
        <v>Chequia [+]</v>
      </c>
      <c r="D52" s="2">
        <f>IFERROR(__xludf.DUMMYFUNCTION("""COMPUTED_VALUE"""),2020.0)</f>
        <v>2020</v>
      </c>
      <c r="E52" s="5">
        <f>IFERROR(__xludf.DUMMYFUNCTION("""COMPUTED_VALUE"""),218.0)</f>
        <v>218</v>
      </c>
      <c r="F52" s="6">
        <f>IFERROR(__xludf.DUMMYFUNCTION("""COMPUTED_VALUE"""),1031.0)</f>
        <v>1031</v>
      </c>
      <c r="G52" s="6">
        <f>IFERROR(__xludf.DUMMYFUNCTION("""COMPUTED_VALUE"""),1249.0)</f>
        <v>1249</v>
      </c>
      <c r="H52" s="2">
        <f>IFERROR(__xludf.DUMMYFUNCTION("""COMPUTED_VALUE"""),4.0)</f>
        <v>4</v>
      </c>
      <c r="I52" s="7">
        <f>IFERROR(__xludf.DUMMYFUNCTION("""COMPUTED_VALUE"""),19.1)</f>
        <v>19.1</v>
      </c>
      <c r="J52" s="2">
        <f>IFERROR(__xludf.DUMMYFUNCTION("""COMPUTED_VALUE"""),11.4)</f>
        <v>11.4</v>
      </c>
      <c r="K52" s="8">
        <f>IFERROR(__xludf.DUMMYFUNCTION("""COMPUTED_VALUE"""),0.0169)</f>
        <v>0.0169</v>
      </c>
    </row>
    <row r="53" ht="15.75" customHeight="1">
      <c r="C53" s="2" t="str">
        <f>IFERROR(__xludf.DUMMYFUNCTION("""COMPUTED_VALUE"""),"Yibuti [+]")</f>
        <v>Yibuti [+]</v>
      </c>
      <c r="D53" s="2">
        <f>IFERROR(__xludf.DUMMYFUNCTION("""COMPUTED_VALUE"""),2015.0)</f>
        <v>2015</v>
      </c>
      <c r="E53" s="5">
        <f>IFERROR(__xludf.DUMMYFUNCTION("""COMPUTED_VALUE"""),24.0)</f>
        <v>24</v>
      </c>
      <c r="F53" s="2">
        <f>IFERROR(__xludf.DUMMYFUNCTION("""COMPUTED_VALUE"""),53.0)</f>
        <v>53</v>
      </c>
      <c r="G53" s="6">
        <f>IFERROR(__xludf.DUMMYFUNCTION("""COMPUTED_VALUE"""),76.0)</f>
        <v>76</v>
      </c>
      <c r="H53" s="2">
        <f>IFERROR(__xludf.DUMMYFUNCTION("""COMPUTED_VALUE"""),5.49)</f>
        <v>5.49</v>
      </c>
      <c r="I53" s="7">
        <f>IFERROR(__xludf.DUMMYFUNCTION("""COMPUTED_VALUE"""),10.9)</f>
        <v>10.9</v>
      </c>
      <c r="J53" s="2">
        <f>IFERROR(__xludf.DUMMYFUNCTION("""COMPUTED_VALUE"""),8.35)</f>
        <v>8.35</v>
      </c>
      <c r="K53" s="8">
        <f>IFERROR(__xludf.DUMMYFUNCTION("""COMPUTED_VALUE"""),-0.0024)</f>
        <v>-0.0024</v>
      </c>
    </row>
    <row r="54" ht="15.75" customHeight="1">
      <c r="C54" s="2" t="str">
        <f>IFERROR(__xludf.DUMMYFUNCTION("""COMPUTED_VALUE"""),"Dinamarca [+]")</f>
        <v>Dinamarca [+]</v>
      </c>
      <c r="D54" s="2">
        <f>IFERROR(__xludf.DUMMYFUNCTION("""COMPUTED_VALUE"""),2019.0)</f>
        <v>2019</v>
      </c>
      <c r="E54" s="5">
        <f>IFERROR(__xludf.DUMMYFUNCTION("""COMPUTED_VALUE"""),152.0)</f>
        <v>152</v>
      </c>
      <c r="F54" s="2">
        <f>IFERROR(__xludf.DUMMYFUNCTION("""COMPUTED_VALUE"""),452.0)</f>
        <v>452</v>
      </c>
      <c r="G54" s="6">
        <f>IFERROR(__xludf.DUMMYFUNCTION("""COMPUTED_VALUE"""),613.0)</f>
        <v>613</v>
      </c>
      <c r="H54" s="2">
        <f>IFERROR(__xludf.DUMMYFUNCTION("""COMPUTED_VALUE"""),5.2)</f>
        <v>5.2</v>
      </c>
      <c r="I54" s="7">
        <f>IFERROR(__xludf.DUMMYFUNCTION("""COMPUTED_VALUE"""),15.66)</f>
        <v>15.66</v>
      </c>
      <c r="J54" s="2">
        <f>IFERROR(__xludf.DUMMYFUNCTION("""COMPUTED_VALUE"""),10.44)</f>
        <v>10.44</v>
      </c>
      <c r="K54" s="8">
        <f>IFERROR(__xludf.DUMMYFUNCTION("""COMPUTED_VALUE"""),0.0265)</f>
        <v>0.0265</v>
      </c>
    </row>
    <row r="55" ht="15.75" customHeight="1">
      <c r="C55" s="2" t="str">
        <f>IFERROR(__xludf.DUMMYFUNCTION("""COMPUTED_VALUE"""),"República Dominicana [+]")</f>
        <v>República Dominicana [+]</v>
      </c>
      <c r="D55" s="2">
        <f>IFERROR(__xludf.DUMMYFUNCTION("""COMPUTED_VALUE"""),2015.0)</f>
        <v>2015</v>
      </c>
      <c r="E55" s="2">
        <f>IFERROR(__xludf.DUMMYFUNCTION("""COMPUTED_VALUE"""),134.0)</f>
        <v>134</v>
      </c>
      <c r="F55" s="2">
        <f>IFERROR(__xludf.DUMMYFUNCTION("""COMPUTED_VALUE"""),586.0)</f>
        <v>586</v>
      </c>
      <c r="G55" s="2">
        <f>IFERROR(__xludf.DUMMYFUNCTION("""COMPUTED_VALUE"""),720.0)</f>
        <v>720</v>
      </c>
      <c r="H55" s="2">
        <f>IFERROR(__xludf.DUMMYFUNCTION("""COMPUTED_VALUE"""),2.61)</f>
        <v>2.61</v>
      </c>
      <c r="I55" s="7">
        <f>IFERROR(__xludf.DUMMYFUNCTION("""COMPUTED_VALUE"""),11.39)</f>
        <v>11.39</v>
      </c>
      <c r="J55" s="2">
        <f>IFERROR(__xludf.DUMMYFUNCTION("""COMPUTED_VALUE"""),7.22)</f>
        <v>7.22</v>
      </c>
      <c r="K55" s="8">
        <f>IFERROR(__xludf.DUMMYFUNCTION("""COMPUTED_VALUE"""),0.0256)</f>
        <v>0.0256</v>
      </c>
    </row>
    <row r="56" ht="15.75" customHeight="1">
      <c r="C56" s="2" t="str">
        <f>IFERROR(__xludf.DUMMYFUNCTION("""COMPUTED_VALUE"""),"Argelia [+]")</f>
        <v>Argelia [+]</v>
      </c>
      <c r="D56" s="2">
        <f>IFERROR(__xludf.DUMMYFUNCTION("""COMPUTED_VALUE"""),2015.0)</f>
        <v>2015</v>
      </c>
      <c r="E56" s="5">
        <f>IFERROR(__xludf.DUMMYFUNCTION("""COMPUTED_VALUE"""),236.0)</f>
        <v>236</v>
      </c>
      <c r="F56" s="2">
        <f>IFERROR(__xludf.DUMMYFUNCTION("""COMPUTED_VALUE"""),989.0)</f>
        <v>989</v>
      </c>
      <c r="G56" s="6">
        <f>IFERROR(__xludf.DUMMYFUNCTION("""COMPUTED_VALUE"""),1225.0)</f>
        <v>1225</v>
      </c>
      <c r="H56" s="2">
        <f>IFERROR(__xludf.DUMMYFUNCTION("""COMPUTED_VALUE"""),1.2)</f>
        <v>1.2</v>
      </c>
      <c r="I56" s="7">
        <f>IFERROR(__xludf.DUMMYFUNCTION("""COMPUTED_VALUE"""),4.93)</f>
        <v>4.93</v>
      </c>
      <c r="J56" s="2">
        <f>IFERROR(__xludf.DUMMYFUNCTION("""COMPUTED_VALUE"""),3.07)</f>
        <v>3.07</v>
      </c>
      <c r="K56" s="8">
        <f>IFERROR(__xludf.DUMMYFUNCTION("""COMPUTED_VALUE"""),-0.0097)</f>
        <v>-0.0097</v>
      </c>
    </row>
    <row r="57" ht="15.75" customHeight="1">
      <c r="C57" s="2" t="str">
        <f>IFERROR(__xludf.DUMMYFUNCTION("""COMPUTED_VALUE"""),"Ecuador [+]")</f>
        <v>Ecuador [+]</v>
      </c>
      <c r="D57" s="2">
        <f>IFERROR(__xludf.DUMMYFUNCTION("""COMPUTED_VALUE"""),2015.0)</f>
        <v>2015</v>
      </c>
      <c r="E57" s="2">
        <f>IFERROR(__xludf.DUMMYFUNCTION("""COMPUTED_VALUE"""),304.0)</f>
        <v>304</v>
      </c>
      <c r="F57" s="2">
        <f>IFERROR(__xludf.DUMMYFUNCTION("""COMPUTED_VALUE"""),903.0)</f>
        <v>903</v>
      </c>
      <c r="G57" s="6">
        <f>IFERROR(__xludf.DUMMYFUNCTION("""COMPUTED_VALUE"""),1207.0)</f>
        <v>1207</v>
      </c>
      <c r="H57" s="2">
        <f>IFERROR(__xludf.DUMMYFUNCTION("""COMPUTED_VALUE"""),3.75)</f>
        <v>3.75</v>
      </c>
      <c r="I57" s="7">
        <f>IFERROR(__xludf.DUMMYFUNCTION("""COMPUTED_VALUE"""),11.13)</f>
        <v>11.13</v>
      </c>
      <c r="J57" s="2">
        <f>IFERROR(__xludf.DUMMYFUNCTION("""COMPUTED_VALUE"""),7.42)</f>
        <v>7.42</v>
      </c>
      <c r="K57" s="8">
        <f>IFERROR(__xludf.DUMMYFUNCTION("""COMPUTED_VALUE"""),-0.0962)</f>
        <v>-0.0962</v>
      </c>
    </row>
    <row r="58" ht="15.75" customHeight="1">
      <c r="C58" s="2" t="str">
        <f>IFERROR(__xludf.DUMMYFUNCTION("""COMPUTED_VALUE"""),"Estonia [+]")</f>
        <v>Estonia [+]</v>
      </c>
      <c r="D58" s="2">
        <f>IFERROR(__xludf.DUMMYFUNCTION("""COMPUTED_VALUE"""),2020.0)</f>
        <v>2020</v>
      </c>
      <c r="E58" s="5">
        <f>IFERROR(__xludf.DUMMYFUNCTION("""COMPUTED_VALUE"""),47.0)</f>
        <v>47</v>
      </c>
      <c r="F58" s="2">
        <f>IFERROR(__xludf.DUMMYFUNCTION("""COMPUTED_VALUE"""),170.0)</f>
        <v>170</v>
      </c>
      <c r="G58" s="6">
        <f>IFERROR(__xludf.DUMMYFUNCTION("""COMPUTED_VALUE"""),217.0)</f>
        <v>217</v>
      </c>
      <c r="H58" s="2">
        <f>IFERROR(__xludf.DUMMYFUNCTION("""COMPUTED_VALUE"""),6.6)</f>
        <v>6.6</v>
      </c>
      <c r="I58" s="7">
        <f>IFERROR(__xludf.DUMMYFUNCTION("""COMPUTED_VALUE"""),26.1)</f>
        <v>26.1</v>
      </c>
      <c r="J58" s="2">
        <f>IFERROR(__xludf.DUMMYFUNCTION("""COMPUTED_VALUE"""),15.8)</f>
        <v>15.8</v>
      </c>
      <c r="K58" s="8">
        <f>IFERROR(__xludf.DUMMYFUNCTION("""COMPUTED_VALUE"""),0.064)</f>
        <v>0.064</v>
      </c>
    </row>
    <row r="59" ht="15.75" customHeight="1">
      <c r="C59" s="2" t="str">
        <f>IFERROR(__xludf.DUMMYFUNCTION("""COMPUTED_VALUE"""),"Egipto [+]")</f>
        <v>Egipto [+]</v>
      </c>
      <c r="D59" s="2">
        <f>IFERROR(__xludf.DUMMYFUNCTION("""COMPUTED_VALUE"""),2015.0)</f>
        <v>2015</v>
      </c>
      <c r="E59" s="5">
        <f>IFERROR(__xludf.DUMMYFUNCTION("""COMPUTED_VALUE"""),652.0)</f>
        <v>652</v>
      </c>
      <c r="F59" s="6">
        <f>IFERROR(__xludf.DUMMYFUNCTION("""COMPUTED_VALUE"""),1716.0)</f>
        <v>1716</v>
      </c>
      <c r="G59" s="6">
        <f>IFERROR(__xludf.DUMMYFUNCTION("""COMPUTED_VALUE"""),2368.0)</f>
        <v>2368</v>
      </c>
      <c r="H59" s="2">
        <f>IFERROR(__xludf.DUMMYFUNCTION("""COMPUTED_VALUE"""),1.43)</f>
        <v>1.43</v>
      </c>
      <c r="I59" s="7">
        <f>IFERROR(__xludf.DUMMYFUNCTION("""COMPUTED_VALUE"""),3.67)</f>
        <v>3.67</v>
      </c>
      <c r="J59" s="2">
        <f>IFERROR(__xludf.DUMMYFUNCTION("""COMPUTED_VALUE"""),2.66)</f>
        <v>2.66</v>
      </c>
      <c r="K59" s="8">
        <f>IFERROR(__xludf.DUMMYFUNCTION("""COMPUTED_VALUE"""),-0.0075)</f>
        <v>-0.0075</v>
      </c>
    </row>
    <row r="60" ht="15.75" customHeight="1">
      <c r="C60" s="2" t="str">
        <f>IFERROR(__xludf.DUMMYFUNCTION("""COMPUTED_VALUE"""),"Eritrea [+]")</f>
        <v>Eritrea [+]</v>
      </c>
      <c r="D60" s="2">
        <f>IFERROR(__xludf.DUMMYFUNCTION("""COMPUTED_VALUE"""),2015.0)</f>
        <v>2015</v>
      </c>
      <c r="E60" s="2">
        <f>IFERROR(__xludf.DUMMYFUNCTION("""COMPUTED_VALUE"""),79.0)</f>
        <v>79</v>
      </c>
      <c r="F60" s="2">
        <f>IFERROR(__xludf.DUMMYFUNCTION("""COMPUTED_VALUE"""),273.0)</f>
        <v>273</v>
      </c>
      <c r="G60" s="2">
        <f>IFERROR(__xludf.DUMMYFUNCTION("""COMPUTED_VALUE"""),352.0)</f>
        <v>352</v>
      </c>
      <c r="H60" s="2">
        <f>IFERROR(__xludf.DUMMYFUNCTION("""COMPUTED_VALUE"""),3.08)</f>
        <v>3.08</v>
      </c>
      <c r="I60" s="7">
        <f>IFERROR(__xludf.DUMMYFUNCTION("""COMPUTED_VALUE"""),10.71)</f>
        <v>10.71</v>
      </c>
      <c r="J60" s="2">
        <f>IFERROR(__xludf.DUMMYFUNCTION("""COMPUTED_VALUE"""),7.26)</f>
        <v>7.26</v>
      </c>
      <c r="K60" s="8">
        <f>IFERROR(__xludf.DUMMYFUNCTION("""COMPUTED_VALUE"""),0.0756)</f>
        <v>0.0756</v>
      </c>
    </row>
    <row r="61" ht="15.75" customHeight="1">
      <c r="C61" s="2" t="str">
        <f>IFERROR(__xludf.DUMMYFUNCTION("""COMPUTED_VALUE"""),"Etiopía [+]")</f>
        <v>Etiopía [+]</v>
      </c>
      <c r="D61" s="2">
        <f>IFERROR(__xludf.DUMMYFUNCTION("""COMPUTED_VALUE"""),2015.0)</f>
        <v>2015</v>
      </c>
      <c r="E61" s="6">
        <f>IFERROR(__xludf.DUMMYFUNCTION("""COMPUTED_VALUE"""),1869.0)</f>
        <v>1869</v>
      </c>
      <c r="F61" s="6">
        <f>IFERROR(__xludf.DUMMYFUNCTION("""COMPUTED_VALUE"""),6479.0)</f>
        <v>6479</v>
      </c>
      <c r="G61" s="6">
        <f>IFERROR(__xludf.DUMMYFUNCTION("""COMPUTED_VALUE"""),8348.0)</f>
        <v>8348</v>
      </c>
      <c r="H61" s="2">
        <f>IFERROR(__xludf.DUMMYFUNCTION("""COMPUTED_VALUE"""),3.71)</f>
        <v>3.71</v>
      </c>
      <c r="I61" s="7">
        <f>IFERROR(__xludf.DUMMYFUNCTION("""COMPUTED_VALUE"""),12.85)</f>
        <v>12.85</v>
      </c>
      <c r="J61" s="2">
        <f>IFERROR(__xludf.DUMMYFUNCTION("""COMPUTED_VALUE"""),9.3)</f>
        <v>9.3</v>
      </c>
      <c r="K61" s="8">
        <f>IFERROR(__xludf.DUMMYFUNCTION("""COMPUTED_VALUE"""),0.0368)</f>
        <v>0.0368</v>
      </c>
    </row>
    <row r="62" ht="15.75" customHeight="1">
      <c r="C62" s="2" t="str">
        <f>IFERROR(__xludf.DUMMYFUNCTION("""COMPUTED_VALUE"""),"Finlandia [+]")</f>
        <v>Finlandia [+]</v>
      </c>
      <c r="D62" s="2">
        <f>IFERROR(__xludf.DUMMYFUNCTION("""COMPUTED_VALUE"""),2020.0)</f>
        <v>2020</v>
      </c>
      <c r="E62" s="2">
        <f>IFERROR(__xludf.DUMMYFUNCTION("""COMPUTED_VALUE"""),189.0)</f>
        <v>189</v>
      </c>
      <c r="F62" s="2">
        <f>IFERROR(__xludf.DUMMYFUNCTION("""COMPUTED_VALUE"""),537.0)</f>
        <v>537</v>
      </c>
      <c r="G62" s="2">
        <f>IFERROR(__xludf.DUMMYFUNCTION("""COMPUTED_VALUE"""),726.0)</f>
        <v>726</v>
      </c>
      <c r="H62" s="2">
        <f>IFERROR(__xludf.DUMMYFUNCTION("""COMPUTED_VALUE"""),6.75)</f>
        <v>6.75</v>
      </c>
      <c r="I62" s="7">
        <f>IFERROR(__xludf.DUMMYFUNCTION("""COMPUTED_VALUE"""),19.64)</f>
        <v>19.64</v>
      </c>
      <c r="J62" s="2">
        <f>IFERROR(__xludf.DUMMYFUNCTION("""COMPUTED_VALUE"""),13.12)</f>
        <v>13.12</v>
      </c>
      <c r="K62" s="8">
        <f>IFERROR(__xludf.DUMMYFUNCTION("""COMPUTED_VALUE"""),-0.0209)</f>
        <v>-0.0209</v>
      </c>
    </row>
    <row r="63" ht="15.75" customHeight="1">
      <c r="C63" s="2" t="str">
        <f>IFERROR(__xludf.DUMMYFUNCTION("""COMPUTED_VALUE"""),"Fiyi [+]")</f>
        <v>Fiyi [+]</v>
      </c>
      <c r="D63" s="2">
        <f>IFERROR(__xludf.DUMMYFUNCTION("""COMPUTED_VALUE"""),2015.0)</f>
        <v>2015</v>
      </c>
      <c r="E63" s="2">
        <f>IFERROR(__xludf.DUMMYFUNCTION("""COMPUTED_VALUE"""),18.0)</f>
        <v>18</v>
      </c>
      <c r="F63" s="2">
        <f>IFERROR(__xludf.DUMMYFUNCTION("""COMPUTED_VALUE"""),58.0)</f>
        <v>58</v>
      </c>
      <c r="G63" s="2">
        <f>IFERROR(__xludf.DUMMYFUNCTION("""COMPUTED_VALUE"""),76.0)</f>
        <v>76</v>
      </c>
      <c r="H63" s="2">
        <f>IFERROR(__xludf.DUMMYFUNCTION("""COMPUTED_VALUE"""),4.22)</f>
        <v>4.22</v>
      </c>
      <c r="I63" s="7">
        <f>IFERROR(__xludf.DUMMYFUNCTION("""COMPUTED_VALUE"""),13.16)</f>
        <v>13.16</v>
      </c>
      <c r="J63" s="2">
        <f>IFERROR(__xludf.DUMMYFUNCTION("""COMPUTED_VALUE"""),8.76)</f>
        <v>8.76</v>
      </c>
      <c r="K63" s="8">
        <f>IFERROR(__xludf.DUMMYFUNCTION("""COMPUTED_VALUE"""),-0.0135)</f>
        <v>-0.0135</v>
      </c>
    </row>
    <row r="64" ht="15.75" customHeight="1">
      <c r="C64" s="2" t="str">
        <f>IFERROR(__xludf.DUMMYFUNCTION("""COMPUTED_VALUE"""),"Estados Federados de Micronesia [+]")</f>
        <v>Estados Federados de Micronesia [+]</v>
      </c>
      <c r="D64" s="2">
        <f>IFERROR(__xludf.DUMMYFUNCTION("""COMPUTED_VALUE"""),2015.0)</f>
        <v>2015</v>
      </c>
      <c r="E64" s="5">
        <f>IFERROR(__xludf.DUMMYFUNCTION("""COMPUTED_VALUE"""),4.0)</f>
        <v>4</v>
      </c>
      <c r="F64" s="2">
        <f>IFERROR(__xludf.DUMMYFUNCTION("""COMPUTED_VALUE"""),8.0)</f>
        <v>8</v>
      </c>
      <c r="G64" s="6">
        <f>IFERROR(__xludf.DUMMYFUNCTION("""COMPUTED_VALUE"""),12.0)</f>
        <v>12</v>
      </c>
      <c r="H64" s="2">
        <f>IFERROR(__xludf.DUMMYFUNCTION("""COMPUTED_VALUE"""),6.62)</f>
        <v>6.62</v>
      </c>
      <c r="I64" s="7">
        <f>IFERROR(__xludf.DUMMYFUNCTION("""COMPUTED_VALUE"""),14.79)</f>
        <v>14.79</v>
      </c>
      <c r="J64" s="2">
        <f>IFERROR(__xludf.DUMMYFUNCTION("""COMPUTED_VALUE"""),11.28)</f>
        <v>11.28</v>
      </c>
      <c r="K64" s="8">
        <f>IFERROR(__xludf.DUMMYFUNCTION("""COMPUTED_VALUE"""),0.0199)</f>
        <v>0.0199</v>
      </c>
    </row>
    <row r="65" ht="15.75" customHeight="1">
      <c r="C65" s="2" t="str">
        <f>IFERROR(__xludf.DUMMYFUNCTION("""COMPUTED_VALUE"""),"Gabón [+]")</f>
        <v>Gabón [+]</v>
      </c>
      <c r="D65" s="2">
        <f>IFERROR(__xludf.DUMMYFUNCTION("""COMPUTED_VALUE"""),2015.0)</f>
        <v>2015</v>
      </c>
      <c r="E65" s="5">
        <f>IFERROR(__xludf.DUMMYFUNCTION("""COMPUTED_VALUE"""),52.0)</f>
        <v>52</v>
      </c>
      <c r="F65" s="2">
        <f>IFERROR(__xludf.DUMMYFUNCTION("""COMPUTED_VALUE"""),137.0)</f>
        <v>137</v>
      </c>
      <c r="G65" s="2">
        <f>IFERROR(__xludf.DUMMYFUNCTION("""COMPUTED_VALUE"""),189.0)</f>
        <v>189</v>
      </c>
      <c r="H65" s="2">
        <f>IFERROR(__xludf.DUMMYFUNCTION("""COMPUTED_VALUE"""),5.43)</f>
        <v>5.43</v>
      </c>
      <c r="I65" s="7">
        <f>IFERROR(__xludf.DUMMYFUNCTION("""COMPUTED_VALUE"""),13.78)</f>
        <v>13.78</v>
      </c>
      <c r="J65" s="2">
        <f>IFERROR(__xludf.DUMMYFUNCTION("""COMPUTED_VALUE"""),9.78)</f>
        <v>9.78</v>
      </c>
      <c r="K65" s="8">
        <f>IFERROR(__xludf.DUMMYFUNCTION("""COMPUTED_VALUE"""),-0.0587)</f>
        <v>-0.0587</v>
      </c>
    </row>
    <row r="66" ht="15.75" customHeight="1">
      <c r="C66" s="2" t="str">
        <f>IFERROR(__xludf.DUMMYFUNCTION("""COMPUTED_VALUE"""),"Granada [+]")</f>
        <v>Granada [+]</v>
      </c>
      <c r="D66" s="2">
        <f>IFERROR(__xludf.DUMMYFUNCTION("""COMPUTED_VALUE"""),2015.0)</f>
        <v>2015</v>
      </c>
      <c r="E66" s="2">
        <f>IFERROR(__xludf.DUMMYFUNCTION("""COMPUTED_VALUE"""),1.0)</f>
        <v>1</v>
      </c>
      <c r="F66" s="2">
        <f>IFERROR(__xludf.DUMMYFUNCTION("""COMPUTED_VALUE"""),0.0)</f>
        <v>0</v>
      </c>
      <c r="G66" s="6">
        <f>IFERROR(__xludf.DUMMYFUNCTION("""COMPUTED_VALUE"""),1.0)</f>
        <v>1</v>
      </c>
      <c r="H66" s="2">
        <f>IFERROR(__xludf.DUMMYFUNCTION("""COMPUTED_VALUE"""),0.95)</f>
        <v>0.95</v>
      </c>
      <c r="I66" s="7">
        <f>IFERROR(__xludf.DUMMYFUNCTION("""COMPUTED_VALUE"""),0.0)</f>
        <v>0</v>
      </c>
      <c r="J66" s="2">
        <f>IFERROR(__xludf.DUMMYFUNCTION("""COMPUTED_VALUE"""),0.47)</f>
        <v>0.47</v>
      </c>
      <c r="K66" s="8">
        <f>IFERROR(__xludf.DUMMYFUNCTION("""COMPUTED_VALUE"""),-0.1897)</f>
        <v>-0.1897</v>
      </c>
    </row>
    <row r="67" ht="15.75" customHeight="1">
      <c r="C67" s="2" t="str">
        <f>IFERROR(__xludf.DUMMYFUNCTION("""COMPUTED_VALUE"""),"Georgia [+]")</f>
        <v>Georgia [+]</v>
      </c>
      <c r="D67" s="2">
        <f>IFERROR(__xludf.DUMMYFUNCTION("""COMPUTED_VALUE"""),2015.0)</f>
        <v>2015</v>
      </c>
      <c r="E67" s="2">
        <f>IFERROR(__xludf.DUMMYFUNCTION("""COMPUTED_VALUE"""),48.0)</f>
        <v>48</v>
      </c>
      <c r="F67" s="2">
        <f>IFERROR(__xludf.DUMMYFUNCTION("""COMPUTED_VALUE"""),219.0)</f>
        <v>219</v>
      </c>
      <c r="G67" s="2">
        <f>IFERROR(__xludf.DUMMYFUNCTION("""COMPUTED_VALUE"""),267.0)</f>
        <v>267</v>
      </c>
      <c r="H67" s="2">
        <f>IFERROR(__xludf.DUMMYFUNCTION("""COMPUTED_VALUE"""),2.47)</f>
        <v>2.47</v>
      </c>
      <c r="I67" s="7">
        <f>IFERROR(__xludf.DUMMYFUNCTION("""COMPUTED_VALUE"""),12.31)</f>
        <v>12.31</v>
      </c>
      <c r="J67" s="2">
        <f>IFERROR(__xludf.DUMMYFUNCTION("""COMPUTED_VALUE"""),7.18)</f>
        <v>7.18</v>
      </c>
      <c r="K67" s="8">
        <f>IFERROR(__xludf.DUMMYFUNCTION("""COMPUTED_VALUE"""),0.0113)</f>
        <v>0.0113</v>
      </c>
    </row>
    <row r="68" ht="15.75" customHeight="1">
      <c r="C68" s="2" t="str">
        <f>IFERROR(__xludf.DUMMYFUNCTION("""COMPUTED_VALUE"""),"Ghana [+]")</f>
        <v>Ghana [+]</v>
      </c>
      <c r="D68" s="2">
        <f>IFERROR(__xludf.DUMMYFUNCTION("""COMPUTED_VALUE"""),2015.0)</f>
        <v>2015</v>
      </c>
      <c r="E68" s="2">
        <f>IFERROR(__xludf.DUMMYFUNCTION("""COMPUTED_VALUE"""),403.0)</f>
        <v>403</v>
      </c>
      <c r="F68" s="6">
        <f>IFERROR(__xludf.DUMMYFUNCTION("""COMPUTED_VALUE"""),1492.0)</f>
        <v>1492</v>
      </c>
      <c r="G68" s="6">
        <f>IFERROR(__xludf.DUMMYFUNCTION("""COMPUTED_VALUE"""),1896.0)</f>
        <v>1896</v>
      </c>
      <c r="H68" s="2">
        <f>IFERROR(__xludf.DUMMYFUNCTION("""COMPUTED_VALUE"""),2.93)</f>
        <v>2.93</v>
      </c>
      <c r="I68" s="7">
        <f>IFERROR(__xludf.DUMMYFUNCTION("""COMPUTED_VALUE"""),10.58)</f>
        <v>10.58</v>
      </c>
      <c r="J68" s="2">
        <f>IFERROR(__xludf.DUMMYFUNCTION("""COMPUTED_VALUE"""),6.84)</f>
        <v>6.84</v>
      </c>
      <c r="K68" s="8">
        <f>IFERROR(__xludf.DUMMYFUNCTION("""COMPUTED_VALUE"""),0.0059)</f>
        <v>0.0059</v>
      </c>
    </row>
    <row r="69" ht="15.75" customHeight="1">
      <c r="C69" s="2" t="str">
        <f>IFERROR(__xludf.DUMMYFUNCTION("""COMPUTED_VALUE"""),"Gambia [+]")</f>
        <v>Gambia [+]</v>
      </c>
      <c r="D69" s="2">
        <f>IFERROR(__xludf.DUMMYFUNCTION("""COMPUTED_VALUE"""),2015.0)</f>
        <v>2015</v>
      </c>
      <c r="E69" s="5">
        <f>IFERROR(__xludf.DUMMYFUNCTION("""COMPUTED_VALUE"""),42.0)</f>
        <v>42</v>
      </c>
      <c r="F69" s="2">
        <f>IFERROR(__xludf.DUMMYFUNCTION("""COMPUTED_VALUE"""),82.0)</f>
        <v>82</v>
      </c>
      <c r="G69" s="6">
        <f>IFERROR(__xludf.DUMMYFUNCTION("""COMPUTED_VALUE"""),124.0)</f>
        <v>124</v>
      </c>
      <c r="H69" s="2">
        <f>IFERROR(__xludf.DUMMYFUNCTION("""COMPUTED_VALUE"""),3.96)</f>
        <v>3.96</v>
      </c>
      <c r="I69" s="7">
        <f>IFERROR(__xludf.DUMMYFUNCTION("""COMPUTED_VALUE"""),7.95)</f>
        <v>7.95</v>
      </c>
      <c r="J69" s="2">
        <f>IFERROR(__xludf.DUMMYFUNCTION("""COMPUTED_VALUE"""),5.94)</f>
        <v>5.94</v>
      </c>
      <c r="K69" s="8">
        <f>IFERROR(__xludf.DUMMYFUNCTION("""COMPUTED_VALUE"""),-0.0133)</f>
        <v>-0.0133</v>
      </c>
    </row>
    <row r="70" ht="15.75" customHeight="1">
      <c r="C70" s="2" t="str">
        <f>IFERROR(__xludf.DUMMYFUNCTION("""COMPUTED_VALUE"""),"Guinea [+]")</f>
        <v>Guinea [+]</v>
      </c>
      <c r="D70" s="2">
        <f>IFERROR(__xludf.DUMMYFUNCTION("""COMPUTED_VALUE"""),2015.0)</f>
        <v>2015</v>
      </c>
      <c r="E70" s="5">
        <f>IFERROR(__xludf.DUMMYFUNCTION("""COMPUTED_VALUE"""),311.0)</f>
        <v>311</v>
      </c>
      <c r="F70" s="2">
        <f>IFERROR(__xludf.DUMMYFUNCTION("""COMPUTED_VALUE"""),657.0)</f>
        <v>657</v>
      </c>
      <c r="G70" s="6">
        <f>IFERROR(__xludf.DUMMYFUNCTION("""COMPUTED_VALUE"""),968.0)</f>
        <v>968</v>
      </c>
      <c r="H70" s="2">
        <f>IFERROR(__xludf.DUMMYFUNCTION("""COMPUTED_VALUE"""),5.22)</f>
        <v>5.22</v>
      </c>
      <c r="I70" s="7">
        <f>IFERROR(__xludf.DUMMYFUNCTION("""COMPUTED_VALUE"""),12.0)</f>
        <v>12</v>
      </c>
      <c r="J70" s="2">
        <f>IFERROR(__xludf.DUMMYFUNCTION("""COMPUTED_VALUE"""),8.47)</f>
        <v>8.47</v>
      </c>
      <c r="K70" s="8">
        <f>IFERROR(__xludf.DUMMYFUNCTION("""COMPUTED_VALUE"""),0.079)</f>
        <v>0.079</v>
      </c>
    </row>
    <row r="71" ht="15.75" customHeight="1">
      <c r="C71" s="2" t="str">
        <f>IFERROR(__xludf.DUMMYFUNCTION("""COMPUTED_VALUE"""),"Guinea Ecuatorial [+]")</f>
        <v>Guinea Ecuatorial [+]</v>
      </c>
      <c r="D71" s="2">
        <f>IFERROR(__xludf.DUMMYFUNCTION("""COMPUTED_VALUE"""),2015.0)</f>
        <v>2015</v>
      </c>
      <c r="E71" s="5">
        <f>IFERROR(__xludf.DUMMYFUNCTION("""COMPUTED_VALUE"""),47.0)</f>
        <v>47</v>
      </c>
      <c r="F71" s="2">
        <f>IFERROR(__xludf.DUMMYFUNCTION("""COMPUTED_VALUE"""),144.0)</f>
        <v>144</v>
      </c>
      <c r="G71" s="6">
        <f>IFERROR(__xludf.DUMMYFUNCTION("""COMPUTED_VALUE"""),191.0)</f>
        <v>191</v>
      </c>
      <c r="H71" s="2">
        <f>IFERROR(__xludf.DUMMYFUNCTION("""COMPUTED_VALUE"""),8.9)</f>
        <v>8.9</v>
      </c>
      <c r="I71" s="7">
        <f>IFERROR(__xludf.DUMMYFUNCTION("""COMPUTED_VALUE"""),22.31)</f>
        <v>22.31</v>
      </c>
      <c r="J71" s="2">
        <f>IFERROR(__xludf.DUMMYFUNCTION("""COMPUTED_VALUE"""),16.23)</f>
        <v>16.23</v>
      </c>
      <c r="K71" s="8">
        <f>IFERROR(__xludf.DUMMYFUNCTION("""COMPUTED_VALUE"""),-0.0181)</f>
        <v>-0.0181</v>
      </c>
    </row>
    <row r="72" ht="15.75" customHeight="1">
      <c r="C72" s="2" t="str">
        <f>IFERROR(__xludf.DUMMYFUNCTION("""COMPUTED_VALUE"""),"Grecia [+]")</f>
        <v>Grecia [+]</v>
      </c>
      <c r="D72" s="2">
        <f>IFERROR(__xludf.DUMMYFUNCTION("""COMPUTED_VALUE"""),2019.0)</f>
        <v>2019</v>
      </c>
      <c r="E72" s="2">
        <f>IFERROR(__xludf.DUMMYFUNCTION("""COMPUTED_VALUE"""),92.0)</f>
        <v>92</v>
      </c>
      <c r="F72" s="2">
        <f>IFERROR(__xludf.DUMMYFUNCTION("""COMPUTED_VALUE"""),438.0)</f>
        <v>438</v>
      </c>
      <c r="G72" s="2">
        <f>IFERROR(__xludf.DUMMYFUNCTION("""COMPUTED_VALUE"""),530.0)</f>
        <v>530</v>
      </c>
      <c r="H72" s="2">
        <f>IFERROR(__xludf.DUMMYFUNCTION("""COMPUTED_VALUE"""),1.62)</f>
        <v>1.62</v>
      </c>
      <c r="I72" s="7">
        <f>IFERROR(__xludf.DUMMYFUNCTION("""COMPUTED_VALUE"""),8.19)</f>
        <v>8.19</v>
      </c>
      <c r="J72" s="2">
        <f>IFERROR(__xludf.DUMMYFUNCTION("""COMPUTED_VALUE"""),4.81)</f>
        <v>4.81</v>
      </c>
      <c r="K72" s="8">
        <f>IFERROR(__xludf.DUMMYFUNCTION("""COMPUTED_VALUE"""),-0.0624)</f>
        <v>-0.0624</v>
      </c>
    </row>
    <row r="73" ht="15.75" customHeight="1">
      <c r="C73" s="2" t="str">
        <f>IFERROR(__xludf.DUMMYFUNCTION("""COMPUTED_VALUE"""),"Guatemala [+]")</f>
        <v>Guatemala [+]</v>
      </c>
      <c r="D73" s="2">
        <f>IFERROR(__xludf.DUMMYFUNCTION("""COMPUTED_VALUE"""),2015.0)</f>
        <v>2015</v>
      </c>
      <c r="E73" s="2">
        <f>IFERROR(__xludf.DUMMYFUNCTION("""COMPUTED_VALUE"""),132.0)</f>
        <v>132</v>
      </c>
      <c r="F73" s="2">
        <f>IFERROR(__xludf.DUMMYFUNCTION("""COMPUTED_VALUE"""),269.0)</f>
        <v>269</v>
      </c>
      <c r="G73" s="2">
        <f>IFERROR(__xludf.DUMMYFUNCTION("""COMPUTED_VALUE"""),401.0)</f>
        <v>401</v>
      </c>
      <c r="H73" s="2">
        <f>IFERROR(__xludf.DUMMYFUNCTION("""COMPUTED_VALUE"""),1.67)</f>
        <v>1.67</v>
      </c>
      <c r="I73" s="7">
        <f>IFERROR(__xludf.DUMMYFUNCTION("""COMPUTED_VALUE"""),3.51)</f>
        <v>3.51</v>
      </c>
      <c r="J73" s="2">
        <f>IFERROR(__xludf.DUMMYFUNCTION("""COMPUTED_VALUE"""),2.47)</f>
        <v>2.47</v>
      </c>
      <c r="K73" s="8">
        <f>IFERROR(__xludf.DUMMYFUNCTION("""COMPUTED_VALUE"""),-0.1483)</f>
        <v>-0.1483</v>
      </c>
    </row>
    <row r="74" ht="15.75" customHeight="1">
      <c r="C74" s="2" t="str">
        <f>IFERROR(__xludf.DUMMYFUNCTION("""COMPUTED_VALUE"""),"Guinea-Bisáu [+]")</f>
        <v>Guinea-Bisáu [+]</v>
      </c>
      <c r="D74" s="2">
        <f>IFERROR(__xludf.DUMMYFUNCTION("""COMPUTED_VALUE"""),2015.0)</f>
        <v>2015</v>
      </c>
      <c r="E74" s="2">
        <f>IFERROR(__xludf.DUMMYFUNCTION("""COMPUTED_VALUE"""),34.0)</f>
        <v>34</v>
      </c>
      <c r="F74" s="2">
        <f>IFERROR(__xludf.DUMMYFUNCTION("""COMPUTED_VALUE"""),81.0)</f>
        <v>81</v>
      </c>
      <c r="G74" s="2">
        <f>IFERROR(__xludf.DUMMYFUNCTION("""COMPUTED_VALUE"""),116.0)</f>
        <v>116</v>
      </c>
      <c r="H74" s="2">
        <f>IFERROR(__xludf.DUMMYFUNCTION("""COMPUTED_VALUE"""),3.86)</f>
        <v>3.86</v>
      </c>
      <c r="I74" s="7">
        <f>IFERROR(__xludf.DUMMYFUNCTION("""COMPUTED_VALUE"""),9.61)</f>
        <v>9.61</v>
      </c>
      <c r="J74" s="2">
        <f>IFERROR(__xludf.DUMMYFUNCTION("""COMPUTED_VALUE"""),7.1)</f>
        <v>7.1</v>
      </c>
      <c r="K74" s="8">
        <f>IFERROR(__xludf.DUMMYFUNCTION("""COMPUTED_VALUE"""),-0.0366)</f>
        <v>-0.0366</v>
      </c>
    </row>
    <row r="75" ht="15.75" customHeight="1">
      <c r="C75" s="2" t="str">
        <f>IFERROR(__xludf.DUMMYFUNCTION("""COMPUTED_VALUE"""),"Guyana [+]")</f>
        <v>Guyana [+]</v>
      </c>
      <c r="D75" s="2">
        <f>IFERROR(__xludf.DUMMYFUNCTION("""COMPUTED_VALUE"""),2015.0)</f>
        <v>2015</v>
      </c>
      <c r="E75" s="5">
        <f>IFERROR(__xludf.DUMMYFUNCTION("""COMPUTED_VALUE"""),59.0)</f>
        <v>59</v>
      </c>
      <c r="F75" s="2">
        <f>IFERROR(__xludf.DUMMYFUNCTION("""COMPUTED_VALUE"""),163.0)</f>
        <v>163</v>
      </c>
      <c r="G75" s="2">
        <f>IFERROR(__xludf.DUMMYFUNCTION("""COMPUTED_VALUE"""),222.0)</f>
        <v>222</v>
      </c>
      <c r="H75" s="2">
        <f>IFERROR(__xludf.DUMMYFUNCTION("""COMPUTED_VALUE"""),15.39)</f>
        <v>15.39</v>
      </c>
      <c r="I75" s="7">
        <f>IFERROR(__xludf.DUMMYFUNCTION("""COMPUTED_VALUE"""),42.57)</f>
        <v>42.57</v>
      </c>
      <c r="J75" s="2">
        <f>IFERROR(__xludf.DUMMYFUNCTION("""COMPUTED_VALUE"""),28.99)</f>
        <v>28.99</v>
      </c>
      <c r="K75" s="8">
        <f>IFERROR(__xludf.DUMMYFUNCTION("""COMPUTED_VALUE"""),0.0049)</f>
        <v>0.0049</v>
      </c>
    </row>
    <row r="76" ht="15.75" customHeight="1">
      <c r="C76" s="2" t="str">
        <f>IFERROR(__xludf.DUMMYFUNCTION("""COMPUTED_VALUE"""),"Honduras [+]")</f>
        <v>Honduras [+]</v>
      </c>
      <c r="D76" s="2">
        <f>IFERROR(__xludf.DUMMYFUNCTION("""COMPUTED_VALUE"""),2015.0)</f>
        <v>2015</v>
      </c>
      <c r="E76" s="2">
        <f>IFERROR(__xludf.DUMMYFUNCTION("""COMPUTED_VALUE"""),100.0)</f>
        <v>100</v>
      </c>
      <c r="F76" s="2">
        <f>IFERROR(__xludf.DUMMYFUNCTION("""COMPUTED_VALUE"""),186.0)</f>
        <v>186</v>
      </c>
      <c r="G76" s="2">
        <f>IFERROR(__xludf.DUMMYFUNCTION("""COMPUTED_VALUE"""),287.0)</f>
        <v>287</v>
      </c>
      <c r="H76" s="2">
        <f>IFERROR(__xludf.DUMMYFUNCTION("""COMPUTED_VALUE"""),2.19)</f>
        <v>2.19</v>
      </c>
      <c r="I76" s="7">
        <f>IFERROR(__xludf.DUMMYFUNCTION("""COMPUTED_VALUE"""),4.1)</f>
        <v>4.1</v>
      </c>
      <c r="J76" s="2">
        <f>IFERROR(__xludf.DUMMYFUNCTION("""COMPUTED_VALUE"""),3.14)</f>
        <v>3.14</v>
      </c>
      <c r="K76" s="8">
        <f>IFERROR(__xludf.DUMMYFUNCTION("""COMPUTED_VALUE"""),-0.0338)</f>
        <v>-0.0338</v>
      </c>
    </row>
    <row r="77" ht="15.75" customHeight="1">
      <c r="C77" s="2" t="str">
        <f>IFERROR(__xludf.DUMMYFUNCTION("""COMPUTED_VALUE"""),"Croacia [+]")</f>
        <v>Croacia [+]</v>
      </c>
      <c r="D77" s="2">
        <f>IFERROR(__xludf.DUMMYFUNCTION("""COMPUTED_VALUE"""),2020.0)</f>
        <v>2020</v>
      </c>
      <c r="E77" s="5">
        <f>IFERROR(__xludf.DUMMYFUNCTION("""COMPUTED_VALUE"""),128.0)</f>
        <v>128</v>
      </c>
      <c r="F77" s="2">
        <f>IFERROR(__xludf.DUMMYFUNCTION("""COMPUTED_VALUE"""),435.0)</f>
        <v>435</v>
      </c>
      <c r="G77" s="6">
        <f>IFERROR(__xludf.DUMMYFUNCTION("""COMPUTED_VALUE"""),563.0)</f>
        <v>563</v>
      </c>
      <c r="H77" s="2">
        <f>IFERROR(__xludf.DUMMYFUNCTION("""COMPUTED_VALUE"""),6.18)</f>
        <v>6.18</v>
      </c>
      <c r="I77" s="7">
        <f>IFERROR(__xludf.DUMMYFUNCTION("""COMPUTED_VALUE"""),22.14)</f>
        <v>22.14</v>
      </c>
      <c r="J77" s="2">
        <f>IFERROR(__xludf.DUMMYFUNCTION("""COMPUTED_VALUE"""),13.95)</f>
        <v>13.95</v>
      </c>
      <c r="K77" s="8">
        <f>IFERROR(__xludf.DUMMYFUNCTION("""COMPUTED_VALUE"""),-0.0252)</f>
        <v>-0.0252</v>
      </c>
    </row>
    <row r="78" ht="15.75" customHeight="1">
      <c r="C78" s="2" t="str">
        <f>IFERROR(__xludf.DUMMYFUNCTION("""COMPUTED_VALUE"""),"Haití [+]")</f>
        <v>Haití [+]</v>
      </c>
      <c r="D78" s="2">
        <f>IFERROR(__xludf.DUMMYFUNCTION("""COMPUTED_VALUE"""),2015.0)</f>
        <v>2015</v>
      </c>
      <c r="E78" s="2">
        <f>IFERROR(__xludf.DUMMYFUNCTION("""COMPUTED_VALUE"""),330.0)</f>
        <v>330</v>
      </c>
      <c r="F78" s="2">
        <f>IFERROR(__xludf.DUMMYFUNCTION("""COMPUTED_VALUE"""),870.0)</f>
        <v>870</v>
      </c>
      <c r="G78" s="6">
        <f>IFERROR(__xludf.DUMMYFUNCTION("""COMPUTED_VALUE"""),1200.0)</f>
        <v>1200</v>
      </c>
      <c r="H78" s="2">
        <f>IFERROR(__xludf.DUMMYFUNCTION("""COMPUTED_VALUE"""),6.09)</f>
        <v>6.09</v>
      </c>
      <c r="I78" s="7">
        <f>IFERROR(__xludf.DUMMYFUNCTION("""COMPUTED_VALUE"""),16.48)</f>
        <v>16.48</v>
      </c>
      <c r="J78" s="2">
        <f>IFERROR(__xludf.DUMMYFUNCTION("""COMPUTED_VALUE"""),11.22)</f>
        <v>11.22</v>
      </c>
      <c r="K78" s="8">
        <f>IFERROR(__xludf.DUMMYFUNCTION("""COMPUTED_VALUE"""),0.0018)</f>
        <v>0.0018</v>
      </c>
    </row>
    <row r="79" ht="15.75" customHeight="1">
      <c r="C79" s="2" t="str">
        <f>IFERROR(__xludf.DUMMYFUNCTION("""COMPUTED_VALUE"""),"Hungría [+]")</f>
        <v>Hungría [+]</v>
      </c>
      <c r="D79" s="2">
        <f>IFERROR(__xludf.DUMMYFUNCTION("""COMPUTED_VALUE"""),2020.0)</f>
        <v>2020</v>
      </c>
      <c r="E79" s="2">
        <f>IFERROR(__xludf.DUMMYFUNCTION("""COMPUTED_VALUE"""),394.0)</f>
        <v>394</v>
      </c>
      <c r="F79" s="6">
        <f>IFERROR(__xludf.DUMMYFUNCTION("""COMPUTED_VALUE"""),1311.0)</f>
        <v>1311</v>
      </c>
      <c r="G79" s="6">
        <f>IFERROR(__xludf.DUMMYFUNCTION("""COMPUTED_VALUE"""),1705.0)</f>
        <v>1705</v>
      </c>
      <c r="H79" s="2">
        <f>IFERROR(__xludf.DUMMYFUNCTION("""COMPUTED_VALUE"""),7.78)</f>
        <v>7.78</v>
      </c>
      <c r="I79" s="7">
        <f>IFERROR(__xludf.DUMMYFUNCTION("""COMPUTED_VALUE"""),28.11)</f>
        <v>28.11</v>
      </c>
      <c r="J79" s="2">
        <f>IFERROR(__xludf.DUMMYFUNCTION("""COMPUTED_VALUE"""),17.52)</f>
        <v>17.52</v>
      </c>
      <c r="K79" s="8">
        <f>IFERROR(__xludf.DUMMYFUNCTION("""COMPUTED_VALUE"""),0.1096)</f>
        <v>0.1096</v>
      </c>
    </row>
    <row r="80" ht="15.75" customHeight="1">
      <c r="C80" s="2" t="str">
        <f>IFERROR(__xludf.DUMMYFUNCTION("""COMPUTED_VALUE"""),"Indonesia [+]")</f>
        <v>Indonesia [+]</v>
      </c>
      <c r="D80" s="2">
        <f>IFERROR(__xludf.DUMMYFUNCTION("""COMPUTED_VALUE"""),2015.0)</f>
        <v>2015</v>
      </c>
      <c r="E80" s="6">
        <f>IFERROR(__xludf.DUMMYFUNCTION("""COMPUTED_VALUE"""),1973.0)</f>
        <v>1973</v>
      </c>
      <c r="F80" s="6">
        <f>IFERROR(__xludf.DUMMYFUNCTION("""COMPUTED_VALUE"""),5382.0)</f>
        <v>5382</v>
      </c>
      <c r="G80" s="6">
        <f>IFERROR(__xludf.DUMMYFUNCTION("""COMPUTED_VALUE"""),7355.0)</f>
        <v>7355</v>
      </c>
      <c r="H80" s="2">
        <f>IFERROR(__xludf.DUMMYFUNCTION("""COMPUTED_VALUE"""),1.54)</f>
        <v>1.54</v>
      </c>
      <c r="I80" s="7">
        <f>IFERROR(__xludf.DUMMYFUNCTION("""COMPUTED_VALUE"""),4.14)</f>
        <v>4.14</v>
      </c>
      <c r="J80" s="2">
        <f>IFERROR(__xludf.DUMMYFUNCTION("""COMPUTED_VALUE"""),2.88)</f>
        <v>2.88</v>
      </c>
      <c r="K80" s="8">
        <f>IFERROR(__xludf.DUMMYFUNCTION("""COMPUTED_VALUE"""),-0.0103)</f>
        <v>-0.0103</v>
      </c>
    </row>
    <row r="81" ht="15.75" customHeight="1">
      <c r="C81" s="2" t="str">
        <f>IFERROR(__xludf.DUMMYFUNCTION("""COMPUTED_VALUE"""),"Irlanda [+]")</f>
        <v>Irlanda [+]</v>
      </c>
      <c r="D81" s="2">
        <f>IFERROR(__xludf.DUMMYFUNCTION("""COMPUTED_VALUE"""),2019.0)</f>
        <v>2019</v>
      </c>
      <c r="E81" s="2">
        <f>IFERROR(__xludf.DUMMYFUNCTION("""COMPUTED_VALUE"""),90.0)</f>
        <v>90</v>
      </c>
      <c r="F81" s="2">
        <f>IFERROR(__xludf.DUMMYFUNCTION("""COMPUTED_VALUE"""),300.0)</f>
        <v>300</v>
      </c>
      <c r="G81" s="2">
        <f>IFERROR(__xludf.DUMMYFUNCTION("""COMPUTED_VALUE"""),390.0)</f>
        <v>390</v>
      </c>
      <c r="H81" s="2">
        <f>IFERROR(__xludf.DUMMYFUNCTION("""COMPUTED_VALUE"""),3.61)</f>
        <v>3.61</v>
      </c>
      <c r="I81" s="7">
        <f>IFERROR(__xludf.DUMMYFUNCTION("""COMPUTED_VALUE"""),12.2)</f>
        <v>12.2</v>
      </c>
      <c r="J81" s="2">
        <f>IFERROR(__xludf.DUMMYFUNCTION("""COMPUTED_VALUE"""),7.86)</f>
        <v>7.86</v>
      </c>
      <c r="K81" s="8">
        <f>IFERROR(__xludf.DUMMYFUNCTION("""COMPUTED_VALUE"""),-0.1305)</f>
        <v>-0.1305</v>
      </c>
    </row>
    <row r="82" ht="15.75" customHeight="1">
      <c r="C82" s="2" t="str">
        <f>IFERROR(__xludf.DUMMYFUNCTION("""COMPUTED_VALUE"""),"Israel [+]")</f>
        <v>Israel [+]</v>
      </c>
      <c r="D82" s="2">
        <f>IFERROR(__xludf.DUMMYFUNCTION("""COMPUTED_VALUE"""),2020.0)</f>
        <v>2020</v>
      </c>
      <c r="E82" s="2">
        <f>IFERROR(__xludf.DUMMYFUNCTION("""COMPUTED_VALUE"""),96.0)</f>
        <v>96</v>
      </c>
      <c r="F82" s="2">
        <f>IFERROR(__xludf.DUMMYFUNCTION("""COMPUTED_VALUE"""),341.0)</f>
        <v>341</v>
      </c>
      <c r="G82" s="2">
        <f>IFERROR(__xludf.DUMMYFUNCTION("""COMPUTED_VALUE"""),437.0)</f>
        <v>437</v>
      </c>
      <c r="H82" s="2">
        <f>IFERROR(__xludf.DUMMYFUNCTION("""COMPUTED_VALUE"""),2.1)</f>
        <v>2.1</v>
      </c>
      <c r="I82" s="7">
        <f>IFERROR(__xludf.DUMMYFUNCTION("""COMPUTED_VALUE"""),7.5)</f>
        <v>7.5</v>
      </c>
      <c r="J82" s="2">
        <f>IFERROR(__xludf.DUMMYFUNCTION("""COMPUTED_VALUE"""),4.7)</f>
        <v>4.7</v>
      </c>
      <c r="K82" s="4">
        <f>IFERROR(__xludf.DUMMYFUNCTION("""COMPUTED_VALUE"""),0.0)</f>
        <v>0</v>
      </c>
    </row>
    <row r="83" ht="15.75" customHeight="1">
      <c r="C83" s="2" t="str">
        <f>IFERROR(__xludf.DUMMYFUNCTION("""COMPUTED_VALUE"""),"India [+]")</f>
        <v>India [+]</v>
      </c>
      <c r="D83" s="2">
        <f>IFERROR(__xludf.DUMMYFUNCTION("""COMPUTED_VALUE"""),2015.0)</f>
        <v>2015</v>
      </c>
      <c r="E83" s="6">
        <f>IFERROR(__xludf.DUMMYFUNCTION("""COMPUTED_VALUE"""),90046.0)</f>
        <v>90046</v>
      </c>
      <c r="F83" s="6">
        <f>IFERROR(__xludf.DUMMYFUNCTION("""COMPUTED_VALUE"""),116232.0)</f>
        <v>116232</v>
      </c>
      <c r="G83" s="6">
        <f>IFERROR(__xludf.DUMMYFUNCTION("""COMPUTED_VALUE"""),206278.0)</f>
        <v>206278</v>
      </c>
      <c r="H83" s="2">
        <f>IFERROR(__xludf.DUMMYFUNCTION("""COMPUTED_VALUE"""),14.32)</f>
        <v>14.32</v>
      </c>
      <c r="I83" s="7">
        <f>IFERROR(__xludf.DUMMYFUNCTION("""COMPUTED_VALUE"""),17.06)</f>
        <v>17.06</v>
      </c>
      <c r="J83" s="2">
        <f>IFERROR(__xludf.DUMMYFUNCTION("""COMPUTED_VALUE"""),15.74)</f>
        <v>15.74</v>
      </c>
      <c r="K83" s="8">
        <f>IFERROR(__xludf.DUMMYFUNCTION("""COMPUTED_VALUE"""),-0.0181)</f>
        <v>-0.0181</v>
      </c>
    </row>
    <row r="84" ht="15.75" customHeight="1">
      <c r="C84" s="2" t="str">
        <f>IFERROR(__xludf.DUMMYFUNCTION("""COMPUTED_VALUE"""),"Irak [+]")</f>
        <v>Irak [+]</v>
      </c>
      <c r="D84" s="2">
        <f>IFERROR(__xludf.DUMMYFUNCTION("""COMPUTED_VALUE"""),2015.0)</f>
        <v>2015</v>
      </c>
      <c r="E84" s="2">
        <f>IFERROR(__xludf.DUMMYFUNCTION("""COMPUTED_VALUE"""),487.0)</f>
        <v>487</v>
      </c>
      <c r="F84" s="2">
        <f>IFERROR(__xludf.DUMMYFUNCTION("""COMPUTED_VALUE"""),622.0)</f>
        <v>622</v>
      </c>
      <c r="G84" s="6">
        <f>IFERROR(__xludf.DUMMYFUNCTION("""COMPUTED_VALUE"""),1109.0)</f>
        <v>1109</v>
      </c>
      <c r="H84" s="2">
        <f>IFERROR(__xludf.DUMMYFUNCTION("""COMPUTED_VALUE"""),2.77)</f>
        <v>2.77</v>
      </c>
      <c r="I84" s="7">
        <f>IFERROR(__xludf.DUMMYFUNCTION("""COMPUTED_VALUE"""),3.46)</f>
        <v>3.46</v>
      </c>
      <c r="J84" s="2">
        <f>IFERROR(__xludf.DUMMYFUNCTION("""COMPUTED_VALUE"""),3.12)</f>
        <v>3.12</v>
      </c>
      <c r="K84" s="8">
        <f>IFERROR(__xludf.DUMMYFUNCTION("""COMPUTED_VALUE"""),0.04)</f>
        <v>0.04</v>
      </c>
    </row>
    <row r="85" ht="15.75" customHeight="1">
      <c r="C85" s="2" t="str">
        <f>IFERROR(__xludf.DUMMYFUNCTION("""COMPUTED_VALUE"""),"Irán [+]")</f>
        <v>Irán [+]</v>
      </c>
      <c r="D85" s="2">
        <f>IFERROR(__xludf.DUMMYFUNCTION("""COMPUTED_VALUE"""),2015.0)</f>
        <v>2015</v>
      </c>
      <c r="E85" s="6">
        <f>IFERROR(__xludf.DUMMYFUNCTION("""COMPUTED_VALUE"""),1114.0)</f>
        <v>1114</v>
      </c>
      <c r="F85" s="6">
        <f>IFERROR(__xludf.DUMMYFUNCTION("""COMPUTED_VALUE"""),1722.0)</f>
        <v>1722</v>
      </c>
      <c r="G85" s="6">
        <f>IFERROR(__xludf.DUMMYFUNCTION("""COMPUTED_VALUE"""),2836.0)</f>
        <v>2836</v>
      </c>
      <c r="H85" s="2">
        <f>IFERROR(__xludf.DUMMYFUNCTION("""COMPUTED_VALUE"""),2.87)</f>
        <v>2.87</v>
      </c>
      <c r="I85" s="7">
        <f>IFERROR(__xludf.DUMMYFUNCTION("""COMPUTED_VALUE"""),4.33)</f>
        <v>4.33</v>
      </c>
      <c r="J85" s="2">
        <f>IFERROR(__xludf.DUMMYFUNCTION("""COMPUTED_VALUE"""),3.59)</f>
        <v>3.59</v>
      </c>
      <c r="K85" s="8">
        <f>IFERROR(__xludf.DUMMYFUNCTION("""COMPUTED_VALUE"""),-0.0083)</f>
        <v>-0.0083</v>
      </c>
    </row>
    <row r="86" ht="15.75" customHeight="1">
      <c r="C86" s="2" t="str">
        <f>IFERROR(__xludf.DUMMYFUNCTION("""COMPUTED_VALUE"""),"Islandia [+]")</f>
        <v>Islandia [+]</v>
      </c>
      <c r="D86" s="2">
        <f>IFERROR(__xludf.DUMMYFUNCTION("""COMPUTED_VALUE"""),2020.0)</f>
        <v>2020</v>
      </c>
      <c r="E86" s="5">
        <f>IFERROR(__xludf.DUMMYFUNCTION("""COMPUTED_VALUE"""),15.0)</f>
        <v>15</v>
      </c>
      <c r="F86" s="2">
        <f>IFERROR(__xludf.DUMMYFUNCTION("""COMPUTED_VALUE"""),32.0)</f>
        <v>32</v>
      </c>
      <c r="G86" s="2">
        <f>IFERROR(__xludf.DUMMYFUNCTION("""COMPUTED_VALUE"""),47.0)</f>
        <v>47</v>
      </c>
      <c r="H86" s="2">
        <f>IFERROR(__xludf.DUMMYFUNCTION("""COMPUTED_VALUE"""),8.5)</f>
        <v>8.5</v>
      </c>
      <c r="I86" s="7">
        <f>IFERROR(__xludf.DUMMYFUNCTION("""COMPUTED_VALUE"""),17.1)</f>
        <v>17.1</v>
      </c>
      <c r="J86" s="2">
        <f>IFERROR(__xludf.DUMMYFUNCTION("""COMPUTED_VALUE"""),12.8)</f>
        <v>12.8</v>
      </c>
      <c r="K86" s="8">
        <f>IFERROR(__xludf.DUMMYFUNCTION("""COMPUTED_VALUE"""),0.183)</f>
        <v>0.183</v>
      </c>
    </row>
    <row r="87" ht="15.75" customHeight="1">
      <c r="C87" s="2" t="str">
        <f>IFERROR(__xludf.DUMMYFUNCTION("""COMPUTED_VALUE"""),"Jamaica [+]")</f>
        <v>Jamaica [+]</v>
      </c>
      <c r="D87" s="2">
        <f>IFERROR(__xludf.DUMMYFUNCTION("""COMPUTED_VALUE"""),2015.0)</f>
        <v>2015</v>
      </c>
      <c r="E87" s="5">
        <f>IFERROR(__xludf.DUMMYFUNCTION("""COMPUTED_VALUE"""),4.0)</f>
        <v>4</v>
      </c>
      <c r="F87" s="2">
        <f>IFERROR(__xludf.DUMMYFUNCTION("""COMPUTED_VALUE"""),36.0)</f>
        <v>36</v>
      </c>
      <c r="G87" s="6">
        <f>IFERROR(__xludf.DUMMYFUNCTION("""COMPUTED_VALUE"""),40.0)</f>
        <v>40</v>
      </c>
      <c r="H87" s="2">
        <f>IFERROR(__xludf.DUMMYFUNCTION("""COMPUTED_VALUE"""),0.3)</f>
        <v>0.3</v>
      </c>
      <c r="I87" s="7">
        <f>IFERROR(__xludf.DUMMYFUNCTION("""COMPUTED_VALUE"""),2.49)</f>
        <v>2.49</v>
      </c>
      <c r="J87" s="2">
        <f>IFERROR(__xludf.DUMMYFUNCTION("""COMPUTED_VALUE"""),1.48)</f>
        <v>1.48</v>
      </c>
      <c r="K87" s="8">
        <f>IFERROR(__xludf.DUMMYFUNCTION("""COMPUTED_VALUE"""),0.0068)</f>
        <v>0.0068</v>
      </c>
    </row>
    <row r="88" ht="15.75" customHeight="1">
      <c r="C88" s="2" t="str">
        <f>IFERROR(__xludf.DUMMYFUNCTION("""COMPUTED_VALUE"""),"Jordania [+]")</f>
        <v>Jordania [+]</v>
      </c>
      <c r="D88" s="2">
        <f>IFERROR(__xludf.DUMMYFUNCTION("""COMPUTED_VALUE"""),2015.0)</f>
        <v>2015</v>
      </c>
      <c r="E88" s="5">
        <f>IFERROR(__xludf.DUMMYFUNCTION("""COMPUTED_VALUE"""),74.0)</f>
        <v>74</v>
      </c>
      <c r="F88" s="2">
        <f>IFERROR(__xludf.DUMMYFUNCTION("""COMPUTED_VALUE"""),170.0)</f>
        <v>170</v>
      </c>
      <c r="G88" s="6">
        <f>IFERROR(__xludf.DUMMYFUNCTION("""COMPUTED_VALUE"""),244.0)</f>
        <v>244</v>
      </c>
      <c r="H88" s="2">
        <f>IFERROR(__xludf.DUMMYFUNCTION("""COMPUTED_VALUE"""),1.63)</f>
        <v>1.63</v>
      </c>
      <c r="I88" s="7">
        <f>IFERROR(__xludf.DUMMYFUNCTION("""COMPUTED_VALUE"""),3.61)</f>
        <v>3.61</v>
      </c>
      <c r="J88" s="2">
        <f>IFERROR(__xludf.DUMMYFUNCTION("""COMPUTED_VALUE"""),2.63)</f>
        <v>2.63</v>
      </c>
      <c r="K88" s="8">
        <f>IFERROR(__xludf.DUMMYFUNCTION("""COMPUTED_VALUE"""),-0.0223)</f>
        <v>-0.0223</v>
      </c>
    </row>
    <row r="89" ht="15.75" customHeight="1">
      <c r="C89" s="2" t="str">
        <f>IFERROR(__xludf.DUMMYFUNCTION("""COMPUTED_VALUE"""),"Kenia [+]")</f>
        <v>Kenia [+]</v>
      </c>
      <c r="D89" s="2">
        <f>IFERROR(__xludf.DUMMYFUNCTION("""COMPUTED_VALUE"""),2015.0)</f>
        <v>2015</v>
      </c>
      <c r="E89" s="2">
        <f>IFERROR(__xludf.DUMMYFUNCTION("""COMPUTED_VALUE"""),627.0)</f>
        <v>627</v>
      </c>
      <c r="F89" s="6">
        <f>IFERROR(__xludf.DUMMYFUNCTION("""COMPUTED_VALUE"""),2377.0)</f>
        <v>2377</v>
      </c>
      <c r="G89" s="6">
        <f>IFERROR(__xludf.DUMMYFUNCTION("""COMPUTED_VALUE"""),3004.0)</f>
        <v>3004</v>
      </c>
      <c r="H89" s="2">
        <f>IFERROR(__xludf.DUMMYFUNCTION("""COMPUTED_VALUE"""),2.6)</f>
        <v>2.6</v>
      </c>
      <c r="I89" s="7">
        <f>IFERROR(__xludf.DUMMYFUNCTION("""COMPUTED_VALUE"""),9.99)</f>
        <v>9.99</v>
      </c>
      <c r="J89" s="2">
        <f>IFERROR(__xludf.DUMMYFUNCTION("""COMPUTED_VALUE"""),6.94)</f>
        <v>6.94</v>
      </c>
      <c r="K89" s="8">
        <f>IFERROR(__xludf.DUMMYFUNCTION("""COMPUTED_VALUE"""),-0.0043)</f>
        <v>-0.0043</v>
      </c>
    </row>
    <row r="90" ht="15.75" customHeight="1">
      <c r="C90" s="2" t="str">
        <f>IFERROR(__xludf.DUMMYFUNCTION("""COMPUTED_VALUE"""),"Kirguistán [+]")</f>
        <v>Kirguistán [+]</v>
      </c>
      <c r="D90" s="2">
        <f>IFERROR(__xludf.DUMMYFUNCTION("""COMPUTED_VALUE"""),2015.0)</f>
        <v>2015</v>
      </c>
      <c r="E90" s="2">
        <f>IFERROR(__xludf.DUMMYFUNCTION("""COMPUTED_VALUE"""),96.0)</f>
        <v>96</v>
      </c>
      <c r="F90" s="2">
        <f>IFERROR(__xludf.DUMMYFUNCTION("""COMPUTED_VALUE"""),343.0)</f>
        <v>343</v>
      </c>
      <c r="G90" s="2">
        <f>IFERROR(__xludf.DUMMYFUNCTION("""COMPUTED_VALUE"""),439.0)</f>
        <v>439</v>
      </c>
      <c r="H90" s="2">
        <f>IFERROR(__xludf.DUMMYFUNCTION("""COMPUTED_VALUE"""),3.19)</f>
        <v>3.19</v>
      </c>
      <c r="I90" s="7">
        <f>IFERROR(__xludf.DUMMYFUNCTION("""COMPUTED_VALUE"""),11.63)</f>
        <v>11.63</v>
      </c>
      <c r="J90" s="2">
        <f>IFERROR(__xludf.DUMMYFUNCTION("""COMPUTED_VALUE"""),7.44)</f>
        <v>7.44</v>
      </c>
      <c r="K90" s="8">
        <f>IFERROR(__xludf.DUMMYFUNCTION("""COMPUTED_VALUE"""),-0.1143)</f>
        <v>-0.1143</v>
      </c>
    </row>
    <row r="91" ht="15.75" customHeight="1">
      <c r="C91" s="2" t="str">
        <f>IFERROR(__xludf.DUMMYFUNCTION("""COMPUTED_VALUE"""),"Camboya [+]")</f>
        <v>Camboya [+]</v>
      </c>
      <c r="D91" s="2">
        <f>IFERROR(__xludf.DUMMYFUNCTION("""COMPUTED_VALUE"""),2015.0)</f>
        <v>2015</v>
      </c>
      <c r="E91" s="2">
        <f>IFERROR(__xludf.DUMMYFUNCTION("""COMPUTED_VALUE"""),645.0)</f>
        <v>645</v>
      </c>
      <c r="F91" s="6">
        <f>IFERROR(__xludf.DUMMYFUNCTION("""COMPUTED_VALUE"""),1212.0)</f>
        <v>1212</v>
      </c>
      <c r="G91" s="6">
        <f>IFERROR(__xludf.DUMMYFUNCTION("""COMPUTED_VALUE"""),1857.0)</f>
        <v>1857</v>
      </c>
      <c r="H91" s="2">
        <f>IFERROR(__xludf.DUMMYFUNCTION("""COMPUTED_VALUE"""),8.11)</f>
        <v>8.11</v>
      </c>
      <c r="I91" s="7">
        <f>IFERROR(__xludf.DUMMYFUNCTION("""COMPUTED_VALUE"""),16.01)</f>
        <v>16.01</v>
      </c>
      <c r="J91" s="2">
        <f>IFERROR(__xludf.DUMMYFUNCTION("""COMPUTED_VALUE"""),12.36)</f>
        <v>12.36</v>
      </c>
      <c r="K91" s="8">
        <f>IFERROR(__xludf.DUMMYFUNCTION("""COMPUTED_VALUE"""),-0.0198)</f>
        <v>-0.0198</v>
      </c>
    </row>
    <row r="92" ht="15.75" customHeight="1">
      <c r="C92" s="2" t="str">
        <f>IFERROR(__xludf.DUMMYFUNCTION("""COMPUTED_VALUE"""),"Kiribati [+]")</f>
        <v>Kiribati [+]</v>
      </c>
      <c r="D92" s="2">
        <f>IFERROR(__xludf.DUMMYFUNCTION("""COMPUTED_VALUE"""),2015.0)</f>
        <v>2015</v>
      </c>
      <c r="E92" s="2">
        <f>IFERROR(__xludf.DUMMYFUNCTION("""COMPUTED_VALUE"""),4.0)</f>
        <v>4</v>
      </c>
      <c r="F92" s="2">
        <f>IFERROR(__xludf.DUMMYFUNCTION("""COMPUTED_VALUE"""),12.0)</f>
        <v>12</v>
      </c>
      <c r="G92" s="2">
        <f>IFERROR(__xludf.DUMMYFUNCTION("""COMPUTED_VALUE"""),16.0)</f>
        <v>16</v>
      </c>
      <c r="H92" s="2">
        <f>IFERROR(__xludf.DUMMYFUNCTION("""COMPUTED_VALUE"""),6.31)</f>
        <v>6.31</v>
      </c>
      <c r="I92" s="7">
        <f>IFERROR(__xludf.DUMMYFUNCTION("""COMPUTED_VALUE"""),22.89)</f>
        <v>22.89</v>
      </c>
      <c r="J92" s="2">
        <f>IFERROR(__xludf.DUMMYFUNCTION("""COMPUTED_VALUE"""),14.45)</f>
        <v>14.45</v>
      </c>
      <c r="K92" s="8">
        <f>IFERROR(__xludf.DUMMYFUNCTION("""COMPUTED_VALUE"""),-0.0236)</f>
        <v>-0.0236</v>
      </c>
    </row>
    <row r="93" ht="15.75" customHeight="1">
      <c r="C93" s="2" t="str">
        <f>IFERROR(__xludf.DUMMYFUNCTION("""COMPUTED_VALUE"""),"Comoras [+]")</f>
        <v>Comoras [+]</v>
      </c>
      <c r="D93" s="2">
        <f>IFERROR(__xludf.DUMMYFUNCTION("""COMPUTED_VALUE"""),2015.0)</f>
        <v>2015</v>
      </c>
      <c r="E93" s="5">
        <f>IFERROR(__xludf.DUMMYFUNCTION("""COMPUTED_VALUE"""),20.0)</f>
        <v>20</v>
      </c>
      <c r="F93" s="2">
        <f>IFERROR(__xludf.DUMMYFUNCTION("""COMPUTED_VALUE"""),38.0)</f>
        <v>38</v>
      </c>
      <c r="G93" s="2">
        <f>IFERROR(__xludf.DUMMYFUNCTION("""COMPUTED_VALUE"""),59.0)</f>
        <v>59</v>
      </c>
      <c r="H93" s="2">
        <f>IFERROR(__xludf.DUMMYFUNCTION("""COMPUTED_VALUE"""),5.3)</f>
        <v>5.3</v>
      </c>
      <c r="I93" s="7">
        <f>IFERROR(__xludf.DUMMYFUNCTION("""COMPUTED_VALUE"""),9.72)</f>
        <v>9.72</v>
      </c>
      <c r="J93" s="2">
        <f>IFERROR(__xludf.DUMMYFUNCTION("""COMPUTED_VALUE"""),7.46)</f>
        <v>7.46</v>
      </c>
      <c r="K93" s="8">
        <f>IFERROR(__xludf.DUMMYFUNCTION("""COMPUTED_VALUE"""),-0.0119)</f>
        <v>-0.0119</v>
      </c>
    </row>
    <row r="94" ht="15.75" customHeight="1">
      <c r="C94" s="2" t="str">
        <f>IFERROR(__xludf.DUMMYFUNCTION("""COMPUTED_VALUE"""),"Corea del Norte [+]")</f>
        <v>Corea del Norte [+]</v>
      </c>
      <c r="D94" s="2">
        <f>IFERROR(__xludf.DUMMYFUNCTION("""COMPUTED_VALUE"""),2015.0)</f>
        <v>2015</v>
      </c>
      <c r="E94" s="6">
        <f>IFERROR(__xludf.DUMMYFUNCTION("""COMPUTED_VALUE"""),1973.0)</f>
        <v>1973</v>
      </c>
      <c r="F94" s="6">
        <f>IFERROR(__xludf.DUMMYFUNCTION("""COMPUTED_VALUE"""),2008.0)</f>
        <v>2008</v>
      </c>
      <c r="G94" s="6">
        <f>IFERROR(__xludf.DUMMYFUNCTION("""COMPUTED_VALUE"""),3981.0)</f>
        <v>3981</v>
      </c>
      <c r="H94" s="2">
        <f>IFERROR(__xludf.DUMMYFUNCTION("""COMPUTED_VALUE"""),15.33)</f>
        <v>15.33</v>
      </c>
      <c r="I94" s="7">
        <f>IFERROR(__xludf.DUMMYFUNCTION("""COMPUTED_VALUE"""),16.31)</f>
        <v>16.31</v>
      </c>
      <c r="J94" s="2">
        <f>IFERROR(__xludf.DUMMYFUNCTION("""COMPUTED_VALUE"""),15.81)</f>
        <v>15.81</v>
      </c>
      <c r="K94" s="8">
        <f>IFERROR(__xludf.DUMMYFUNCTION("""COMPUTED_VALUE"""),-0.0295)</f>
        <v>-0.0295</v>
      </c>
    </row>
    <row r="95" ht="15.75" customHeight="1">
      <c r="C95" s="2" t="str">
        <f>IFERROR(__xludf.DUMMYFUNCTION("""COMPUTED_VALUE"""),"Corea del Sur [+]")</f>
        <v>Corea del Sur [+]</v>
      </c>
      <c r="D95" s="2">
        <f>IFERROR(__xludf.DUMMYFUNCTION("""COMPUTED_VALUE"""),2020.0)</f>
        <v>2020</v>
      </c>
      <c r="E95" s="6">
        <f>IFERROR(__xludf.DUMMYFUNCTION("""COMPUTED_VALUE"""),4102.0)</f>
        <v>4102</v>
      </c>
      <c r="F95" s="6">
        <f>IFERROR(__xludf.DUMMYFUNCTION("""COMPUTED_VALUE"""),9093.0)</f>
        <v>9093</v>
      </c>
      <c r="G95" s="6">
        <f>IFERROR(__xludf.DUMMYFUNCTION("""COMPUTED_VALUE"""),13195.0)</f>
        <v>13195</v>
      </c>
      <c r="H95" s="2">
        <f>IFERROR(__xludf.DUMMYFUNCTION("""COMPUTED_VALUE"""),15.9)</f>
        <v>15.9</v>
      </c>
      <c r="I95" s="7">
        <f>IFERROR(__xludf.DUMMYFUNCTION("""COMPUTED_VALUE"""),35.0)</f>
        <v>35</v>
      </c>
      <c r="J95" s="2">
        <f>IFERROR(__xludf.DUMMYFUNCTION("""COMPUTED_VALUE"""),25.5)</f>
        <v>25.5</v>
      </c>
      <c r="K95" s="8">
        <f>IFERROR(__xludf.DUMMYFUNCTION("""COMPUTED_VALUE"""),-0.0449)</f>
        <v>-0.0449</v>
      </c>
    </row>
    <row r="96" ht="15.75" customHeight="1">
      <c r="C96" s="2" t="str">
        <f>IFERROR(__xludf.DUMMYFUNCTION("""COMPUTED_VALUE"""),"Kuwait [+]")</f>
        <v>Kuwait [+]</v>
      </c>
      <c r="D96" s="2">
        <f>IFERROR(__xludf.DUMMYFUNCTION("""COMPUTED_VALUE"""),2015.0)</f>
        <v>2015</v>
      </c>
      <c r="E96" s="5">
        <f>IFERROR(__xludf.DUMMYFUNCTION("""COMPUTED_VALUE"""),35.0)</f>
        <v>35</v>
      </c>
      <c r="F96" s="2">
        <f>IFERROR(__xludf.DUMMYFUNCTION("""COMPUTED_VALUE"""),119.0)</f>
        <v>119</v>
      </c>
      <c r="G96" s="6">
        <f>IFERROR(__xludf.DUMMYFUNCTION("""COMPUTED_VALUE"""),154.0)</f>
        <v>154</v>
      </c>
      <c r="H96" s="2">
        <f>IFERROR(__xludf.DUMMYFUNCTION("""COMPUTED_VALUE"""),2.21)</f>
        <v>2.21</v>
      </c>
      <c r="I96" s="7">
        <f>IFERROR(__xludf.DUMMYFUNCTION("""COMPUTED_VALUE"""),5.27)</f>
        <v>5.27</v>
      </c>
      <c r="J96" s="2">
        <f>IFERROR(__xludf.DUMMYFUNCTION("""COMPUTED_VALUE"""),3.68)</f>
        <v>3.68</v>
      </c>
      <c r="K96" s="8">
        <f>IFERROR(__xludf.DUMMYFUNCTION("""COMPUTED_VALUE"""),0.011)</f>
        <v>0.011</v>
      </c>
    </row>
    <row r="97" ht="15.75" customHeight="1">
      <c r="C97" s="2" t="str">
        <f>IFERROR(__xludf.DUMMYFUNCTION("""COMPUTED_VALUE"""),"Kazajistán [+]")</f>
        <v>Kazajistán [+]</v>
      </c>
      <c r="D97" s="2">
        <f>IFERROR(__xludf.DUMMYFUNCTION("""COMPUTED_VALUE"""),2015.0)</f>
        <v>2015</v>
      </c>
      <c r="E97" s="2">
        <f>IFERROR(__xludf.DUMMYFUNCTION("""COMPUTED_VALUE"""),872.0)</f>
        <v>872</v>
      </c>
      <c r="F97" s="6">
        <f>IFERROR(__xludf.DUMMYFUNCTION("""COMPUTED_VALUE"""),3983.0)</f>
        <v>3983</v>
      </c>
      <c r="G97" s="6">
        <f>IFERROR(__xludf.DUMMYFUNCTION("""COMPUTED_VALUE"""),4855.0)</f>
        <v>4855</v>
      </c>
      <c r="H97" s="2">
        <f>IFERROR(__xludf.DUMMYFUNCTION("""COMPUTED_VALUE"""),9.64)</f>
        <v>9.64</v>
      </c>
      <c r="I97" s="7">
        <f>IFERROR(__xludf.DUMMYFUNCTION("""COMPUTED_VALUE"""),46.89)</f>
        <v>46.89</v>
      </c>
      <c r="J97" s="2">
        <f>IFERROR(__xludf.DUMMYFUNCTION("""COMPUTED_VALUE"""),27.47)</f>
        <v>27.47</v>
      </c>
      <c r="K97" s="8">
        <f>IFERROR(__xludf.DUMMYFUNCTION("""COMPUTED_VALUE"""),-0.0488)</f>
        <v>-0.0488</v>
      </c>
    </row>
    <row r="98" ht="15.75" customHeight="1">
      <c r="C98" s="2" t="str">
        <f>IFERROR(__xludf.DUMMYFUNCTION("""COMPUTED_VALUE"""),"Laos [+]")</f>
        <v>Laos [+]</v>
      </c>
      <c r="D98" s="2">
        <f>IFERROR(__xludf.DUMMYFUNCTION("""COMPUTED_VALUE"""),2015.0)</f>
        <v>2015</v>
      </c>
      <c r="E98" s="5">
        <f>IFERROR(__xludf.DUMMYFUNCTION("""COMPUTED_VALUE"""),316.0)</f>
        <v>316</v>
      </c>
      <c r="F98" s="2">
        <f>IFERROR(__xludf.DUMMYFUNCTION("""COMPUTED_VALUE"""),521.0)</f>
        <v>521</v>
      </c>
      <c r="G98" s="6">
        <f>IFERROR(__xludf.DUMMYFUNCTION("""COMPUTED_VALUE"""),837.0)</f>
        <v>837</v>
      </c>
      <c r="H98" s="2">
        <f>IFERROR(__xludf.DUMMYFUNCTION("""COMPUTED_VALUE"""),9.4)</f>
        <v>9.4</v>
      </c>
      <c r="I98" s="7">
        <f>IFERROR(__xludf.DUMMYFUNCTION("""COMPUTED_VALUE"""),15.41)</f>
        <v>15.41</v>
      </c>
      <c r="J98" s="2">
        <f>IFERROR(__xludf.DUMMYFUNCTION("""COMPUTED_VALUE"""),12.41)</f>
        <v>12.41</v>
      </c>
      <c r="K98" s="8">
        <f>IFERROR(__xludf.DUMMYFUNCTION("""COMPUTED_VALUE"""),-0.0024)</f>
        <v>-0.0024</v>
      </c>
    </row>
    <row r="99" ht="15.75" customHeight="1">
      <c r="C99" s="2" t="str">
        <f>IFERROR(__xludf.DUMMYFUNCTION("""COMPUTED_VALUE"""),"Líbano [+]")</f>
        <v>Líbano [+]</v>
      </c>
      <c r="D99" s="2">
        <f>IFERROR(__xludf.DUMMYFUNCTION("""COMPUTED_VALUE"""),2015.0)</f>
        <v>2015</v>
      </c>
      <c r="E99" s="5">
        <f>IFERROR(__xludf.DUMMYFUNCTION("""COMPUTED_VALUE"""),62.0)</f>
        <v>62</v>
      </c>
      <c r="F99" s="2">
        <f>IFERROR(__xludf.DUMMYFUNCTION("""COMPUTED_VALUE"""),120.0)</f>
        <v>120</v>
      </c>
      <c r="G99" s="6">
        <f>IFERROR(__xludf.DUMMYFUNCTION("""COMPUTED_VALUE"""),182.0)</f>
        <v>182</v>
      </c>
      <c r="H99" s="2">
        <f>IFERROR(__xludf.DUMMYFUNCTION("""COMPUTED_VALUE"""),1.92)</f>
        <v>1.92</v>
      </c>
      <c r="I99" s="7">
        <f>IFERROR(__xludf.DUMMYFUNCTION("""COMPUTED_VALUE"""),3.65)</f>
        <v>3.65</v>
      </c>
      <c r="J99" s="2">
        <f>IFERROR(__xludf.DUMMYFUNCTION("""COMPUTED_VALUE"""),2.79)</f>
        <v>2.79</v>
      </c>
      <c r="K99" s="8">
        <f>IFERROR(__xludf.DUMMYFUNCTION("""COMPUTED_VALUE"""),0.0036)</f>
        <v>0.0036</v>
      </c>
    </row>
    <row r="100" ht="15.75" customHeight="1">
      <c r="C100" s="2" t="str">
        <f>IFERROR(__xludf.DUMMYFUNCTION("""COMPUTED_VALUE"""),"Santa Lucía [+]")</f>
        <v>Santa Lucía [+]</v>
      </c>
      <c r="D100" s="2">
        <f>IFERROR(__xludf.DUMMYFUNCTION("""COMPUTED_VALUE"""),2015.0)</f>
        <v>2015</v>
      </c>
      <c r="E100" s="2">
        <f>IFERROR(__xludf.DUMMYFUNCTION("""COMPUTED_VALUE"""),2.0)</f>
        <v>2</v>
      </c>
      <c r="F100" s="2">
        <f>IFERROR(__xludf.DUMMYFUNCTION("""COMPUTED_VALUE"""),11.0)</f>
        <v>11</v>
      </c>
      <c r="G100" s="2">
        <f>IFERROR(__xludf.DUMMYFUNCTION("""COMPUTED_VALUE"""),13.0)</f>
        <v>13</v>
      </c>
      <c r="H100" s="2">
        <f>IFERROR(__xludf.DUMMYFUNCTION("""COMPUTED_VALUE"""),1.68)</f>
        <v>1.68</v>
      </c>
      <c r="I100" s="7">
        <f>IFERROR(__xludf.DUMMYFUNCTION("""COMPUTED_VALUE"""),12.57)</f>
        <v>12.57</v>
      </c>
      <c r="J100" s="2">
        <f>IFERROR(__xludf.DUMMYFUNCTION("""COMPUTED_VALUE"""),7.25)</f>
        <v>7.25</v>
      </c>
      <c r="K100" s="8">
        <f>IFERROR(__xludf.DUMMYFUNCTION("""COMPUTED_VALUE"""),-0.0717)</f>
        <v>-0.0717</v>
      </c>
    </row>
    <row r="101" ht="15.75" customHeight="1">
      <c r="C101" s="2" t="str">
        <f>IFERROR(__xludf.DUMMYFUNCTION("""COMPUTED_VALUE"""),"Liechtenstein [+]")</f>
        <v>Liechtenstein [+]</v>
      </c>
      <c r="D101" s="2">
        <f>IFERROR(__xludf.DUMMYFUNCTION("""COMPUTED_VALUE"""),2020.0)</f>
        <v>2020</v>
      </c>
      <c r="E101" s="2">
        <f>IFERROR(__xludf.DUMMYFUNCTION("""COMPUTED_VALUE"""),2.0)</f>
        <v>2</v>
      </c>
      <c r="F101" s="2">
        <f>IFERROR(__xludf.DUMMYFUNCTION("""COMPUTED_VALUE"""),3.0)</f>
        <v>3</v>
      </c>
      <c r="G101" s="2">
        <f>IFERROR(__xludf.DUMMYFUNCTION("""COMPUTED_VALUE"""),5.0)</f>
        <v>5</v>
      </c>
      <c r="H101" s="2">
        <f>IFERROR(__xludf.DUMMYFUNCTION("""COMPUTED_VALUE"""),10.16)</f>
        <v>10.16</v>
      </c>
      <c r="I101" s="7">
        <f>IFERROR(__xludf.DUMMYFUNCTION("""COMPUTED_VALUE"""),15.49)</f>
        <v>15.49</v>
      </c>
      <c r="J101" s="2">
        <f>IFERROR(__xludf.DUMMYFUNCTION("""COMPUTED_VALUE"""),12.8)</f>
        <v>12.8</v>
      </c>
      <c r="K101" s="8">
        <f>IFERROR(__xludf.DUMMYFUNCTION("""COMPUTED_VALUE"""),-0.5064)</f>
        <v>-0.5064</v>
      </c>
    </row>
    <row r="102" ht="15.75" customHeight="1">
      <c r="C102" s="2" t="str">
        <f>IFERROR(__xludf.DUMMYFUNCTION("""COMPUTED_VALUE"""),"Sri Lanka [+]")</f>
        <v>Sri Lanka [+]</v>
      </c>
      <c r="D102" s="2">
        <f>IFERROR(__xludf.DUMMYFUNCTION("""COMPUTED_VALUE"""),2015.0)</f>
        <v>2015</v>
      </c>
      <c r="E102" s="6">
        <f>IFERROR(__xludf.DUMMYFUNCTION("""COMPUTED_VALUE"""),1461.0)</f>
        <v>1461</v>
      </c>
      <c r="F102" s="6">
        <f>IFERROR(__xludf.DUMMYFUNCTION("""COMPUTED_VALUE"""),5858.0)</f>
        <v>5858</v>
      </c>
      <c r="G102" s="6">
        <f>IFERROR(__xludf.DUMMYFUNCTION("""COMPUTED_VALUE"""),7319.0)</f>
        <v>7319</v>
      </c>
      <c r="H102" s="2">
        <f>IFERROR(__xludf.DUMMYFUNCTION("""COMPUTED_VALUE"""),13.45)</f>
        <v>13.45</v>
      </c>
      <c r="I102" s="7">
        <f>IFERROR(__xludf.DUMMYFUNCTION("""COMPUTED_VALUE"""),57.96)</f>
        <v>57.96</v>
      </c>
      <c r="J102" s="2">
        <f>IFERROR(__xludf.DUMMYFUNCTION("""COMPUTED_VALUE"""),34.9)</f>
        <v>34.9</v>
      </c>
      <c r="K102" s="8">
        <f>IFERROR(__xludf.DUMMYFUNCTION("""COMPUTED_VALUE"""),0.0046)</f>
        <v>0.0046</v>
      </c>
    </row>
    <row r="103" ht="15.75" customHeight="1">
      <c r="C103" s="2" t="str">
        <f>IFERROR(__xludf.DUMMYFUNCTION("""COMPUTED_VALUE"""),"Liberia [+]")</f>
        <v>Liberia [+]</v>
      </c>
      <c r="D103" s="2">
        <f>IFERROR(__xludf.DUMMYFUNCTION("""COMPUTED_VALUE"""),2015.0)</f>
        <v>2015</v>
      </c>
      <c r="E103" s="5">
        <f>IFERROR(__xludf.DUMMYFUNCTION("""COMPUTED_VALUE"""),63.0)</f>
        <v>63</v>
      </c>
      <c r="F103" s="2">
        <f>IFERROR(__xludf.DUMMYFUNCTION("""COMPUTED_VALUE"""),221.0)</f>
        <v>221</v>
      </c>
      <c r="G103" s="6">
        <f>IFERROR(__xludf.DUMMYFUNCTION("""COMPUTED_VALUE"""),284.0)</f>
        <v>284</v>
      </c>
      <c r="H103" s="2">
        <f>IFERROR(__xludf.DUMMYFUNCTION("""COMPUTED_VALUE"""),2.84)</f>
        <v>2.84</v>
      </c>
      <c r="I103" s="7">
        <f>IFERROR(__xludf.DUMMYFUNCTION("""COMPUTED_VALUE"""),9.84)</f>
        <v>9.84</v>
      </c>
      <c r="J103" s="2">
        <f>IFERROR(__xludf.DUMMYFUNCTION("""COMPUTED_VALUE"""),6.36)</f>
        <v>6.36</v>
      </c>
      <c r="K103" s="8">
        <f>IFERROR(__xludf.DUMMYFUNCTION("""COMPUTED_VALUE"""),0.0308)</f>
        <v>0.0308</v>
      </c>
    </row>
    <row r="104" ht="15.75" customHeight="1">
      <c r="C104" s="2" t="str">
        <f>IFERROR(__xludf.DUMMYFUNCTION("""COMPUTED_VALUE"""),"Lesoto [+]")</f>
        <v>Lesoto [+]</v>
      </c>
      <c r="D104" s="2">
        <f>IFERROR(__xludf.DUMMYFUNCTION("""COMPUTED_VALUE"""),2015.0)</f>
        <v>2015</v>
      </c>
      <c r="E104" s="2">
        <f>IFERROR(__xludf.DUMMYFUNCTION("""COMPUTED_VALUE"""),65.0)</f>
        <v>65</v>
      </c>
      <c r="F104" s="2">
        <f>IFERROR(__xludf.DUMMYFUNCTION("""COMPUTED_VALUE"""),156.0)</f>
        <v>156</v>
      </c>
      <c r="G104" s="2">
        <f>IFERROR(__xludf.DUMMYFUNCTION("""COMPUTED_VALUE"""),221.0)</f>
        <v>221</v>
      </c>
      <c r="H104" s="2">
        <f>IFERROR(__xludf.DUMMYFUNCTION("""COMPUTED_VALUE"""),6.21)</f>
        <v>6.21</v>
      </c>
      <c r="I104" s="7">
        <f>IFERROR(__xludf.DUMMYFUNCTION("""COMPUTED_VALUE"""),15.43)</f>
        <v>15.43</v>
      </c>
      <c r="J104" s="2">
        <f>IFERROR(__xludf.DUMMYFUNCTION("""COMPUTED_VALUE"""),11.09)</f>
        <v>11.09</v>
      </c>
      <c r="K104" s="8">
        <f>IFERROR(__xludf.DUMMYFUNCTION("""COMPUTED_VALUE"""),-0.0168)</f>
        <v>-0.0168</v>
      </c>
    </row>
    <row r="105" ht="15.75" customHeight="1">
      <c r="C105" s="2" t="str">
        <f>IFERROR(__xludf.DUMMYFUNCTION("""COMPUTED_VALUE"""),"Lituania [+]")</f>
        <v>Lituania [+]</v>
      </c>
      <c r="D105" s="2">
        <f>IFERROR(__xludf.DUMMYFUNCTION("""COMPUTED_VALUE"""),2020.0)</f>
        <v>2020</v>
      </c>
      <c r="E105" s="5">
        <f>IFERROR(__xludf.DUMMYFUNCTION("""COMPUTED_VALUE"""),133.0)</f>
        <v>133</v>
      </c>
      <c r="F105" s="2">
        <f>IFERROR(__xludf.DUMMYFUNCTION("""COMPUTED_VALUE"""),479.0)</f>
        <v>479</v>
      </c>
      <c r="G105" s="6">
        <f>IFERROR(__xludf.DUMMYFUNCTION("""COMPUTED_VALUE"""),612.0)</f>
        <v>612</v>
      </c>
      <c r="H105" s="2">
        <f>IFERROR(__xludf.DUMMYFUNCTION("""COMPUTED_VALUE"""),8.9)</f>
        <v>8.9</v>
      </c>
      <c r="I105" s="7">
        <f>IFERROR(__xludf.DUMMYFUNCTION("""COMPUTED_VALUE"""),36.3)</f>
        <v>36.3</v>
      </c>
      <c r="J105" s="2">
        <f>IFERROR(__xludf.DUMMYFUNCTION("""COMPUTED_VALUE"""),21.7)</f>
        <v>21.7</v>
      </c>
      <c r="K105" s="8">
        <f>IFERROR(__xludf.DUMMYFUNCTION("""COMPUTED_VALUE"""),-0.073)</f>
        <v>-0.073</v>
      </c>
    </row>
    <row r="106" ht="15.75" customHeight="1">
      <c r="C106" s="2" t="str">
        <f>IFERROR(__xludf.DUMMYFUNCTION("""COMPUTED_VALUE"""),"Luxemburgo [+]")</f>
        <v>Luxemburgo [+]</v>
      </c>
      <c r="D106" s="2">
        <f>IFERROR(__xludf.DUMMYFUNCTION("""COMPUTED_VALUE"""),2019.0)</f>
        <v>2019</v>
      </c>
      <c r="E106" s="5">
        <f>IFERROR(__xludf.DUMMYFUNCTION("""COMPUTED_VALUE"""),21.0)</f>
        <v>21</v>
      </c>
      <c r="F106" s="2">
        <f>IFERROR(__xludf.DUMMYFUNCTION("""COMPUTED_VALUE"""),49.0)</f>
        <v>49</v>
      </c>
      <c r="G106" s="6">
        <f>IFERROR(__xludf.DUMMYFUNCTION("""COMPUTED_VALUE"""),70.0)</f>
        <v>70</v>
      </c>
      <c r="H106" s="2">
        <f>IFERROR(__xludf.DUMMYFUNCTION("""COMPUTED_VALUE"""),6.81)</f>
        <v>6.81</v>
      </c>
      <c r="I106" s="7">
        <f>IFERROR(__xludf.DUMMYFUNCTION("""COMPUTED_VALUE"""),15.39)</f>
        <v>15.39</v>
      </c>
      <c r="J106" s="2">
        <f>IFERROR(__xludf.DUMMYFUNCTION("""COMPUTED_VALUE"""),11.13)</f>
        <v>11.13</v>
      </c>
      <c r="K106" s="8">
        <f>IFERROR(__xludf.DUMMYFUNCTION("""COMPUTED_VALUE"""),0.3018)</f>
        <v>0.3018</v>
      </c>
    </row>
    <row r="107" ht="15.75" customHeight="1">
      <c r="C107" s="2" t="str">
        <f>IFERROR(__xludf.DUMMYFUNCTION("""COMPUTED_VALUE"""),"Letonia [+]")</f>
        <v>Letonia [+]</v>
      </c>
      <c r="D107" s="2">
        <f>IFERROR(__xludf.DUMMYFUNCTION("""COMPUTED_VALUE"""),2020.0)</f>
        <v>2020</v>
      </c>
      <c r="E107" s="2">
        <f>IFERROR(__xludf.DUMMYFUNCTION("""COMPUTED_VALUE"""),52.0)</f>
        <v>52</v>
      </c>
      <c r="F107" s="2">
        <f>IFERROR(__xludf.DUMMYFUNCTION("""COMPUTED_VALUE"""),247.0)</f>
        <v>247</v>
      </c>
      <c r="G107" s="2">
        <f>IFERROR(__xludf.DUMMYFUNCTION("""COMPUTED_VALUE"""),299.0)</f>
        <v>299</v>
      </c>
      <c r="H107" s="2">
        <f>IFERROR(__xludf.DUMMYFUNCTION("""COMPUTED_VALUE"""),5.1)</f>
        <v>5.1</v>
      </c>
      <c r="I107" s="7">
        <f>IFERROR(__xludf.DUMMYFUNCTION("""COMPUTED_VALUE"""),27.9)</f>
        <v>27.9</v>
      </c>
      <c r="J107" s="2">
        <f>IFERROR(__xludf.DUMMYFUNCTION("""COMPUTED_VALUE"""),15.7)</f>
        <v>15.7</v>
      </c>
      <c r="K107" s="8">
        <f>IFERROR(__xludf.DUMMYFUNCTION("""COMPUTED_VALUE"""),0.0255)</f>
        <v>0.0255</v>
      </c>
    </row>
    <row r="108" ht="15.75" customHeight="1">
      <c r="C108" s="2" t="str">
        <f>IFERROR(__xludf.DUMMYFUNCTION("""COMPUTED_VALUE"""),"Libia [+]")</f>
        <v>Libia [+]</v>
      </c>
      <c r="D108" s="2">
        <f>IFERROR(__xludf.DUMMYFUNCTION("""COMPUTED_VALUE"""),2015.0)</f>
        <v>2015</v>
      </c>
      <c r="E108" s="2">
        <f>IFERROR(__xludf.DUMMYFUNCTION("""COMPUTED_VALUE"""),82.0)</f>
        <v>82</v>
      </c>
      <c r="F108" s="2">
        <f>IFERROR(__xludf.DUMMYFUNCTION("""COMPUTED_VALUE"""),266.0)</f>
        <v>266</v>
      </c>
      <c r="G108" s="2">
        <f>IFERROR(__xludf.DUMMYFUNCTION("""COMPUTED_VALUE"""),347.0)</f>
        <v>347</v>
      </c>
      <c r="H108" s="2">
        <f>IFERROR(__xludf.DUMMYFUNCTION("""COMPUTED_VALUE"""),2.58)</f>
        <v>2.58</v>
      </c>
      <c r="I108" s="7">
        <f>IFERROR(__xludf.DUMMYFUNCTION("""COMPUTED_VALUE"""),8.18)</f>
        <v>8.18</v>
      </c>
      <c r="J108" s="2">
        <f>IFERROR(__xludf.DUMMYFUNCTION("""COMPUTED_VALUE"""),5.5)</f>
        <v>5.5</v>
      </c>
      <c r="K108" s="8">
        <f>IFERROR(__xludf.DUMMYFUNCTION("""COMPUTED_VALUE"""),-0.0939)</f>
        <v>-0.0939</v>
      </c>
    </row>
    <row r="109" ht="15.75" customHeight="1">
      <c r="C109" s="2" t="str">
        <f>IFERROR(__xludf.DUMMYFUNCTION("""COMPUTED_VALUE"""),"Marruecos [+]")</f>
        <v>Marruecos [+]</v>
      </c>
      <c r="D109" s="2">
        <f>IFERROR(__xludf.DUMMYFUNCTION("""COMPUTED_VALUE"""),2015.0)</f>
        <v>2015</v>
      </c>
      <c r="E109" s="2">
        <f>IFERROR(__xludf.DUMMYFUNCTION("""COMPUTED_VALUE"""),577.0)</f>
        <v>577</v>
      </c>
      <c r="F109" s="6">
        <f>IFERROR(__xludf.DUMMYFUNCTION("""COMPUTED_VALUE"""),1067.0)</f>
        <v>1067</v>
      </c>
      <c r="G109" s="6">
        <f>IFERROR(__xludf.DUMMYFUNCTION("""COMPUTED_VALUE"""),1644.0)</f>
        <v>1644</v>
      </c>
      <c r="H109" s="2">
        <f>IFERROR(__xludf.DUMMYFUNCTION("""COMPUTED_VALUE"""),3.3)</f>
        <v>3.3</v>
      </c>
      <c r="I109" s="7">
        <f>IFERROR(__xludf.DUMMYFUNCTION("""COMPUTED_VALUE"""),6.22)</f>
        <v>6.22</v>
      </c>
      <c r="J109" s="2">
        <f>IFERROR(__xludf.DUMMYFUNCTION("""COMPUTED_VALUE"""),4.82)</f>
        <v>4.82</v>
      </c>
      <c r="K109" s="8">
        <f>IFERROR(__xludf.DUMMYFUNCTION("""COMPUTED_VALUE"""),0.0021)</f>
        <v>0.0021</v>
      </c>
    </row>
    <row r="110" ht="15.75" customHeight="1">
      <c r="C110" s="2" t="str">
        <f>IFERROR(__xludf.DUMMYFUNCTION("""COMPUTED_VALUE"""),"Moldavia [+]")</f>
        <v>Moldavia [+]</v>
      </c>
      <c r="D110" s="2">
        <f>IFERROR(__xludf.DUMMYFUNCTION("""COMPUTED_VALUE"""),2015.0)</f>
        <v>2015</v>
      </c>
      <c r="E110" s="2">
        <f>IFERROR(__xludf.DUMMYFUNCTION("""COMPUTED_VALUE"""),97.0)</f>
        <v>97</v>
      </c>
      <c r="F110" s="2">
        <f>IFERROR(__xludf.DUMMYFUNCTION("""COMPUTED_VALUE"""),504.0)</f>
        <v>504</v>
      </c>
      <c r="G110" s="2">
        <f>IFERROR(__xludf.DUMMYFUNCTION("""COMPUTED_VALUE"""),601.0)</f>
        <v>601</v>
      </c>
      <c r="H110" s="2">
        <f>IFERROR(__xludf.DUMMYFUNCTION("""COMPUTED_VALUE"""),6.6)</f>
        <v>6.6</v>
      </c>
      <c r="I110" s="7">
        <f>IFERROR(__xludf.DUMMYFUNCTION("""COMPUTED_VALUE"""),36.98)</f>
        <v>36.98</v>
      </c>
      <c r="J110" s="2">
        <f>IFERROR(__xludf.DUMMYFUNCTION("""COMPUTED_VALUE"""),16.91)</f>
        <v>16.91</v>
      </c>
      <c r="K110" s="8">
        <f>IFERROR(__xludf.DUMMYFUNCTION("""COMPUTED_VALUE"""),-0.0899)</f>
        <v>-0.0899</v>
      </c>
    </row>
    <row r="111" ht="15.75" customHeight="1">
      <c r="C111" s="2" t="str">
        <f>IFERROR(__xludf.DUMMYFUNCTION("""COMPUTED_VALUE"""),"Montenegro [+]")</f>
        <v>Montenegro [+]</v>
      </c>
      <c r="D111" s="2">
        <f>IFERROR(__xludf.DUMMYFUNCTION("""COMPUTED_VALUE"""),2015.0)</f>
        <v>2015</v>
      </c>
      <c r="E111" s="2">
        <f>IFERROR(__xludf.DUMMYFUNCTION("""COMPUTED_VALUE"""),23.0)</f>
        <v>23</v>
      </c>
      <c r="F111" s="2">
        <f>IFERROR(__xludf.DUMMYFUNCTION("""COMPUTED_VALUE"""),46.0)</f>
        <v>46</v>
      </c>
      <c r="G111" s="2">
        <f>IFERROR(__xludf.DUMMYFUNCTION("""COMPUTED_VALUE"""),69.0)</f>
        <v>69</v>
      </c>
      <c r="H111" s="2">
        <f>IFERROR(__xludf.DUMMYFUNCTION("""COMPUTED_VALUE"""),7.19)</f>
        <v>7.19</v>
      </c>
      <c r="I111" s="7">
        <f>IFERROR(__xludf.DUMMYFUNCTION("""COMPUTED_VALUE"""),15.03)</f>
        <v>15.03</v>
      </c>
      <c r="J111" s="2">
        <f>IFERROR(__xludf.DUMMYFUNCTION("""COMPUTED_VALUE"""),11.07)</f>
        <v>11.07</v>
      </c>
      <c r="K111" s="8">
        <f>IFERROR(__xludf.DUMMYFUNCTION("""COMPUTED_VALUE"""),0.0018)</f>
        <v>0.0018</v>
      </c>
    </row>
    <row r="112" ht="15.75" customHeight="1">
      <c r="C112" s="2" t="str">
        <f>IFERROR(__xludf.DUMMYFUNCTION("""COMPUTED_VALUE"""),"Madagascar [+]")</f>
        <v>Madagascar [+]</v>
      </c>
      <c r="D112" s="2">
        <f>IFERROR(__xludf.DUMMYFUNCTION("""COMPUTED_VALUE"""),2015.0)</f>
        <v>2015</v>
      </c>
      <c r="E112" s="2">
        <f>IFERROR(__xludf.DUMMYFUNCTION("""COMPUTED_VALUE"""),296.0)</f>
        <v>296</v>
      </c>
      <c r="F112" s="2">
        <f>IFERROR(__xludf.DUMMYFUNCTION("""COMPUTED_VALUE"""),830.0)</f>
        <v>830</v>
      </c>
      <c r="G112" s="6">
        <f>IFERROR(__xludf.DUMMYFUNCTION("""COMPUTED_VALUE"""),1126.0)</f>
        <v>1126</v>
      </c>
      <c r="H112" s="2">
        <f>IFERROR(__xludf.DUMMYFUNCTION("""COMPUTED_VALUE"""),2.43)</f>
        <v>2.43</v>
      </c>
      <c r="I112" s="7">
        <f>IFERROR(__xludf.DUMMYFUNCTION("""COMPUTED_VALUE"""),6.87)</f>
        <v>6.87</v>
      </c>
      <c r="J112" s="2">
        <f>IFERROR(__xludf.DUMMYFUNCTION("""COMPUTED_VALUE"""),4.79)</f>
        <v>4.79</v>
      </c>
      <c r="K112" s="8">
        <f>IFERROR(__xludf.DUMMYFUNCTION("""COMPUTED_VALUE"""),-0.0439)</f>
        <v>-0.0439</v>
      </c>
    </row>
    <row r="113" ht="15.75" customHeight="1">
      <c r="C113" s="2" t="str">
        <f>IFERROR(__xludf.DUMMYFUNCTION("""COMPUTED_VALUE"""),"Macedonia del Norte [+]")</f>
        <v>Macedonia del Norte [+]</v>
      </c>
      <c r="D113" s="2">
        <f>IFERROR(__xludf.DUMMYFUNCTION("""COMPUTED_VALUE"""),2010.0)</f>
        <v>2010</v>
      </c>
      <c r="E113" s="2">
        <f>IFERROR(__xludf.DUMMYFUNCTION("""COMPUTED_VALUE"""),35.0)</f>
        <v>35</v>
      </c>
      <c r="F113" s="2">
        <f>IFERROR(__xludf.DUMMYFUNCTION("""COMPUTED_VALUE"""),87.0)</f>
        <v>87</v>
      </c>
      <c r="G113" s="2">
        <f>IFERROR(__xludf.DUMMYFUNCTION("""COMPUTED_VALUE"""),122.0)</f>
        <v>122</v>
      </c>
      <c r="H113" s="2">
        <f>IFERROR(__xludf.DUMMYFUNCTION("""COMPUTED_VALUE"""),3.4)</f>
        <v>3.4</v>
      </c>
      <c r="I113" s="7">
        <f>IFERROR(__xludf.DUMMYFUNCTION("""COMPUTED_VALUE"""),8.4)</f>
        <v>8.4</v>
      </c>
      <c r="J113" s="2">
        <f>IFERROR(__xludf.DUMMYFUNCTION("""COMPUTED_VALUE"""),5.9)</f>
        <v>5.9</v>
      </c>
      <c r="K113" s="8">
        <f>IFERROR(__xludf.DUMMYFUNCTION("""COMPUTED_VALUE"""),-0.2716)</f>
        <v>-0.2716</v>
      </c>
    </row>
    <row r="114" ht="15.75" customHeight="1">
      <c r="C114" s="2" t="str">
        <f>IFERROR(__xludf.DUMMYFUNCTION("""COMPUTED_VALUE"""),"Malí [+]")</f>
        <v>Malí [+]</v>
      </c>
      <c r="D114" s="2">
        <f>IFERROR(__xludf.DUMMYFUNCTION("""COMPUTED_VALUE"""),2015.0)</f>
        <v>2015</v>
      </c>
      <c r="E114" s="2">
        <f>IFERROR(__xludf.DUMMYFUNCTION("""COMPUTED_VALUE"""),332.0)</f>
        <v>332</v>
      </c>
      <c r="F114" s="2">
        <f>IFERROR(__xludf.DUMMYFUNCTION("""COMPUTED_VALUE"""),679.0)</f>
        <v>679</v>
      </c>
      <c r="G114" s="6">
        <f>IFERROR(__xludf.DUMMYFUNCTION("""COMPUTED_VALUE"""),1011.0)</f>
        <v>1011</v>
      </c>
      <c r="H114" s="2">
        <f>IFERROR(__xludf.DUMMYFUNCTION("""COMPUTED_VALUE"""),3.8)</f>
        <v>3.8</v>
      </c>
      <c r="I114" s="7">
        <f>IFERROR(__xludf.DUMMYFUNCTION("""COMPUTED_VALUE"""),7.79)</f>
        <v>7.79</v>
      </c>
      <c r="J114" s="2">
        <f>IFERROR(__xludf.DUMMYFUNCTION("""COMPUTED_VALUE"""),5.8)</f>
        <v>5.8</v>
      </c>
      <c r="K114" s="8">
        <f>IFERROR(__xludf.DUMMYFUNCTION("""COMPUTED_VALUE"""),-0.0203)</f>
        <v>-0.0203</v>
      </c>
    </row>
    <row r="115" ht="15.75" customHeight="1">
      <c r="C115" s="2" t="str">
        <f>IFERROR(__xludf.DUMMYFUNCTION("""COMPUTED_VALUE"""),"Myanmar [+]")</f>
        <v>Myanmar [+]</v>
      </c>
      <c r="D115" s="2">
        <f>IFERROR(__xludf.DUMMYFUNCTION("""COMPUTED_VALUE"""),2015.0)</f>
        <v>2015</v>
      </c>
      <c r="E115" s="2">
        <f>IFERROR(__xludf.DUMMYFUNCTION("""COMPUTED_VALUE"""),893.0)</f>
        <v>893</v>
      </c>
      <c r="F115" s="6">
        <f>IFERROR(__xludf.DUMMYFUNCTION("""COMPUTED_VALUE"""),1429.0)</f>
        <v>1429</v>
      </c>
      <c r="G115" s="6">
        <f>IFERROR(__xludf.DUMMYFUNCTION("""COMPUTED_VALUE"""),2323.0)</f>
        <v>2323</v>
      </c>
      <c r="H115" s="2">
        <f>IFERROR(__xludf.DUMMYFUNCTION("""COMPUTED_VALUE"""),3.27)</f>
        <v>3.27</v>
      </c>
      <c r="I115" s="7">
        <f>IFERROR(__xludf.DUMMYFUNCTION("""COMPUTED_VALUE"""),5.63)</f>
        <v>5.63</v>
      </c>
      <c r="J115" s="2">
        <f>IFERROR(__xludf.DUMMYFUNCTION("""COMPUTED_VALUE"""),4.54)</f>
        <v>4.54</v>
      </c>
      <c r="K115" s="8">
        <f>IFERROR(__xludf.DUMMYFUNCTION("""COMPUTED_VALUE"""),0.0365)</f>
        <v>0.0365</v>
      </c>
    </row>
    <row r="116" ht="15.75" customHeight="1">
      <c r="C116" s="2" t="str">
        <f>IFERROR(__xludf.DUMMYFUNCTION("""COMPUTED_VALUE"""),"Mongolia [+]")</f>
        <v>Mongolia [+]</v>
      </c>
      <c r="D116" s="2">
        <f>IFERROR(__xludf.DUMMYFUNCTION("""COMPUTED_VALUE"""),2015.0)</f>
        <v>2015</v>
      </c>
      <c r="E116" s="2">
        <f>IFERROR(__xludf.DUMMYFUNCTION("""COMPUTED_VALUE"""),136.0)</f>
        <v>136</v>
      </c>
      <c r="F116" s="2">
        <f>IFERROR(__xludf.DUMMYFUNCTION("""COMPUTED_VALUE"""),700.0)</f>
        <v>700</v>
      </c>
      <c r="G116" s="2">
        <f>IFERROR(__xludf.DUMMYFUNCTION("""COMPUTED_VALUE"""),836.0)</f>
        <v>836</v>
      </c>
      <c r="H116" s="2">
        <f>IFERROR(__xludf.DUMMYFUNCTION("""COMPUTED_VALUE"""),9.0)</f>
        <v>9</v>
      </c>
      <c r="I116" s="7">
        <f>IFERROR(__xludf.DUMMYFUNCTION("""COMPUTED_VALUE"""),47.23)</f>
        <v>47.23</v>
      </c>
      <c r="J116" s="2">
        <f>IFERROR(__xludf.DUMMYFUNCTION("""COMPUTED_VALUE"""),27.35)</f>
        <v>27.35</v>
      </c>
      <c r="K116" s="8">
        <f>IFERROR(__xludf.DUMMYFUNCTION("""COMPUTED_VALUE"""),-0.0267)</f>
        <v>-0.0267</v>
      </c>
    </row>
    <row r="117" ht="15.75" customHeight="1">
      <c r="C117" s="2" t="str">
        <f>IFERROR(__xludf.DUMMYFUNCTION("""COMPUTED_VALUE"""),"Mauritania [+]")</f>
        <v>Mauritania [+]</v>
      </c>
      <c r="D117" s="2">
        <f>IFERROR(__xludf.DUMMYFUNCTION("""COMPUTED_VALUE"""),2015.0)</f>
        <v>2015</v>
      </c>
      <c r="E117" s="2">
        <f>IFERROR(__xludf.DUMMYFUNCTION("""COMPUTED_VALUE"""),71.0)</f>
        <v>71</v>
      </c>
      <c r="F117" s="2">
        <f>IFERROR(__xludf.DUMMYFUNCTION("""COMPUTED_VALUE"""),169.0)</f>
        <v>169</v>
      </c>
      <c r="G117" s="2">
        <f>IFERROR(__xludf.DUMMYFUNCTION("""COMPUTED_VALUE"""),240.0)</f>
        <v>240</v>
      </c>
      <c r="H117" s="2">
        <f>IFERROR(__xludf.DUMMYFUNCTION("""COMPUTED_VALUE"""),3.51)</f>
        <v>3.51</v>
      </c>
      <c r="I117" s="7">
        <f>IFERROR(__xludf.DUMMYFUNCTION("""COMPUTED_VALUE"""),8.33)</f>
        <v>8.33</v>
      </c>
      <c r="J117" s="2">
        <f>IFERROR(__xludf.DUMMYFUNCTION("""COMPUTED_VALUE"""),5.92)</f>
        <v>5.92</v>
      </c>
      <c r="K117" s="8">
        <f>IFERROR(__xludf.DUMMYFUNCTION("""COMPUTED_VALUE"""),-0.0736)</f>
        <v>-0.0736</v>
      </c>
    </row>
    <row r="118" ht="15.75" customHeight="1">
      <c r="C118" s="2" t="str">
        <f>IFERROR(__xludf.DUMMYFUNCTION("""COMPUTED_VALUE"""),"Malta [+]")</f>
        <v>Malta [+]</v>
      </c>
      <c r="D118" s="2">
        <f>IFERROR(__xludf.DUMMYFUNCTION("""COMPUTED_VALUE"""),2019.0)</f>
        <v>2019</v>
      </c>
      <c r="E118" s="5">
        <f>IFERROR(__xludf.DUMMYFUNCTION("""COMPUTED_VALUE"""),1.0)</f>
        <v>1</v>
      </c>
      <c r="F118" s="5">
        <f>IFERROR(__xludf.DUMMYFUNCTION("""COMPUTED_VALUE"""),21.0)</f>
        <v>21</v>
      </c>
      <c r="G118" s="2">
        <f>IFERROR(__xludf.DUMMYFUNCTION("""COMPUTED_VALUE"""),22.0)</f>
        <v>22</v>
      </c>
      <c r="H118" s="2">
        <f>IFERROR(__xludf.DUMMYFUNCTION("""COMPUTED_VALUE"""),0.41)</f>
        <v>0.41</v>
      </c>
      <c r="I118" s="7">
        <f>IFERROR(__xludf.DUMMYFUNCTION("""COMPUTED_VALUE"""),7.73)</f>
        <v>7.73</v>
      </c>
      <c r="J118" s="2">
        <f>IFERROR(__xludf.DUMMYFUNCTION("""COMPUTED_VALUE"""),4.17)</f>
        <v>4.17</v>
      </c>
      <c r="K118" s="8">
        <f>IFERROR(__xludf.DUMMYFUNCTION("""COMPUTED_VALUE"""),-0.0815)</f>
        <v>-0.0815</v>
      </c>
    </row>
    <row r="119" ht="15.75" customHeight="1">
      <c r="C119" s="2" t="str">
        <f>IFERROR(__xludf.DUMMYFUNCTION("""COMPUTED_VALUE"""),"Mauricio [+]")</f>
        <v>Mauricio [+]</v>
      </c>
      <c r="D119" s="2">
        <f>IFERROR(__xludf.DUMMYFUNCTION("""COMPUTED_VALUE"""),2015.0)</f>
        <v>2015</v>
      </c>
      <c r="E119" s="5">
        <f>IFERROR(__xludf.DUMMYFUNCTION("""COMPUTED_VALUE"""),24.0)</f>
        <v>24</v>
      </c>
      <c r="F119" s="2">
        <f>IFERROR(__xludf.DUMMYFUNCTION("""COMPUTED_VALUE"""),95.0)</f>
        <v>95</v>
      </c>
      <c r="G119" s="2">
        <f>IFERROR(__xludf.DUMMYFUNCTION("""COMPUTED_VALUE"""),119.0)</f>
        <v>119</v>
      </c>
      <c r="H119" s="2">
        <f>IFERROR(__xludf.DUMMYFUNCTION("""COMPUTED_VALUE"""),3.77)</f>
        <v>3.77</v>
      </c>
      <c r="I119" s="7">
        <f>IFERROR(__xludf.DUMMYFUNCTION("""COMPUTED_VALUE"""),15.16)</f>
        <v>15.16</v>
      </c>
      <c r="J119" s="2">
        <f>IFERROR(__xludf.DUMMYFUNCTION("""COMPUTED_VALUE"""),9.41)</f>
        <v>9.41</v>
      </c>
      <c r="K119" s="8">
        <f>IFERROR(__xludf.DUMMYFUNCTION("""COMPUTED_VALUE"""),-0.0683)</f>
        <v>-0.0683</v>
      </c>
    </row>
    <row r="120" ht="15.75" customHeight="1">
      <c r="C120" s="2" t="str">
        <f>IFERROR(__xludf.DUMMYFUNCTION("""COMPUTED_VALUE"""),"Maldivas [+]")</f>
        <v>Maldivas [+]</v>
      </c>
      <c r="D120" s="2">
        <f>IFERROR(__xludf.DUMMYFUNCTION("""COMPUTED_VALUE"""),2015.0)</f>
        <v>2015</v>
      </c>
      <c r="E120" s="2">
        <f>IFERROR(__xludf.DUMMYFUNCTION("""COMPUTED_VALUE"""),12.0)</f>
        <v>12</v>
      </c>
      <c r="F120" s="2">
        <f>IFERROR(__xludf.DUMMYFUNCTION("""COMPUTED_VALUE"""),19.0)</f>
        <v>19</v>
      </c>
      <c r="G120" s="2">
        <f>IFERROR(__xludf.DUMMYFUNCTION("""COMPUTED_VALUE"""),31.0)</f>
        <v>31</v>
      </c>
      <c r="H120" s="2">
        <f>IFERROR(__xludf.DUMMYFUNCTION("""COMPUTED_VALUE"""),6.47)</f>
        <v>6.47</v>
      </c>
      <c r="I120" s="7">
        <f>IFERROR(__xludf.DUMMYFUNCTION("""COMPUTED_VALUE"""),7.18)</f>
        <v>7.18</v>
      </c>
      <c r="J120" s="2">
        <f>IFERROR(__xludf.DUMMYFUNCTION("""COMPUTED_VALUE"""),6.89)</f>
        <v>6.89</v>
      </c>
      <c r="K120" s="8">
        <f>IFERROR(__xludf.DUMMYFUNCTION("""COMPUTED_VALUE"""),-0.2551)</f>
        <v>-0.2551</v>
      </c>
    </row>
    <row r="121" ht="15.75" customHeight="1">
      <c r="C121" s="2" t="str">
        <f>IFERROR(__xludf.DUMMYFUNCTION("""COMPUTED_VALUE"""),"Malaui [+]")</f>
        <v>Malaui [+]</v>
      </c>
      <c r="D121" s="2">
        <f>IFERROR(__xludf.DUMMYFUNCTION("""COMPUTED_VALUE"""),2015.0)</f>
        <v>2015</v>
      </c>
      <c r="E121" s="2">
        <f>IFERROR(__xludf.DUMMYFUNCTION("""COMPUTED_VALUE"""),218.0)</f>
        <v>218</v>
      </c>
      <c r="F121" s="2">
        <f>IFERROR(__xludf.DUMMYFUNCTION("""COMPUTED_VALUE"""),728.0)</f>
        <v>728</v>
      </c>
      <c r="G121" s="2">
        <f>IFERROR(__xludf.DUMMYFUNCTION("""COMPUTED_VALUE"""),947.0)</f>
        <v>947</v>
      </c>
      <c r="H121" s="2">
        <f>IFERROR(__xludf.DUMMYFUNCTION("""COMPUTED_VALUE"""),2.57)</f>
        <v>2.57</v>
      </c>
      <c r="I121" s="7">
        <f>IFERROR(__xludf.DUMMYFUNCTION("""COMPUTED_VALUE"""),8.83)</f>
        <v>8.83</v>
      </c>
      <c r="J121" s="2">
        <f>IFERROR(__xludf.DUMMYFUNCTION("""COMPUTED_VALUE"""),5.23)</f>
        <v>5.23</v>
      </c>
      <c r="K121" s="8">
        <f>IFERROR(__xludf.DUMMYFUNCTION("""COMPUTED_VALUE"""),0.0155)</f>
        <v>0.0155</v>
      </c>
    </row>
    <row r="122" ht="15.75" customHeight="1">
      <c r="C122" s="2" t="str">
        <f>IFERROR(__xludf.DUMMYFUNCTION("""COMPUTED_VALUE"""),"México [+]")</f>
        <v>México [+]</v>
      </c>
      <c r="D122" s="2">
        <f>IFERROR(__xludf.DUMMYFUNCTION("""COMPUTED_VALUE"""),2020.0)</f>
        <v>2020</v>
      </c>
      <c r="E122" s="6">
        <f>IFERROR(__xludf.DUMMYFUNCTION("""COMPUTED_VALUE"""),1424.0)</f>
        <v>1424</v>
      </c>
      <c r="F122" s="6">
        <f>IFERROR(__xludf.DUMMYFUNCTION("""COMPUTED_VALUE"""),6386.0)</f>
        <v>6386</v>
      </c>
      <c r="G122" s="6">
        <f>IFERROR(__xludf.DUMMYFUNCTION("""COMPUTED_VALUE"""),7896.0)</f>
        <v>7896</v>
      </c>
      <c r="H122" s="2">
        <f>IFERROR(__xludf.DUMMYFUNCTION("""COMPUTED_VALUE"""),2.2)</f>
        <v>2.2</v>
      </c>
      <c r="I122" s="7">
        <f>IFERROR(__xludf.DUMMYFUNCTION("""COMPUTED_VALUE"""),10.2)</f>
        <v>10.2</v>
      </c>
      <c r="J122" s="2">
        <f>IFERROR(__xludf.DUMMYFUNCTION("""COMPUTED_VALUE"""),6.1)</f>
        <v>6.1</v>
      </c>
      <c r="K122" s="8">
        <f>IFERROR(__xludf.DUMMYFUNCTION("""COMPUTED_VALUE"""),0.0893)</f>
        <v>0.0893</v>
      </c>
    </row>
    <row r="123" ht="15.75" customHeight="1">
      <c r="C123" s="4" t="str">
        <f>IFERROR(__xludf.DUMMYFUNCTION("""COMPUTED_VALUE"""),"Malasia [+]")</f>
        <v>Malasia [+]</v>
      </c>
      <c r="D123" s="4">
        <f>IFERROR(__xludf.DUMMYFUNCTION("""COMPUTED_VALUE"""),2015.0)</f>
        <v>2015</v>
      </c>
      <c r="E123" s="4">
        <f>IFERROR(__xludf.DUMMYFUNCTION("""COMPUTED_VALUE"""),435.0)</f>
        <v>435</v>
      </c>
      <c r="F123" s="9">
        <f>IFERROR(__xludf.DUMMYFUNCTION("""COMPUTED_VALUE"""),1317.0)</f>
        <v>1317</v>
      </c>
      <c r="G123" s="9">
        <f>IFERROR(__xludf.DUMMYFUNCTION("""COMPUTED_VALUE"""),1752.0)</f>
        <v>1752</v>
      </c>
      <c r="H123" s="4">
        <f>IFERROR(__xludf.DUMMYFUNCTION("""COMPUTED_VALUE"""),2.96)</f>
        <v>2.96</v>
      </c>
      <c r="I123" s="4">
        <f>IFERROR(__xludf.DUMMYFUNCTION("""COMPUTED_VALUE"""),8.45)</f>
        <v>8.45</v>
      </c>
      <c r="J123" s="4">
        <f>IFERROR(__xludf.DUMMYFUNCTION("""COMPUTED_VALUE"""),5.62)</f>
        <v>5.62</v>
      </c>
      <c r="K123" s="8">
        <f>IFERROR(__xludf.DUMMYFUNCTION("""COMPUTED_VALUE"""),0.0237)</f>
        <v>0.0237</v>
      </c>
    </row>
    <row r="124" ht="15.75" customHeight="1">
      <c r="C124" s="4" t="str">
        <f>IFERROR(__xludf.DUMMYFUNCTION("""COMPUTED_VALUE"""),"Mozambique [+]")</f>
        <v>Mozambique [+]</v>
      </c>
      <c r="D124" s="4">
        <f>IFERROR(__xludf.DUMMYFUNCTION("""COMPUTED_VALUE"""),2015.0)</f>
        <v>2015</v>
      </c>
      <c r="E124" s="4">
        <f>IFERROR(__xludf.DUMMYFUNCTION("""COMPUTED_VALUE"""),654.0)</f>
        <v>654</v>
      </c>
      <c r="F124" s="9">
        <f>IFERROR(__xludf.DUMMYFUNCTION("""COMPUTED_VALUE"""),1687.0)</f>
        <v>1687</v>
      </c>
      <c r="G124" s="9">
        <f>IFERROR(__xludf.DUMMYFUNCTION("""COMPUTED_VALUE"""),2341.0)</f>
        <v>2341</v>
      </c>
      <c r="H124" s="4">
        <f>IFERROR(__xludf.DUMMYFUNCTION("""COMPUTED_VALUE"""),4.69)</f>
        <v>4.69</v>
      </c>
      <c r="I124" s="4">
        <f>IFERROR(__xludf.DUMMYFUNCTION("""COMPUTED_VALUE"""),12.88)</f>
        <v>12.88</v>
      </c>
      <c r="J124" s="4">
        <f>IFERROR(__xludf.DUMMYFUNCTION("""COMPUTED_VALUE"""),8.66)</f>
        <v>8.66</v>
      </c>
      <c r="K124" s="8">
        <f>IFERROR(__xludf.DUMMYFUNCTION("""COMPUTED_VALUE"""),-0.0069)</f>
        <v>-0.0069</v>
      </c>
    </row>
    <row r="125" ht="15.75" customHeight="1">
      <c r="C125" s="4" t="str">
        <f>IFERROR(__xludf.DUMMYFUNCTION("""COMPUTED_VALUE"""),"Namibia [+]")</f>
        <v>Namibia [+]</v>
      </c>
      <c r="D125" s="4">
        <f>IFERROR(__xludf.DUMMYFUNCTION("""COMPUTED_VALUE"""),2015.0)</f>
        <v>2015</v>
      </c>
      <c r="E125" s="4">
        <f>IFERROR(__xludf.DUMMYFUNCTION("""COMPUTED_VALUE"""),48.0)</f>
        <v>48</v>
      </c>
      <c r="F125" s="4">
        <f>IFERROR(__xludf.DUMMYFUNCTION("""COMPUTED_VALUE"""),141.0)</f>
        <v>141</v>
      </c>
      <c r="G125" s="4">
        <f>IFERROR(__xludf.DUMMYFUNCTION("""COMPUTED_VALUE"""),188.0)</f>
        <v>188</v>
      </c>
      <c r="H125" s="4">
        <f>IFERROR(__xludf.DUMMYFUNCTION("""COMPUTED_VALUE"""),3.98)</f>
        <v>3.98</v>
      </c>
      <c r="I125" s="4">
        <f>IFERROR(__xludf.DUMMYFUNCTION("""COMPUTED_VALUE"""),12.54)</f>
        <v>12.54</v>
      </c>
      <c r="J125" s="4">
        <f>IFERROR(__xludf.DUMMYFUNCTION("""COMPUTED_VALUE"""),8.24)</f>
        <v>8.24</v>
      </c>
      <c r="K125" s="8">
        <f>IFERROR(__xludf.DUMMYFUNCTION("""COMPUTED_VALUE"""),-0.0167)</f>
        <v>-0.0167</v>
      </c>
    </row>
    <row r="126" ht="15.75" customHeight="1">
      <c r="C126" s="4" t="str">
        <f>IFERROR(__xludf.DUMMYFUNCTION("""COMPUTED_VALUE"""),"Níger [+]")</f>
        <v>Níger [+]</v>
      </c>
      <c r="D126" s="4">
        <f>IFERROR(__xludf.DUMMYFUNCTION("""COMPUTED_VALUE"""),2015.0)</f>
        <v>2015</v>
      </c>
      <c r="E126" s="4">
        <f>IFERROR(__xludf.DUMMYFUNCTION("""COMPUTED_VALUE"""),270.0)</f>
        <v>270</v>
      </c>
      <c r="F126" s="4">
        <f>IFERROR(__xludf.DUMMYFUNCTION("""COMPUTED_VALUE"""),552.0)</f>
        <v>552</v>
      </c>
      <c r="G126" s="4">
        <f>IFERROR(__xludf.DUMMYFUNCTION("""COMPUTED_VALUE"""),822.0)</f>
        <v>822</v>
      </c>
      <c r="H126" s="4">
        <f>IFERROR(__xludf.DUMMYFUNCTION("""COMPUTED_VALUE"""),2.71)</f>
        <v>2.71</v>
      </c>
      <c r="I126" s="4">
        <f>IFERROR(__xludf.DUMMYFUNCTION("""COMPUTED_VALUE"""),5.5)</f>
        <v>5.5</v>
      </c>
      <c r="J126" s="4">
        <f>IFERROR(__xludf.DUMMYFUNCTION("""COMPUTED_VALUE"""),4.11)</f>
        <v>4.11</v>
      </c>
      <c r="K126" s="8">
        <f>IFERROR(__xludf.DUMMYFUNCTION("""COMPUTED_VALUE"""),-0.0167)</f>
        <v>-0.0167</v>
      </c>
    </row>
    <row r="127" ht="15.75" customHeight="1">
      <c r="C127" s="4" t="str">
        <f>IFERROR(__xludf.DUMMYFUNCTION("""COMPUTED_VALUE"""),"Nigeria [+]")</f>
        <v>Nigeria [+]</v>
      </c>
      <c r="D127" s="4">
        <f>IFERROR(__xludf.DUMMYFUNCTION("""COMPUTED_VALUE"""),2015.0)</f>
        <v>2015</v>
      </c>
      <c r="E127" s="9">
        <f>IFERROR(__xludf.DUMMYFUNCTION("""COMPUTED_VALUE"""),5477.0)</f>
        <v>5477</v>
      </c>
      <c r="F127" s="9">
        <f>IFERROR(__xludf.DUMMYFUNCTION("""COMPUTED_VALUE"""),12618.0)</f>
        <v>12618</v>
      </c>
      <c r="G127" s="9">
        <f>IFERROR(__xludf.DUMMYFUNCTION("""COMPUTED_VALUE"""),18095.0)</f>
        <v>18095</v>
      </c>
      <c r="H127" s="4">
        <f>IFERROR(__xludf.DUMMYFUNCTION("""COMPUTED_VALUE"""),6.13)</f>
        <v>6.13</v>
      </c>
      <c r="I127" s="4">
        <f>IFERROR(__xludf.DUMMYFUNCTION("""COMPUTED_VALUE"""),13.76)</f>
        <v>13.76</v>
      </c>
      <c r="J127" s="4">
        <f>IFERROR(__xludf.DUMMYFUNCTION("""COMPUTED_VALUE"""),9.99)</f>
        <v>9.99</v>
      </c>
      <c r="K127" s="8">
        <f>IFERROR(__xludf.DUMMYFUNCTION("""COMPUTED_VALUE"""),-0.0089)</f>
        <v>-0.0089</v>
      </c>
    </row>
    <row r="128" ht="15.75" customHeight="1">
      <c r="C128" s="4" t="str">
        <f>IFERROR(__xludf.DUMMYFUNCTION("""COMPUTED_VALUE"""),"Nicaragua [+]")</f>
        <v>Nicaragua [+]</v>
      </c>
      <c r="D128" s="4">
        <f>IFERROR(__xludf.DUMMYFUNCTION("""COMPUTED_VALUE"""),2015.0)</f>
        <v>2015</v>
      </c>
      <c r="E128" s="4">
        <f>IFERROR(__xludf.DUMMYFUNCTION("""COMPUTED_VALUE"""),134.0)</f>
        <v>134</v>
      </c>
      <c r="F128" s="4">
        <f>IFERROR(__xludf.DUMMYFUNCTION("""COMPUTED_VALUE"""),443.0)</f>
        <v>443</v>
      </c>
      <c r="G128" s="4">
        <f>IFERROR(__xludf.DUMMYFUNCTION("""COMPUTED_VALUE"""),577.0)</f>
        <v>577</v>
      </c>
      <c r="H128" s="4">
        <f>IFERROR(__xludf.DUMMYFUNCTION("""COMPUTED_VALUE"""),4.25)</f>
        <v>4.25</v>
      </c>
      <c r="I128" s="4">
        <f>IFERROR(__xludf.DUMMYFUNCTION("""COMPUTED_VALUE"""),14.44)</f>
        <v>14.44</v>
      </c>
      <c r="J128" s="4">
        <f>IFERROR(__xludf.DUMMYFUNCTION("""COMPUTED_VALUE"""),9.18)</f>
        <v>9.18</v>
      </c>
      <c r="K128" s="8">
        <f>IFERROR(__xludf.DUMMYFUNCTION("""COMPUTED_VALUE"""),-0.0192)</f>
        <v>-0.0192</v>
      </c>
    </row>
    <row r="129" ht="15.75" customHeight="1">
      <c r="C129" s="4" t="str">
        <f>IFERROR(__xludf.DUMMYFUNCTION("""COMPUTED_VALUE"""),"Países Bajos [+]")</f>
        <v>Países Bajos [+]</v>
      </c>
      <c r="D129" s="4">
        <f>IFERROR(__xludf.DUMMYFUNCTION("""COMPUTED_VALUE"""),2020.0)</f>
        <v>2020</v>
      </c>
      <c r="E129" s="4">
        <f>IFERROR(__xludf.DUMMYFUNCTION("""COMPUTED_VALUE"""),607.0)</f>
        <v>607</v>
      </c>
      <c r="F129" s="9">
        <f>IFERROR(__xludf.DUMMYFUNCTION("""COMPUTED_VALUE"""),1302.0)</f>
        <v>1302</v>
      </c>
      <c r="G129" s="9">
        <f>IFERROR(__xludf.DUMMYFUNCTION("""COMPUTED_VALUE"""),1910.0)</f>
        <v>1910</v>
      </c>
      <c r="H129" s="4">
        <f>IFERROR(__xludf.DUMMYFUNCTION("""COMPUTED_VALUE"""),6.8)</f>
        <v>6.8</v>
      </c>
      <c r="I129" s="4">
        <f>IFERROR(__xludf.DUMMYFUNCTION("""COMPUTED_VALUE"""),14.2)</f>
        <v>14.2</v>
      </c>
      <c r="J129" s="4">
        <f>IFERROR(__xludf.DUMMYFUNCTION("""COMPUTED_VALUE"""),10.5)</f>
        <v>10.5</v>
      </c>
      <c r="K129" s="8">
        <f>IFERROR(__xludf.DUMMYFUNCTION("""COMPUTED_VALUE"""),-0.0019)</f>
        <v>-0.0019</v>
      </c>
    </row>
    <row r="130" ht="15.75" customHeight="1">
      <c r="C130" s="4" t="str">
        <f>IFERROR(__xludf.DUMMYFUNCTION("""COMPUTED_VALUE"""),"Noruega [+]")</f>
        <v>Noruega [+]</v>
      </c>
      <c r="D130" s="4">
        <f>IFERROR(__xludf.DUMMYFUNCTION("""COMPUTED_VALUE"""),2020.0)</f>
        <v>2020</v>
      </c>
      <c r="E130" s="4">
        <f>IFERROR(__xludf.DUMMYFUNCTION("""COMPUTED_VALUE"""),170.0)</f>
        <v>170</v>
      </c>
      <c r="F130" s="4">
        <f>IFERROR(__xludf.DUMMYFUNCTION("""COMPUTED_VALUE"""),476.0)</f>
        <v>476</v>
      </c>
      <c r="G130" s="4">
        <f>IFERROR(__xludf.DUMMYFUNCTION("""COMPUTED_VALUE"""),648.0)</f>
        <v>648</v>
      </c>
      <c r="H130" s="4">
        <f>IFERROR(__xludf.DUMMYFUNCTION("""COMPUTED_VALUE"""),6.36)</f>
        <v>6.36</v>
      </c>
      <c r="I130" s="4">
        <f>IFERROR(__xludf.DUMMYFUNCTION("""COMPUTED_VALUE"""),17.5)</f>
        <v>17.5</v>
      </c>
      <c r="J130" s="4">
        <f>IFERROR(__xludf.DUMMYFUNCTION("""COMPUTED_VALUE"""),12.02)</f>
        <v>12.02</v>
      </c>
      <c r="K130" s="8">
        <f>IFERROR(__xludf.DUMMYFUNCTION("""COMPUTED_VALUE"""),-0.0139)</f>
        <v>-0.0139</v>
      </c>
    </row>
    <row r="131" ht="15.75" customHeight="1">
      <c r="C131" s="4" t="str">
        <f>IFERROR(__xludf.DUMMYFUNCTION("""COMPUTED_VALUE"""),"Nepal [+]")</f>
        <v>Nepal [+]</v>
      </c>
      <c r="D131" s="4">
        <f>IFERROR(__xludf.DUMMYFUNCTION("""COMPUTED_VALUE"""),2015.0)</f>
        <v>2015</v>
      </c>
      <c r="E131" s="4">
        <f>IFERROR(__xludf.DUMMYFUNCTION("""COMPUTED_VALUE"""),812.0)</f>
        <v>812</v>
      </c>
      <c r="F131" s="4">
        <f>IFERROR(__xludf.DUMMYFUNCTION("""COMPUTED_VALUE"""),897.0)</f>
        <v>897</v>
      </c>
      <c r="G131" s="9">
        <f>IFERROR(__xludf.DUMMYFUNCTION("""COMPUTED_VALUE"""),1709.0)</f>
        <v>1709</v>
      </c>
      <c r="H131" s="4">
        <f>IFERROR(__xludf.DUMMYFUNCTION("""COMPUTED_VALUE"""),5.55)</f>
        <v>5.55</v>
      </c>
      <c r="I131" s="4">
        <f>IFERROR(__xludf.DUMMYFUNCTION("""COMPUTED_VALUE"""),7.24)</f>
        <v>7.24</v>
      </c>
      <c r="J131" s="4">
        <f>IFERROR(__xludf.DUMMYFUNCTION("""COMPUTED_VALUE"""),6.33)</f>
        <v>6.33</v>
      </c>
      <c r="K131" s="8">
        <f>IFERROR(__xludf.DUMMYFUNCTION("""COMPUTED_VALUE"""),-0.014)</f>
        <v>-0.014</v>
      </c>
    </row>
    <row r="132" ht="15.75" customHeight="1">
      <c r="C132" s="4" t="str">
        <f>IFERROR(__xludf.DUMMYFUNCTION("""COMPUTED_VALUE"""),"Nueva Zelanda [+]")</f>
        <v>Nueva Zelanda [+]</v>
      </c>
      <c r="D132" s="4">
        <f>IFERROR(__xludf.DUMMYFUNCTION("""COMPUTED_VALUE"""),2016.0)</f>
        <v>2016</v>
      </c>
      <c r="E132" s="4">
        <f>IFERROR(__xludf.DUMMYFUNCTION("""COMPUTED_VALUE"""),145.0)</f>
        <v>145</v>
      </c>
      <c r="F132" s="4">
        <f>IFERROR(__xludf.DUMMYFUNCTION("""COMPUTED_VALUE"""),415.0)</f>
        <v>415</v>
      </c>
      <c r="G132" s="4">
        <f>IFERROR(__xludf.DUMMYFUNCTION("""COMPUTED_VALUE"""),560.0)</f>
        <v>560</v>
      </c>
      <c r="H132" s="4">
        <f>IFERROR(__xludf.DUMMYFUNCTION("""COMPUTED_VALUE"""),6.1)</f>
        <v>6.1</v>
      </c>
      <c r="I132" s="4">
        <f>IFERROR(__xludf.DUMMYFUNCTION("""COMPUTED_VALUE"""),17.8)</f>
        <v>17.8</v>
      </c>
      <c r="J132" s="4">
        <f>IFERROR(__xludf.DUMMYFUNCTION("""COMPUTED_VALUE"""),11.9)</f>
        <v>11.9</v>
      </c>
      <c r="K132" s="8">
        <f>IFERROR(__xludf.DUMMYFUNCTION("""COMPUTED_VALUE"""),0.0348)</f>
        <v>0.0348</v>
      </c>
    </row>
    <row r="133" ht="15.75" customHeight="1">
      <c r="C133" s="4" t="str">
        <f>IFERROR(__xludf.DUMMYFUNCTION("""COMPUTED_VALUE"""),"Omán [+]")</f>
        <v>Omán [+]</v>
      </c>
      <c r="D133" s="4">
        <f>IFERROR(__xludf.DUMMYFUNCTION("""COMPUTED_VALUE"""),2015.0)</f>
        <v>2015</v>
      </c>
      <c r="E133" s="4">
        <f>IFERROR(__xludf.DUMMYFUNCTION("""COMPUTED_VALUE"""),17.0)</f>
        <v>17</v>
      </c>
      <c r="F133" s="4">
        <f>IFERROR(__xludf.DUMMYFUNCTION("""COMPUTED_VALUE"""),232.0)</f>
        <v>232</v>
      </c>
      <c r="G133" s="4">
        <f>IFERROR(__xludf.DUMMYFUNCTION("""COMPUTED_VALUE"""),250.0)</f>
        <v>250</v>
      </c>
      <c r="H133" s="4">
        <f>IFERROR(__xludf.DUMMYFUNCTION("""COMPUTED_VALUE"""),1.18)</f>
        <v>1.18</v>
      </c>
      <c r="I133" s="4">
        <f>IFERROR(__xludf.DUMMYFUNCTION("""COMPUTED_VALUE"""),8.35)</f>
        <v>8.35</v>
      </c>
      <c r="J133" s="4">
        <f>IFERROR(__xludf.DUMMYFUNCTION("""COMPUTED_VALUE"""),6.01)</f>
        <v>6.01</v>
      </c>
      <c r="K133" s="8">
        <f>IFERROR(__xludf.DUMMYFUNCTION("""COMPUTED_VALUE"""),0.0017)</f>
        <v>0.0017</v>
      </c>
    </row>
    <row r="134" ht="15.75" customHeight="1">
      <c r="C134" s="4" t="str">
        <f>IFERROR(__xludf.DUMMYFUNCTION("""COMPUTED_VALUE"""),"Panamá [+]")</f>
        <v>Panamá [+]</v>
      </c>
      <c r="D134" s="4">
        <f>IFERROR(__xludf.DUMMYFUNCTION("""COMPUTED_VALUE"""),2015.0)</f>
        <v>2015</v>
      </c>
      <c r="E134" s="4">
        <f>IFERROR(__xludf.DUMMYFUNCTION("""COMPUTED_VALUE"""),21.0)</f>
        <v>21</v>
      </c>
      <c r="F134" s="4">
        <f>IFERROR(__xludf.DUMMYFUNCTION("""COMPUTED_VALUE"""),195.0)</f>
        <v>195</v>
      </c>
      <c r="G134" s="4">
        <f>IFERROR(__xludf.DUMMYFUNCTION("""COMPUTED_VALUE"""),216.0)</f>
        <v>216</v>
      </c>
      <c r="H134" s="4">
        <f>IFERROR(__xludf.DUMMYFUNCTION("""COMPUTED_VALUE"""),1.08)</f>
        <v>1.08</v>
      </c>
      <c r="I134" s="4">
        <f>IFERROR(__xludf.DUMMYFUNCTION("""COMPUTED_VALUE"""),9.79)</f>
        <v>9.79</v>
      </c>
      <c r="J134" s="4">
        <f>IFERROR(__xludf.DUMMYFUNCTION("""COMPUTED_VALUE"""),5.44)</f>
        <v>5.44</v>
      </c>
      <c r="K134" s="8">
        <f>IFERROR(__xludf.DUMMYFUNCTION("""COMPUTED_VALUE"""),-0.1008)</f>
        <v>-0.1008</v>
      </c>
    </row>
    <row r="135" ht="15.75" customHeight="1">
      <c r="C135" s="4" t="str">
        <f>IFERROR(__xludf.DUMMYFUNCTION("""COMPUTED_VALUE"""),"Perú [+]")</f>
        <v>Perú [+]</v>
      </c>
      <c r="D135" s="4">
        <f>IFERROR(__xludf.DUMMYFUNCTION("""COMPUTED_VALUE"""),2018.0)</f>
        <v>2018</v>
      </c>
      <c r="E135" s="4">
        <f>IFERROR(__xludf.DUMMYFUNCTION("""COMPUTED_VALUE"""),156.0)</f>
        <v>156</v>
      </c>
      <c r="F135" s="4">
        <f>IFERROR(__xludf.DUMMYFUNCTION("""COMPUTED_VALUE"""),371.0)</f>
        <v>371</v>
      </c>
      <c r="G135" s="4">
        <f>IFERROR(__xludf.DUMMYFUNCTION("""COMPUTED_VALUE"""),527.0)</f>
        <v>527</v>
      </c>
      <c r="H135" s="4">
        <f>IFERROR(__xludf.DUMMYFUNCTION("""COMPUTED_VALUE"""),1.0)</f>
        <v>1</v>
      </c>
      <c r="I135" s="4">
        <f>IFERROR(__xludf.DUMMYFUNCTION("""COMPUTED_VALUE"""),2.3)</f>
        <v>2.3</v>
      </c>
      <c r="J135" s="4">
        <f>IFERROR(__xludf.DUMMYFUNCTION("""COMPUTED_VALUE"""),1.6)</f>
        <v>1.6</v>
      </c>
      <c r="K135" s="8">
        <f>IFERROR(__xludf.DUMMYFUNCTION("""COMPUTED_VALUE"""),0.3333)</f>
        <v>0.3333</v>
      </c>
    </row>
    <row r="136" ht="15.75" customHeight="1">
      <c r="C136" s="4" t="str">
        <f>IFERROR(__xludf.DUMMYFUNCTION("""COMPUTED_VALUE"""),"Papúa Nueva Guinea [+]")</f>
        <v>Papúa Nueva Guinea [+]</v>
      </c>
      <c r="D136" s="4">
        <f>IFERROR(__xludf.DUMMYFUNCTION("""COMPUTED_VALUE"""),2015.0)</f>
        <v>2015</v>
      </c>
      <c r="E136" s="4">
        <f>IFERROR(__xludf.DUMMYFUNCTION("""COMPUTED_VALUE"""),199.0)</f>
        <v>199</v>
      </c>
      <c r="F136" s="4">
        <f>IFERROR(__xludf.DUMMYFUNCTION("""COMPUTED_VALUE"""),588.0)</f>
        <v>588</v>
      </c>
      <c r="G136" s="4">
        <f>IFERROR(__xludf.DUMMYFUNCTION("""COMPUTED_VALUE"""),787.0)</f>
        <v>787</v>
      </c>
      <c r="H136" s="4">
        <f>IFERROR(__xludf.DUMMYFUNCTION("""COMPUTED_VALUE"""),5.01)</f>
        <v>5.01</v>
      </c>
      <c r="I136" s="4">
        <f>IFERROR(__xludf.DUMMYFUNCTION("""COMPUTED_VALUE"""),14.22)</f>
        <v>14.22</v>
      </c>
      <c r="J136" s="4">
        <f>IFERROR(__xludf.DUMMYFUNCTION("""COMPUTED_VALUE"""),9.94)</f>
        <v>9.94</v>
      </c>
      <c r="K136" s="8">
        <f>IFERROR(__xludf.DUMMYFUNCTION("""COMPUTED_VALUE"""),-0.0178)</f>
        <v>-0.0178</v>
      </c>
    </row>
    <row r="137" ht="15.75" customHeight="1">
      <c r="C137" s="4" t="str">
        <f>IFERROR(__xludf.DUMMYFUNCTION("""COMPUTED_VALUE"""),"Filipinas [+]")</f>
        <v>Filipinas [+]</v>
      </c>
      <c r="D137" s="4">
        <f>IFERROR(__xludf.DUMMYFUNCTION("""COMPUTED_VALUE"""),2015.0)</f>
        <v>2015</v>
      </c>
      <c r="E137" s="4">
        <f>IFERROR(__xludf.DUMMYFUNCTION("""COMPUTED_VALUE"""),837.0)</f>
        <v>837</v>
      </c>
      <c r="F137" s="9">
        <f>IFERROR(__xludf.DUMMYFUNCTION("""COMPUTED_VALUE"""),2563.0)</f>
        <v>2563</v>
      </c>
      <c r="G137" s="9">
        <f>IFERROR(__xludf.DUMMYFUNCTION("""COMPUTED_VALUE"""),3400.0)</f>
        <v>3400</v>
      </c>
      <c r="H137" s="4">
        <f>IFERROR(__xludf.DUMMYFUNCTION("""COMPUTED_VALUE"""),1.65)</f>
        <v>1.65</v>
      </c>
      <c r="I137" s="4">
        <f>IFERROR(__xludf.DUMMYFUNCTION("""COMPUTED_VALUE"""),4.99)</f>
        <v>4.99</v>
      </c>
      <c r="J137" s="4">
        <f>IFERROR(__xludf.DUMMYFUNCTION("""COMPUTED_VALUE"""),3.37)</f>
        <v>3.37</v>
      </c>
      <c r="K137" s="8">
        <f>IFERROR(__xludf.DUMMYFUNCTION("""COMPUTED_VALUE"""),-0.0344)</f>
        <v>-0.0344</v>
      </c>
    </row>
    <row r="138" ht="15.75" customHeight="1">
      <c r="C138" s="4" t="str">
        <f>IFERROR(__xludf.DUMMYFUNCTION("""COMPUTED_VALUE"""),"Pakistán [+]")</f>
        <v>Pakistán [+]</v>
      </c>
      <c r="D138" s="4">
        <f>IFERROR(__xludf.DUMMYFUNCTION("""COMPUTED_VALUE"""),2015.0)</f>
        <v>2015</v>
      </c>
      <c r="E138" s="9">
        <f>IFERROR(__xludf.DUMMYFUNCTION("""COMPUTED_VALUE"""),1828.0)</f>
        <v>1828</v>
      </c>
      <c r="F138" s="9">
        <f>IFERROR(__xludf.DUMMYFUNCTION("""COMPUTED_VALUE"""),2086.0)</f>
        <v>2086</v>
      </c>
      <c r="G138" s="9">
        <f>IFERROR(__xludf.DUMMYFUNCTION("""COMPUTED_VALUE"""),3914.0)</f>
        <v>3914</v>
      </c>
      <c r="H138" s="4">
        <f>IFERROR(__xludf.DUMMYFUNCTION("""COMPUTED_VALUE"""),1.89)</f>
        <v>1.89</v>
      </c>
      <c r="I138" s="4">
        <f>IFERROR(__xludf.DUMMYFUNCTION("""COMPUTED_VALUE"""),2.03)</f>
        <v>2.03</v>
      </c>
      <c r="J138" s="4">
        <f>IFERROR(__xludf.DUMMYFUNCTION("""COMPUTED_VALUE"""),1.99)</f>
        <v>1.99</v>
      </c>
      <c r="K138" s="8">
        <f>IFERROR(__xludf.DUMMYFUNCTION("""COMPUTED_VALUE"""),0.0051)</f>
        <v>0.0051</v>
      </c>
    </row>
    <row r="139" ht="15.75" customHeight="1">
      <c r="C139" s="4" t="str">
        <f>IFERROR(__xludf.DUMMYFUNCTION("""COMPUTED_VALUE"""),"Polonia [+]")</f>
        <v>Polonia [+]</v>
      </c>
      <c r="D139" s="4">
        <f>IFERROR(__xludf.DUMMYFUNCTION("""COMPUTED_VALUE"""),2020.0)</f>
        <v>2020</v>
      </c>
      <c r="E139" s="4">
        <f>IFERROR(__xludf.DUMMYFUNCTION("""COMPUTED_VALUE"""),604.0)</f>
        <v>604</v>
      </c>
      <c r="F139" s="9">
        <f>IFERROR(__xludf.DUMMYFUNCTION("""COMPUTED_VALUE"""),3980.0)</f>
        <v>3980</v>
      </c>
      <c r="G139" s="9">
        <f>IFERROR(__xludf.DUMMYFUNCTION("""COMPUTED_VALUE"""),4584.0)</f>
        <v>4584</v>
      </c>
      <c r="H139" s="4">
        <f>IFERROR(__xludf.DUMMYFUNCTION("""COMPUTED_VALUE"""),3.09)</f>
        <v>3.09</v>
      </c>
      <c r="I139" s="4">
        <f>IFERROR(__xludf.DUMMYFUNCTION("""COMPUTED_VALUE"""),21.74)</f>
        <v>21.74</v>
      </c>
      <c r="J139" s="4">
        <f>IFERROR(__xludf.DUMMYFUNCTION("""COMPUTED_VALUE"""),12.11)</f>
        <v>12.11</v>
      </c>
      <c r="K139" s="8">
        <f>IFERROR(__xludf.DUMMYFUNCTION("""COMPUTED_VALUE"""),-0.0041)</f>
        <v>-0.0041</v>
      </c>
    </row>
    <row r="140" ht="15.75" customHeight="1">
      <c r="C140" s="4" t="str">
        <f>IFERROR(__xludf.DUMMYFUNCTION("""COMPUTED_VALUE"""),"Paraguay [+]")</f>
        <v>Paraguay [+]</v>
      </c>
      <c r="D140" s="4">
        <f>IFERROR(__xludf.DUMMYFUNCTION("""COMPUTED_VALUE"""),2015.0)</f>
        <v>2015</v>
      </c>
      <c r="E140" s="4">
        <f>IFERROR(__xludf.DUMMYFUNCTION("""COMPUTED_VALUE"""),210.0)</f>
        <v>210</v>
      </c>
      <c r="F140" s="4">
        <f>IFERROR(__xludf.DUMMYFUNCTION("""COMPUTED_VALUE"""),470.0)</f>
        <v>470</v>
      </c>
      <c r="G140" s="4">
        <f>IFERROR(__xludf.DUMMYFUNCTION("""COMPUTED_VALUE"""),680.0)</f>
        <v>680</v>
      </c>
      <c r="H140" s="4">
        <f>IFERROR(__xludf.DUMMYFUNCTION("""COMPUTED_VALUE"""),6.4)</f>
        <v>6.4</v>
      </c>
      <c r="I140" s="4">
        <f>IFERROR(__xludf.DUMMYFUNCTION("""COMPUTED_VALUE"""),13.81)</f>
        <v>13.81</v>
      </c>
      <c r="J140" s="4">
        <f>IFERROR(__xludf.DUMMYFUNCTION("""COMPUTED_VALUE"""),10.07)</f>
        <v>10.07</v>
      </c>
      <c r="K140" s="8">
        <f>IFERROR(__xludf.DUMMYFUNCTION("""COMPUTED_VALUE"""),0.001)</f>
        <v>0.001</v>
      </c>
    </row>
    <row r="141" ht="15.75" customHeight="1">
      <c r="C141" s="4" t="str">
        <f>IFERROR(__xludf.DUMMYFUNCTION("""COMPUTED_VALUE"""),"Catar [+]")</f>
        <v>Catar [+]</v>
      </c>
      <c r="D141" s="4">
        <f>IFERROR(__xludf.DUMMYFUNCTION("""COMPUTED_VALUE"""),2015.0)</f>
        <v>2015</v>
      </c>
      <c r="E141" s="4">
        <f>IFERROR(__xludf.DUMMYFUNCTION("""COMPUTED_VALUE"""),6.0)</f>
        <v>6</v>
      </c>
      <c r="F141" s="4">
        <f>IFERROR(__xludf.DUMMYFUNCTION("""COMPUTED_VALUE"""),137.0)</f>
        <v>137</v>
      </c>
      <c r="G141" s="4">
        <f>IFERROR(__xludf.DUMMYFUNCTION("""COMPUTED_VALUE"""),143.0)</f>
        <v>143</v>
      </c>
      <c r="H141" s="4">
        <f>IFERROR(__xludf.DUMMYFUNCTION("""COMPUTED_VALUE"""),0.94)</f>
        <v>0.94</v>
      </c>
      <c r="I141" s="4">
        <f>IFERROR(__xludf.DUMMYFUNCTION("""COMPUTED_VALUE"""),7.03)</f>
        <v>7.03</v>
      </c>
      <c r="J141" s="4">
        <f>IFERROR(__xludf.DUMMYFUNCTION("""COMPUTED_VALUE"""),5.86)</f>
        <v>5.86</v>
      </c>
      <c r="K141" s="8">
        <f>IFERROR(__xludf.DUMMYFUNCTION("""COMPUTED_VALUE"""),-0.0594)</f>
        <v>-0.0594</v>
      </c>
    </row>
    <row r="142" ht="15.75" customHeight="1">
      <c r="C142" s="4" t="str">
        <f>IFERROR(__xludf.DUMMYFUNCTION("""COMPUTED_VALUE"""),"Rumanía [+]")</f>
        <v>Rumanía [+]</v>
      </c>
      <c r="D142" s="4">
        <f>IFERROR(__xludf.DUMMYFUNCTION("""COMPUTED_VALUE"""),2019.0)</f>
        <v>2019</v>
      </c>
      <c r="E142" s="4">
        <f>IFERROR(__xludf.DUMMYFUNCTION("""COMPUTED_VALUE"""),241.0)</f>
        <v>241</v>
      </c>
      <c r="F142" s="9">
        <f>IFERROR(__xludf.DUMMYFUNCTION("""COMPUTED_VALUE"""),1502.0)</f>
        <v>1502</v>
      </c>
      <c r="G142" s="9">
        <f>IFERROR(__xludf.DUMMYFUNCTION("""COMPUTED_VALUE"""),1743.0)</f>
        <v>1743</v>
      </c>
      <c r="H142" s="4">
        <f>IFERROR(__xludf.DUMMYFUNCTION("""COMPUTED_VALUE"""),2.46)</f>
        <v>2.46</v>
      </c>
      <c r="I142" s="4">
        <f>IFERROR(__xludf.DUMMYFUNCTION("""COMPUTED_VALUE"""),15.91)</f>
        <v>15.91</v>
      </c>
      <c r="J142" s="4">
        <f>IFERROR(__xludf.DUMMYFUNCTION("""COMPUTED_VALUE"""),9.04)</f>
        <v>9.04</v>
      </c>
      <c r="K142" s="8">
        <f>IFERROR(__xludf.DUMMYFUNCTION("""COMPUTED_VALUE"""),-0.1041)</f>
        <v>-0.1041</v>
      </c>
    </row>
    <row r="143" ht="15.75" customHeight="1">
      <c r="C143" s="4" t="str">
        <f>IFERROR(__xludf.DUMMYFUNCTION("""COMPUTED_VALUE"""),"Serbia [+]")</f>
        <v>Serbia [+]</v>
      </c>
      <c r="D143" s="4">
        <f>IFERROR(__xludf.DUMMYFUNCTION("""COMPUTED_VALUE"""),2020.0)</f>
        <v>2020</v>
      </c>
      <c r="E143" s="4">
        <f>IFERROR(__xludf.DUMMYFUNCTION("""COMPUTED_VALUE"""),213.0)</f>
        <v>213</v>
      </c>
      <c r="F143" s="4">
        <f>IFERROR(__xludf.DUMMYFUNCTION("""COMPUTED_VALUE"""),682.0)</f>
        <v>682</v>
      </c>
      <c r="G143" s="4">
        <f>IFERROR(__xludf.DUMMYFUNCTION("""COMPUTED_VALUE"""),895.0)</f>
        <v>895</v>
      </c>
      <c r="H143" s="4">
        <f>IFERROR(__xludf.DUMMYFUNCTION("""COMPUTED_VALUE"""),6.04)</f>
        <v>6.04</v>
      </c>
      <c r="I143" s="4">
        <f>IFERROR(__xludf.DUMMYFUNCTION("""COMPUTED_VALUE"""),20.38)</f>
        <v>20.38</v>
      </c>
      <c r="J143" s="4">
        <f>IFERROR(__xludf.DUMMYFUNCTION("""COMPUTED_VALUE"""),13.02)</f>
        <v>13.02</v>
      </c>
      <c r="K143" s="8">
        <f>IFERROR(__xludf.DUMMYFUNCTION("""COMPUTED_VALUE"""),-0.0398)</f>
        <v>-0.0398</v>
      </c>
    </row>
    <row r="144" ht="15.75" customHeight="1">
      <c r="C144" s="4" t="str">
        <f>IFERROR(__xludf.DUMMYFUNCTION("""COMPUTED_VALUE"""),"Rusia [+]")</f>
        <v>Rusia [+]</v>
      </c>
      <c r="D144" s="4">
        <f>IFERROR(__xludf.DUMMYFUNCTION("""COMPUTED_VALUE"""),2019.0)</f>
        <v>2019</v>
      </c>
      <c r="E144" s="9">
        <f>IFERROR(__xludf.DUMMYFUNCTION("""COMPUTED_VALUE"""),2893.0)</f>
        <v>2893</v>
      </c>
      <c r="F144" s="9">
        <f>IFERROR(__xludf.DUMMYFUNCTION("""COMPUTED_VALUE"""),14299.0)</f>
        <v>14299</v>
      </c>
      <c r="G144" s="9">
        <f>IFERROR(__xludf.DUMMYFUNCTION("""COMPUTED_VALUE"""),17192.0)</f>
        <v>17192</v>
      </c>
      <c r="H144" s="4">
        <f>IFERROR(__xludf.DUMMYFUNCTION("""COMPUTED_VALUE"""),3.7)</f>
        <v>3.7</v>
      </c>
      <c r="I144" s="4">
        <f>IFERROR(__xludf.DUMMYFUNCTION("""COMPUTED_VALUE"""),21.0)</f>
        <v>21</v>
      </c>
      <c r="J144" s="4">
        <f>IFERROR(__xludf.DUMMYFUNCTION("""COMPUTED_VALUE"""),11.7)</f>
        <v>11.7</v>
      </c>
      <c r="K144" s="8">
        <f>IFERROR(__xludf.DUMMYFUNCTION("""COMPUTED_VALUE"""),-0.3276)</f>
        <v>-0.3276</v>
      </c>
    </row>
    <row r="145" ht="15.75" customHeight="1">
      <c r="C145" s="4" t="str">
        <f>IFERROR(__xludf.DUMMYFUNCTION("""COMPUTED_VALUE"""),"Ruanda [+]")</f>
        <v>Ruanda [+]</v>
      </c>
      <c r="D145" s="4">
        <f>IFERROR(__xludf.DUMMYFUNCTION("""COMPUTED_VALUE"""),2015.0)</f>
        <v>2015</v>
      </c>
      <c r="E145" s="4">
        <f>IFERROR(__xludf.DUMMYFUNCTION("""COMPUTED_VALUE"""),129.0)</f>
        <v>129</v>
      </c>
      <c r="F145" s="4">
        <f>IFERROR(__xludf.DUMMYFUNCTION("""COMPUTED_VALUE"""),863.0)</f>
        <v>863</v>
      </c>
      <c r="G145" s="4">
        <f>IFERROR(__xludf.DUMMYFUNCTION("""COMPUTED_VALUE"""),992.0)</f>
        <v>992</v>
      </c>
      <c r="H145" s="4">
        <f>IFERROR(__xludf.DUMMYFUNCTION("""COMPUTED_VALUE"""),2.23)</f>
        <v>2.23</v>
      </c>
      <c r="I145" s="4">
        <f>IFERROR(__xludf.DUMMYFUNCTION("""COMPUTED_VALUE"""),15.46)</f>
        <v>15.46</v>
      </c>
      <c r="J145" s="4">
        <f>IFERROR(__xludf.DUMMYFUNCTION("""COMPUTED_VALUE"""),8.73)</f>
        <v>8.73</v>
      </c>
      <c r="K145" s="8">
        <f>IFERROR(__xludf.DUMMYFUNCTION("""COMPUTED_VALUE"""),-0.0091)</f>
        <v>-0.0091</v>
      </c>
    </row>
    <row r="146" ht="15.75" customHeight="1">
      <c r="C146" s="4" t="str">
        <f>IFERROR(__xludf.DUMMYFUNCTION("""COMPUTED_VALUE"""),"Arabia Saudita [+]")</f>
        <v>Arabia Saudita [+]</v>
      </c>
      <c r="D146" s="4">
        <f>IFERROR(__xludf.DUMMYFUNCTION("""COMPUTED_VALUE"""),2015.0)</f>
        <v>2015</v>
      </c>
      <c r="E146" s="4">
        <f>IFERROR(__xludf.DUMMYFUNCTION("""COMPUTED_VALUE"""),262.0)</f>
        <v>262</v>
      </c>
      <c r="F146" s="4">
        <f>IFERROR(__xludf.DUMMYFUNCTION("""COMPUTED_VALUE"""),796.0)</f>
        <v>796</v>
      </c>
      <c r="G146" s="9">
        <f>IFERROR(__xludf.DUMMYFUNCTION("""COMPUTED_VALUE"""),1057.0)</f>
        <v>1057</v>
      </c>
      <c r="H146" s="4">
        <f>IFERROR(__xludf.DUMMYFUNCTION("""COMPUTED_VALUE"""),1.91)</f>
        <v>1.91</v>
      </c>
      <c r="I146" s="4">
        <f>IFERROR(__xludf.DUMMYFUNCTION("""COMPUTED_VALUE"""),4.41)</f>
        <v>4.41</v>
      </c>
      <c r="J146" s="4">
        <f>IFERROR(__xludf.DUMMYFUNCTION("""COMPUTED_VALUE"""),3.4)</f>
        <v>3.4</v>
      </c>
      <c r="K146" s="8">
        <f>IFERROR(__xludf.DUMMYFUNCTION("""COMPUTED_VALUE"""),-0.0258)</f>
        <v>-0.0258</v>
      </c>
    </row>
    <row r="147" ht="15.75" customHeight="1">
      <c r="C147" s="4" t="str">
        <f>IFERROR(__xludf.DUMMYFUNCTION("""COMPUTED_VALUE"""),"Islas Salomón [+]")</f>
        <v>Islas Salomón [+]</v>
      </c>
      <c r="D147" s="4">
        <f>IFERROR(__xludf.DUMMYFUNCTION("""COMPUTED_VALUE"""),2015.0)</f>
        <v>2015</v>
      </c>
      <c r="E147" s="4">
        <f>IFERROR(__xludf.DUMMYFUNCTION("""COMPUTED_VALUE"""),13.0)</f>
        <v>13</v>
      </c>
      <c r="F147" s="4">
        <f>IFERROR(__xludf.DUMMYFUNCTION("""COMPUTED_VALUE"""),34.0)</f>
        <v>34</v>
      </c>
      <c r="G147" s="4">
        <f>IFERROR(__xludf.DUMMYFUNCTION("""COMPUTED_VALUE"""),46.0)</f>
        <v>46</v>
      </c>
      <c r="H147" s="4">
        <f>IFERROR(__xludf.DUMMYFUNCTION("""COMPUTED_VALUE"""),4.25)</f>
        <v>4.25</v>
      </c>
      <c r="I147" s="4">
        <f>IFERROR(__xludf.DUMMYFUNCTION("""COMPUTED_VALUE"""),10.94)</f>
        <v>10.94</v>
      </c>
      <c r="J147" s="4">
        <f>IFERROR(__xludf.DUMMYFUNCTION("""COMPUTED_VALUE"""),7.66)</f>
        <v>7.66</v>
      </c>
      <c r="K147" s="8">
        <f>IFERROR(__xludf.DUMMYFUNCTION("""COMPUTED_VALUE"""),-0.0279)</f>
        <v>-0.0279</v>
      </c>
    </row>
    <row r="148" ht="15.75" customHeight="1">
      <c r="C148" s="4" t="str">
        <f>IFERROR(__xludf.DUMMYFUNCTION("""COMPUTED_VALUE"""),"Seychelles [+]")</f>
        <v>Seychelles [+]</v>
      </c>
      <c r="D148" s="4">
        <f>IFERROR(__xludf.DUMMYFUNCTION("""COMPUTED_VALUE"""),2015.0)</f>
        <v>2015</v>
      </c>
      <c r="E148" s="4">
        <f>IFERROR(__xludf.DUMMYFUNCTION("""COMPUTED_VALUE"""),1.0)</f>
        <v>1</v>
      </c>
      <c r="F148" s="4">
        <f>IFERROR(__xludf.DUMMYFUNCTION("""COMPUTED_VALUE"""),8.0)</f>
        <v>8</v>
      </c>
      <c r="G148" s="4">
        <f>IFERROR(__xludf.DUMMYFUNCTION("""COMPUTED_VALUE"""),9.0)</f>
        <v>9</v>
      </c>
      <c r="H148" s="4">
        <f>IFERROR(__xludf.DUMMYFUNCTION("""COMPUTED_VALUE"""),2.15)</f>
        <v>2.15</v>
      </c>
      <c r="I148" s="4">
        <f>IFERROR(__xludf.DUMMYFUNCTION("""COMPUTED_VALUE"""),16.62)</f>
        <v>16.62</v>
      </c>
      <c r="J148" s="4">
        <f>IFERROR(__xludf.DUMMYFUNCTION("""COMPUTED_VALUE"""),9.64)</f>
        <v>9.64</v>
      </c>
      <c r="K148" s="8">
        <f>IFERROR(__xludf.DUMMYFUNCTION("""COMPUTED_VALUE"""),-0.0223)</f>
        <v>-0.0223</v>
      </c>
    </row>
    <row r="149" ht="15.75" customHeight="1">
      <c r="C149" s="4" t="str">
        <f>IFERROR(__xludf.DUMMYFUNCTION("""COMPUTED_VALUE"""),"Sudán [+]")</f>
        <v>Sudán [+]</v>
      </c>
      <c r="D149" s="4">
        <f>IFERROR(__xludf.DUMMYFUNCTION("""COMPUTED_VALUE"""),2015.0)</f>
        <v>2015</v>
      </c>
      <c r="E149" s="9">
        <f>IFERROR(__xludf.DUMMYFUNCTION("""COMPUTED_VALUE"""),1149.0)</f>
        <v>1149</v>
      </c>
      <c r="F149" s="9">
        <f>IFERROR(__xludf.DUMMYFUNCTION("""COMPUTED_VALUE"""),2960.0)</f>
        <v>2960</v>
      </c>
      <c r="G149" s="9">
        <f>IFERROR(__xludf.DUMMYFUNCTION("""COMPUTED_VALUE"""),4109.0)</f>
        <v>4109</v>
      </c>
      <c r="H149" s="4">
        <f>IFERROR(__xludf.DUMMYFUNCTION("""COMPUTED_VALUE"""),5.9)</f>
        <v>5.9</v>
      </c>
      <c r="I149" s="4">
        <f>IFERROR(__xludf.DUMMYFUNCTION("""COMPUTED_VALUE"""),15.24)</f>
        <v>15.24</v>
      </c>
      <c r="J149" s="4">
        <f>IFERROR(__xludf.DUMMYFUNCTION("""COMPUTED_VALUE"""),10.56)</f>
        <v>10.56</v>
      </c>
      <c r="K149" s="8">
        <f>IFERROR(__xludf.DUMMYFUNCTION("""COMPUTED_VALUE"""),-0.0085)</f>
        <v>-0.0085</v>
      </c>
    </row>
    <row r="150" ht="15.75" customHeight="1">
      <c r="C150" s="4" t="str">
        <f>IFERROR(__xludf.DUMMYFUNCTION("""COMPUTED_VALUE"""),"Suecia [+]")</f>
        <v>Suecia [+]</v>
      </c>
      <c r="D150" s="4">
        <f>IFERROR(__xludf.DUMMYFUNCTION("""COMPUTED_VALUE"""),2019.0)</f>
        <v>2019</v>
      </c>
      <c r="E150" s="4">
        <f>IFERROR(__xludf.DUMMYFUNCTION("""COMPUTED_VALUE"""),403.0)</f>
        <v>403</v>
      </c>
      <c r="F150" s="4">
        <f>IFERROR(__xludf.DUMMYFUNCTION("""COMPUTED_VALUE"""),898.0)</f>
        <v>898</v>
      </c>
      <c r="G150" s="9">
        <f>IFERROR(__xludf.DUMMYFUNCTION("""COMPUTED_VALUE"""),1301.0)</f>
        <v>1301</v>
      </c>
      <c r="H150" s="4">
        <f>IFERROR(__xludf.DUMMYFUNCTION("""COMPUTED_VALUE"""),7.83)</f>
        <v>7.83</v>
      </c>
      <c r="I150" s="4">
        <f>IFERROR(__xludf.DUMMYFUNCTION("""COMPUTED_VALUE"""),17.06)</f>
        <v>17.06</v>
      </c>
      <c r="J150" s="4">
        <f>IFERROR(__xludf.DUMMYFUNCTION("""COMPUTED_VALUE"""),12.48)</f>
        <v>12.48</v>
      </c>
      <c r="K150" s="8">
        <f>IFERROR(__xludf.DUMMYFUNCTION("""COMPUTED_VALUE"""),0.0016)</f>
        <v>0.0016</v>
      </c>
    </row>
    <row r="151" ht="15.75" customHeight="1">
      <c r="C151" s="4" t="str">
        <f>IFERROR(__xludf.DUMMYFUNCTION("""COMPUTED_VALUE"""),"Singapur [+]")</f>
        <v>Singapur [+]</v>
      </c>
      <c r="D151" s="4">
        <f>IFERROR(__xludf.DUMMYFUNCTION("""COMPUTED_VALUE"""),2015.0)</f>
        <v>2015</v>
      </c>
      <c r="E151" s="4">
        <f>IFERROR(__xludf.DUMMYFUNCTION("""COMPUTED_VALUE"""),180.0)</f>
        <v>180</v>
      </c>
      <c r="F151" s="4">
        <f>IFERROR(__xludf.DUMMYFUNCTION("""COMPUTED_VALUE"""),375.0)</f>
        <v>375</v>
      </c>
      <c r="G151" s="4">
        <f>IFERROR(__xludf.DUMMYFUNCTION("""COMPUTED_VALUE"""),555.0)</f>
        <v>555</v>
      </c>
      <c r="H151" s="4">
        <f>IFERROR(__xludf.DUMMYFUNCTION("""COMPUTED_VALUE"""),6.83)</f>
        <v>6.83</v>
      </c>
      <c r="I151" s="4">
        <f>IFERROR(__xludf.DUMMYFUNCTION("""COMPUTED_VALUE"""),12.94)</f>
        <v>12.94</v>
      </c>
      <c r="J151" s="4">
        <f>IFERROR(__xludf.DUMMYFUNCTION("""COMPUTED_VALUE"""),10.03)</f>
        <v>10.03</v>
      </c>
      <c r="K151" s="8">
        <f>IFERROR(__xludf.DUMMYFUNCTION("""COMPUTED_VALUE"""),-0.15)</f>
        <v>-0.15</v>
      </c>
    </row>
    <row r="152" ht="15.75" customHeight="1">
      <c r="C152" s="4" t="str">
        <f>IFERROR(__xludf.DUMMYFUNCTION("""COMPUTED_VALUE"""),"Eslovenia [+]")</f>
        <v>Eslovenia [+]</v>
      </c>
      <c r="D152" s="4">
        <f>IFERROR(__xludf.DUMMYFUNCTION("""COMPUTED_VALUE"""),2020.0)</f>
        <v>2020</v>
      </c>
      <c r="E152" s="4">
        <f>IFERROR(__xludf.DUMMYFUNCTION("""COMPUTED_VALUE"""),74.0)</f>
        <v>74</v>
      </c>
      <c r="F152" s="4">
        <f>IFERROR(__xludf.DUMMYFUNCTION("""COMPUTED_VALUE"""),300.0)</f>
        <v>300</v>
      </c>
      <c r="G152" s="4">
        <f>IFERROR(__xludf.DUMMYFUNCTION("""COMPUTED_VALUE"""),374.0)</f>
        <v>374</v>
      </c>
      <c r="H152" s="4">
        <f>IFERROR(__xludf.DUMMYFUNCTION("""COMPUTED_VALUE"""),7.0)</f>
        <v>7</v>
      </c>
      <c r="I152" s="4">
        <f>IFERROR(__xludf.DUMMYFUNCTION("""COMPUTED_VALUE"""),28.1)</f>
        <v>28.1</v>
      </c>
      <c r="J152" s="4">
        <f>IFERROR(__xludf.DUMMYFUNCTION("""COMPUTED_VALUE"""),17.5)</f>
        <v>17.5</v>
      </c>
      <c r="K152" s="8">
        <f>IFERROR(__xludf.DUMMYFUNCTION("""COMPUTED_VALUE"""),-0.0701)</f>
        <v>-0.0701</v>
      </c>
    </row>
    <row r="153" ht="15.75" customHeight="1">
      <c r="C153" s="4" t="str">
        <f>IFERROR(__xludf.DUMMYFUNCTION("""COMPUTED_VALUE"""),"Eslovaquia [+]")</f>
        <v>Eslovaquia [+]</v>
      </c>
      <c r="D153" s="4">
        <f>IFERROR(__xludf.DUMMYFUNCTION("""COMPUTED_VALUE"""),2020.0)</f>
        <v>2020</v>
      </c>
      <c r="E153" s="4">
        <f>IFERROR(__xludf.DUMMYFUNCTION("""COMPUTED_VALUE"""),48.0)</f>
        <v>48</v>
      </c>
      <c r="F153" s="4">
        <f>IFERROR(__xludf.DUMMYFUNCTION("""COMPUTED_VALUE"""),313.0)</f>
        <v>313</v>
      </c>
      <c r="G153" s="4">
        <f>IFERROR(__xludf.DUMMYFUNCTION("""COMPUTED_VALUE"""),361.0)</f>
        <v>361</v>
      </c>
      <c r="H153" s="4">
        <f>IFERROR(__xludf.DUMMYFUNCTION("""COMPUTED_VALUE"""),1.72)</f>
        <v>1.72</v>
      </c>
      <c r="I153" s="4">
        <f>IFERROR(__xludf.DUMMYFUNCTION("""COMPUTED_VALUE"""),11.74)</f>
        <v>11.74</v>
      </c>
      <c r="J153" s="4">
        <f>IFERROR(__xludf.DUMMYFUNCTION("""COMPUTED_VALUE"""),6.61)</f>
        <v>6.61</v>
      </c>
      <c r="K153" s="8">
        <f>IFERROR(__xludf.DUMMYFUNCTION("""COMPUTED_VALUE"""),-0.0336)</f>
        <v>-0.0336</v>
      </c>
    </row>
    <row r="154" ht="15.75" customHeight="1">
      <c r="C154" s="4" t="str">
        <f>IFERROR(__xludf.DUMMYFUNCTION("""COMPUTED_VALUE"""),"Sierra Leona [+]")</f>
        <v>Sierra Leona [+]</v>
      </c>
      <c r="D154" s="4">
        <f>IFERROR(__xludf.DUMMYFUNCTION("""COMPUTED_VALUE"""),2015.0)</f>
        <v>2015</v>
      </c>
      <c r="E154" s="4">
        <f>IFERROR(__xludf.DUMMYFUNCTION("""COMPUTED_VALUE"""),320.0)</f>
        <v>320</v>
      </c>
      <c r="F154" s="4">
        <f>IFERROR(__xludf.DUMMYFUNCTION("""COMPUTED_VALUE"""),670.0)</f>
        <v>670</v>
      </c>
      <c r="G154" s="4">
        <f>IFERROR(__xludf.DUMMYFUNCTION("""COMPUTED_VALUE"""),990.0)</f>
        <v>990</v>
      </c>
      <c r="H154" s="4">
        <f>IFERROR(__xludf.DUMMYFUNCTION("""COMPUTED_VALUE"""),8.9)</f>
        <v>8.9</v>
      </c>
      <c r="I154" s="4">
        <f>IFERROR(__xludf.DUMMYFUNCTION("""COMPUTED_VALUE"""),18.75)</f>
        <v>18.75</v>
      </c>
      <c r="J154" s="4">
        <f>IFERROR(__xludf.DUMMYFUNCTION("""COMPUTED_VALUE"""),13.81)</f>
        <v>13.81</v>
      </c>
      <c r="K154" s="8">
        <f>IFERROR(__xludf.DUMMYFUNCTION("""COMPUTED_VALUE"""),0.0237)</f>
        <v>0.0237</v>
      </c>
    </row>
    <row r="155" ht="15.75" customHeight="1">
      <c r="C155" s="4" t="str">
        <f>IFERROR(__xludf.DUMMYFUNCTION("""COMPUTED_VALUE"""),"Senegal [+]")</f>
        <v>Senegal [+]</v>
      </c>
      <c r="D155" s="4">
        <f>IFERROR(__xludf.DUMMYFUNCTION("""COMPUTED_VALUE"""),2015.0)</f>
        <v>2015</v>
      </c>
      <c r="E155" s="4">
        <f>IFERROR(__xludf.DUMMYFUNCTION("""COMPUTED_VALUE"""),229.0)</f>
        <v>229</v>
      </c>
      <c r="F155" s="4">
        <f>IFERROR(__xludf.DUMMYFUNCTION("""COMPUTED_VALUE"""),689.0)</f>
        <v>689</v>
      </c>
      <c r="G155" s="4">
        <f>IFERROR(__xludf.DUMMYFUNCTION("""COMPUTED_VALUE"""),918.0)</f>
        <v>918</v>
      </c>
      <c r="H155" s="4">
        <f>IFERROR(__xludf.DUMMYFUNCTION("""COMPUTED_VALUE"""),3.06)</f>
        <v>3.06</v>
      </c>
      <c r="I155" s="4">
        <f>IFERROR(__xludf.DUMMYFUNCTION("""COMPUTED_VALUE"""),9.72)</f>
        <v>9.72</v>
      </c>
      <c r="J155" s="4">
        <f>IFERROR(__xludf.DUMMYFUNCTION("""COMPUTED_VALUE"""),6.3)</f>
        <v>6.3</v>
      </c>
      <c r="K155" s="8">
        <f>IFERROR(__xludf.DUMMYFUNCTION("""COMPUTED_VALUE"""),-0.0156)</f>
        <v>-0.0156</v>
      </c>
    </row>
    <row r="156" ht="15.75" customHeight="1">
      <c r="C156" s="4" t="str">
        <f>IFERROR(__xludf.DUMMYFUNCTION("""COMPUTED_VALUE"""),"Somalia [+]")</f>
        <v>Somalia [+]</v>
      </c>
      <c r="D156" s="4">
        <f>IFERROR(__xludf.DUMMYFUNCTION("""COMPUTED_VALUE"""),2015.0)</f>
        <v>2015</v>
      </c>
      <c r="E156" s="4">
        <f>IFERROR(__xludf.DUMMYFUNCTION("""COMPUTED_VALUE"""),164.0)</f>
        <v>164</v>
      </c>
      <c r="F156" s="4">
        <f>IFERROR(__xludf.DUMMYFUNCTION("""COMPUTED_VALUE"""),414.0)</f>
        <v>414</v>
      </c>
      <c r="G156" s="4">
        <f>IFERROR(__xludf.DUMMYFUNCTION("""COMPUTED_VALUE"""),578.0)</f>
        <v>578</v>
      </c>
      <c r="H156" s="4">
        <f>IFERROR(__xludf.DUMMYFUNCTION("""COMPUTED_VALUE"""),2.37)</f>
        <v>2.37</v>
      </c>
      <c r="I156" s="4">
        <f>IFERROR(__xludf.DUMMYFUNCTION("""COMPUTED_VALUE"""),6.01)</f>
        <v>6.01</v>
      </c>
      <c r="J156" s="4">
        <f>IFERROR(__xludf.DUMMYFUNCTION("""COMPUTED_VALUE"""),4.19)</f>
        <v>4.19</v>
      </c>
      <c r="K156" s="8">
        <f>IFERROR(__xludf.DUMMYFUNCTION("""COMPUTED_VALUE"""),0.0121)</f>
        <v>0.0121</v>
      </c>
    </row>
    <row r="157" ht="15.75" customHeight="1">
      <c r="C157" s="4" t="str">
        <f>IFERROR(__xludf.DUMMYFUNCTION("""COMPUTED_VALUE"""),"Surinam [+]")</f>
        <v>Surinam [+]</v>
      </c>
      <c r="D157" s="4">
        <f>IFERROR(__xludf.DUMMYFUNCTION("""COMPUTED_VALUE"""),2015.0)</f>
        <v>2015</v>
      </c>
      <c r="E157" s="4">
        <f>IFERROR(__xludf.DUMMYFUNCTION("""COMPUTED_VALUE"""),34.0)</f>
        <v>34</v>
      </c>
      <c r="F157" s="4">
        <f>IFERROR(__xludf.DUMMYFUNCTION("""COMPUTED_VALUE"""),110.0)</f>
        <v>110</v>
      </c>
      <c r="G157" s="4">
        <f>IFERROR(__xludf.DUMMYFUNCTION("""COMPUTED_VALUE"""),145.0)</f>
        <v>145</v>
      </c>
      <c r="H157" s="4">
        <f>IFERROR(__xludf.DUMMYFUNCTION("""COMPUTED_VALUE"""),12.38)</f>
        <v>12.38</v>
      </c>
      <c r="I157" s="4">
        <f>IFERROR(__xludf.DUMMYFUNCTION("""COMPUTED_VALUE"""),39.17)</f>
        <v>39.17</v>
      </c>
      <c r="J157" s="4">
        <f>IFERROR(__xludf.DUMMYFUNCTION("""COMPUTED_VALUE"""),25.5)</f>
        <v>25.5</v>
      </c>
      <c r="K157" s="8">
        <f>IFERROR(__xludf.DUMMYFUNCTION("""COMPUTED_VALUE"""),0.0216)</f>
        <v>0.0216</v>
      </c>
    </row>
    <row r="158" ht="15.75" customHeight="1">
      <c r="C158" s="4" t="str">
        <f>IFERROR(__xludf.DUMMYFUNCTION("""COMPUTED_VALUE"""),"Sudán del Sur [+]")</f>
        <v>Sudán del Sur [+]</v>
      </c>
      <c r="D158" s="4">
        <f>IFERROR(__xludf.DUMMYFUNCTION("""COMPUTED_VALUE"""),2015.0)</f>
        <v>2015</v>
      </c>
      <c r="E158" s="4">
        <f>IFERROR(__xludf.DUMMYFUNCTION("""COMPUTED_VALUE"""),225.0)</f>
        <v>225</v>
      </c>
      <c r="F158" s="4">
        <f>IFERROR(__xludf.DUMMYFUNCTION("""COMPUTED_VALUE"""),559.0)</f>
        <v>559</v>
      </c>
      <c r="G158" s="4">
        <f>IFERROR(__xludf.DUMMYFUNCTION("""COMPUTED_VALUE"""),784.0)</f>
        <v>784</v>
      </c>
      <c r="H158" s="4">
        <f>IFERROR(__xludf.DUMMYFUNCTION("""COMPUTED_VALUE"""),4.21)</f>
        <v>4.21</v>
      </c>
      <c r="I158" s="4">
        <f>IFERROR(__xludf.DUMMYFUNCTION("""COMPUTED_VALUE"""),10.42)</f>
        <v>10.42</v>
      </c>
      <c r="J158" s="4">
        <f>IFERROR(__xludf.DUMMYFUNCTION("""COMPUTED_VALUE"""),7.31)</f>
        <v>7.31</v>
      </c>
      <c r="K158" s="8">
        <f>IFERROR(__xludf.DUMMYFUNCTION("""COMPUTED_VALUE"""),0.0153)</f>
        <v>0.0153</v>
      </c>
    </row>
    <row r="159" ht="15.75" customHeight="1">
      <c r="C159" s="4" t="str">
        <f>IFERROR(__xludf.DUMMYFUNCTION("""COMPUTED_VALUE"""),"Santo Tomé y Príncipe [+]")</f>
        <v>Santo Tomé y Príncipe [+]</v>
      </c>
      <c r="D159" s="4">
        <f>IFERROR(__xludf.DUMMYFUNCTION("""COMPUTED_VALUE"""),2015.0)</f>
        <v>2015</v>
      </c>
      <c r="E159" s="4">
        <f>IFERROR(__xludf.DUMMYFUNCTION("""COMPUTED_VALUE"""),1.0)</f>
        <v>1</v>
      </c>
      <c r="F159" s="4">
        <f>IFERROR(__xludf.DUMMYFUNCTION("""COMPUTED_VALUE"""),3.0)</f>
        <v>3</v>
      </c>
      <c r="G159" s="4">
        <f>IFERROR(__xludf.DUMMYFUNCTION("""COMPUTED_VALUE"""),4.0)</f>
        <v>4</v>
      </c>
      <c r="H159" s="4">
        <f>IFERROR(__xludf.DUMMYFUNCTION("""COMPUTED_VALUE"""),1.21)</f>
        <v>1.21</v>
      </c>
      <c r="I159" s="4">
        <f>IFERROR(__xludf.DUMMYFUNCTION("""COMPUTED_VALUE"""),2.55)</f>
        <v>2.55</v>
      </c>
      <c r="J159" s="4">
        <f>IFERROR(__xludf.DUMMYFUNCTION("""COMPUTED_VALUE"""),1.88)</f>
        <v>1.88</v>
      </c>
      <c r="K159" s="4">
        <f>IFERROR(__xludf.DUMMYFUNCTION("""COMPUTED_VALUE"""),0.0)</f>
        <v>0</v>
      </c>
    </row>
    <row r="160" ht="15.75" customHeight="1">
      <c r="C160" s="4" t="str">
        <f>IFERROR(__xludf.DUMMYFUNCTION("""COMPUTED_VALUE"""),"El Salvador [+]")</f>
        <v>El Salvador [+]</v>
      </c>
      <c r="D160" s="4">
        <f>IFERROR(__xludf.DUMMYFUNCTION("""COMPUTED_VALUE"""),2015.0)</f>
        <v>2015</v>
      </c>
      <c r="E160" s="4">
        <f>IFERROR(__xludf.DUMMYFUNCTION("""COMPUTED_VALUE"""),151.0)</f>
        <v>151</v>
      </c>
      <c r="F160" s="4">
        <f>IFERROR(__xludf.DUMMYFUNCTION("""COMPUTED_VALUE"""),527.0)</f>
        <v>527</v>
      </c>
      <c r="G160" s="4">
        <f>IFERROR(__xludf.DUMMYFUNCTION("""COMPUTED_VALUE"""),678.0)</f>
        <v>678</v>
      </c>
      <c r="H160" s="4">
        <f>IFERROR(__xludf.DUMMYFUNCTION("""COMPUTED_VALUE"""),4.51)</f>
        <v>4.51</v>
      </c>
      <c r="I160" s="4">
        <f>IFERROR(__xludf.DUMMYFUNCTION("""COMPUTED_VALUE"""),17.72)</f>
        <v>17.72</v>
      </c>
      <c r="J160" s="4">
        <f>IFERROR(__xludf.DUMMYFUNCTION("""COMPUTED_VALUE"""),10.72)</f>
        <v>10.72</v>
      </c>
      <c r="K160" s="8">
        <f>IFERROR(__xludf.DUMMYFUNCTION("""COMPUTED_VALUE"""),-0.0281)</f>
        <v>-0.0281</v>
      </c>
    </row>
    <row r="161" ht="15.75" customHeight="1">
      <c r="C161" s="4" t="str">
        <f>IFERROR(__xludf.DUMMYFUNCTION("""COMPUTED_VALUE"""),"Siria [+]")</f>
        <v>Siria [+]</v>
      </c>
      <c r="D161" s="4">
        <f>IFERROR(__xludf.DUMMYFUNCTION("""COMPUTED_VALUE"""),2015.0)</f>
        <v>2015</v>
      </c>
      <c r="E161" s="4">
        <f>IFERROR(__xludf.DUMMYFUNCTION("""COMPUTED_VALUE"""),90.0)</f>
        <v>90</v>
      </c>
      <c r="F161" s="4">
        <f>IFERROR(__xludf.DUMMYFUNCTION("""COMPUTED_VALUE"""),406.0)</f>
        <v>406</v>
      </c>
      <c r="G161" s="4">
        <f>IFERROR(__xludf.DUMMYFUNCTION("""COMPUTED_VALUE"""),495.0)</f>
        <v>495</v>
      </c>
      <c r="H161" s="4">
        <f>IFERROR(__xludf.DUMMYFUNCTION("""COMPUTED_VALUE"""),1.01)</f>
        <v>1.01</v>
      </c>
      <c r="I161" s="4">
        <f>IFERROR(__xludf.DUMMYFUNCTION("""COMPUTED_VALUE"""),4.47)</f>
        <v>4.47</v>
      </c>
      <c r="J161" s="4">
        <f>IFERROR(__xludf.DUMMYFUNCTION("""COMPUTED_VALUE"""),2.75)</f>
        <v>2.75</v>
      </c>
      <c r="K161" s="8">
        <f>IFERROR(__xludf.DUMMYFUNCTION("""COMPUTED_VALUE"""),0.0377)</f>
        <v>0.0377</v>
      </c>
    </row>
    <row r="162" ht="15.75" customHeight="1">
      <c r="C162" s="4" t="str">
        <f>IFERROR(__xludf.DUMMYFUNCTION("""COMPUTED_VALUE"""),"Eswatini [+]")</f>
        <v>Eswatini [+]</v>
      </c>
      <c r="D162" s="4">
        <f>IFERROR(__xludf.DUMMYFUNCTION("""COMPUTED_VALUE"""),2015.0)</f>
        <v>2015</v>
      </c>
      <c r="E162" s="4">
        <f>IFERROR(__xludf.DUMMYFUNCTION("""COMPUTED_VALUE"""),49.0)</f>
        <v>49</v>
      </c>
      <c r="F162" s="4">
        <f>IFERROR(__xludf.DUMMYFUNCTION("""COMPUTED_VALUE"""),140.0)</f>
        <v>140</v>
      </c>
      <c r="G162" s="4">
        <f>IFERROR(__xludf.DUMMYFUNCTION("""COMPUTED_VALUE"""),189.0)</f>
        <v>189</v>
      </c>
      <c r="H162" s="4">
        <f>IFERROR(__xludf.DUMMYFUNCTION("""COMPUTED_VALUE"""),8.53)</f>
        <v>8.53</v>
      </c>
      <c r="I162" s="4">
        <f>IFERROR(__xludf.DUMMYFUNCTION("""COMPUTED_VALUE"""),26.3)</f>
        <v>26.3</v>
      </c>
      <c r="J162" s="4">
        <f>IFERROR(__xludf.DUMMYFUNCTION("""COMPUTED_VALUE"""),17.51)</f>
        <v>17.51</v>
      </c>
      <c r="K162" s="8">
        <f>IFERROR(__xludf.DUMMYFUNCTION("""COMPUTED_VALUE"""),0.0092)</f>
        <v>0.0092</v>
      </c>
    </row>
    <row r="163" ht="15.75" customHeight="1">
      <c r="C163" s="4" t="str">
        <f>IFERROR(__xludf.DUMMYFUNCTION("""COMPUTED_VALUE"""),"Chad [+]")</f>
        <v>Chad [+]</v>
      </c>
      <c r="D163" s="4">
        <f>IFERROR(__xludf.DUMMYFUNCTION("""COMPUTED_VALUE"""),2015.0)</f>
        <v>2015</v>
      </c>
      <c r="E163" s="4">
        <f>IFERROR(__xludf.DUMMYFUNCTION("""COMPUTED_VALUE"""),321.0)</f>
        <v>321</v>
      </c>
      <c r="F163" s="4">
        <f>IFERROR(__xludf.DUMMYFUNCTION("""COMPUTED_VALUE"""),907.0)</f>
        <v>907</v>
      </c>
      <c r="G163" s="9">
        <f>IFERROR(__xludf.DUMMYFUNCTION("""COMPUTED_VALUE"""),1228.0)</f>
        <v>1228</v>
      </c>
      <c r="H163" s="4">
        <f>IFERROR(__xludf.DUMMYFUNCTION("""COMPUTED_VALUE"""),4.54)</f>
        <v>4.54</v>
      </c>
      <c r="I163" s="4">
        <f>IFERROR(__xludf.DUMMYFUNCTION("""COMPUTED_VALUE"""),12.88)</f>
        <v>12.88</v>
      </c>
      <c r="J163" s="4">
        <f>IFERROR(__xludf.DUMMYFUNCTION("""COMPUTED_VALUE"""),8.7)</f>
        <v>8.7</v>
      </c>
      <c r="K163" s="8">
        <f>IFERROR(__xludf.DUMMYFUNCTION("""COMPUTED_VALUE"""),0.0187)</f>
        <v>0.0187</v>
      </c>
    </row>
    <row r="164" ht="15.75" customHeight="1">
      <c r="C164" s="4" t="str">
        <f>IFERROR(__xludf.DUMMYFUNCTION("""COMPUTED_VALUE"""),"Togo [+]")</f>
        <v>Togo [+]</v>
      </c>
      <c r="D164" s="4">
        <f>IFERROR(__xludf.DUMMYFUNCTION("""COMPUTED_VALUE"""),2015.0)</f>
        <v>2015</v>
      </c>
      <c r="E164" s="4">
        <f>IFERROR(__xludf.DUMMYFUNCTION("""COMPUTED_VALUE"""),199.0)</f>
        <v>199</v>
      </c>
      <c r="F164" s="4">
        <f>IFERROR(__xludf.DUMMYFUNCTION("""COMPUTED_VALUE"""),498.0)</f>
        <v>498</v>
      </c>
      <c r="G164" s="4">
        <f>IFERROR(__xludf.DUMMYFUNCTION("""COMPUTED_VALUE"""),696.0)</f>
        <v>696</v>
      </c>
      <c r="H164" s="4">
        <f>IFERROR(__xludf.DUMMYFUNCTION("""COMPUTED_VALUE"""),5.4)</f>
        <v>5.4</v>
      </c>
      <c r="I164" s="4">
        <f>IFERROR(__xludf.DUMMYFUNCTION("""COMPUTED_VALUE"""),13.67)</f>
        <v>13.67</v>
      </c>
      <c r="J164" s="4">
        <f>IFERROR(__xludf.DUMMYFUNCTION("""COMPUTED_VALUE"""),9.51)</f>
        <v>9.51</v>
      </c>
      <c r="K164" s="8">
        <f>IFERROR(__xludf.DUMMYFUNCTION("""COMPUTED_VALUE"""),0.0096)</f>
        <v>0.0096</v>
      </c>
    </row>
    <row r="165" ht="15.75" customHeight="1">
      <c r="C165" s="4" t="str">
        <f>IFERROR(__xludf.DUMMYFUNCTION("""COMPUTED_VALUE"""),"Tailandia [+]")</f>
        <v>Tailandia [+]</v>
      </c>
      <c r="D165" s="4">
        <f>IFERROR(__xludf.DUMMYFUNCTION("""COMPUTED_VALUE"""),2015.0)</f>
        <v>2015</v>
      </c>
      <c r="E165" s="9">
        <f>IFERROR(__xludf.DUMMYFUNCTION("""COMPUTED_VALUE"""),3289.0)</f>
        <v>3289</v>
      </c>
      <c r="F165" s="9">
        <f>IFERROR(__xludf.DUMMYFUNCTION("""COMPUTED_VALUE"""),7575.0)</f>
        <v>7575</v>
      </c>
      <c r="G165" s="9">
        <f>IFERROR(__xludf.DUMMYFUNCTION("""COMPUTED_VALUE"""),10863.0)</f>
        <v>10863</v>
      </c>
      <c r="H165" s="4">
        <f>IFERROR(__xludf.DUMMYFUNCTION("""COMPUTED_VALUE"""),9.35)</f>
        <v>9.35</v>
      </c>
      <c r="I165" s="4">
        <f>IFERROR(__xludf.DUMMYFUNCTION("""COMPUTED_VALUE"""),22.57)</f>
        <v>22.57</v>
      </c>
      <c r="J165" s="4">
        <f>IFERROR(__xludf.DUMMYFUNCTION("""COMPUTED_VALUE"""),15.81)</f>
        <v>15.81</v>
      </c>
      <c r="K165" s="8">
        <f>IFERROR(__xludf.DUMMYFUNCTION("""COMPUTED_VALUE"""),-0.0143)</f>
        <v>-0.0143</v>
      </c>
    </row>
    <row r="166" ht="15.75" customHeight="1">
      <c r="C166" s="4" t="str">
        <f>IFERROR(__xludf.DUMMYFUNCTION("""COMPUTED_VALUE"""),"Tayikistán [+]")</f>
        <v>Tayikistán [+]</v>
      </c>
      <c r="D166" s="4">
        <f>IFERROR(__xludf.DUMMYFUNCTION("""COMPUTED_VALUE"""),2015.0)</f>
        <v>2015</v>
      </c>
      <c r="E166" s="4">
        <f>IFERROR(__xludf.DUMMYFUNCTION("""COMPUTED_VALUE"""),90.0)</f>
        <v>90</v>
      </c>
      <c r="F166" s="4">
        <f>IFERROR(__xludf.DUMMYFUNCTION("""COMPUTED_VALUE"""),248.0)</f>
        <v>248</v>
      </c>
      <c r="G166" s="4">
        <f>IFERROR(__xludf.DUMMYFUNCTION("""COMPUTED_VALUE"""),338.0)</f>
        <v>338</v>
      </c>
      <c r="H166" s="4">
        <f>IFERROR(__xludf.DUMMYFUNCTION("""COMPUTED_VALUE"""),2.16)</f>
        <v>2.16</v>
      </c>
      <c r="I166" s="4">
        <f>IFERROR(__xludf.DUMMYFUNCTION("""COMPUTED_VALUE"""),5.8)</f>
        <v>5.8</v>
      </c>
      <c r="J166" s="4">
        <f>IFERROR(__xludf.DUMMYFUNCTION("""COMPUTED_VALUE"""),4.0)</f>
        <v>4</v>
      </c>
      <c r="K166" s="8">
        <f>IFERROR(__xludf.DUMMYFUNCTION("""COMPUTED_VALUE"""),0.0204)</f>
        <v>0.0204</v>
      </c>
    </row>
    <row r="167" ht="15.75" customHeight="1">
      <c r="C167" s="4" t="str">
        <f>IFERROR(__xludf.DUMMYFUNCTION("""COMPUTED_VALUE"""),"Timor Oriental [+]")</f>
        <v>Timor Oriental [+]</v>
      </c>
      <c r="D167" s="4">
        <f>IFERROR(__xludf.DUMMYFUNCTION("""COMPUTED_VALUE"""),2015.0)</f>
        <v>2015</v>
      </c>
      <c r="E167" s="4">
        <f>IFERROR(__xludf.DUMMYFUNCTION("""COMPUTED_VALUE"""),27.0)</f>
        <v>27</v>
      </c>
      <c r="F167" s="4">
        <f>IFERROR(__xludf.DUMMYFUNCTION("""COMPUTED_VALUE"""),57.0)</f>
        <v>57</v>
      </c>
      <c r="G167" s="4">
        <f>IFERROR(__xludf.DUMMYFUNCTION("""COMPUTED_VALUE"""),84.0)</f>
        <v>84</v>
      </c>
      <c r="H167" s="4">
        <f>IFERROR(__xludf.DUMMYFUNCTION("""COMPUTED_VALUE"""),4.49)</f>
        <v>4.49</v>
      </c>
      <c r="I167" s="4">
        <f>IFERROR(__xludf.DUMMYFUNCTION("""COMPUTED_VALUE"""),9.47)</f>
        <v>9.47</v>
      </c>
      <c r="J167" s="4">
        <f>IFERROR(__xludf.DUMMYFUNCTION("""COMPUTED_VALUE"""),7.01)</f>
        <v>7.01</v>
      </c>
      <c r="K167" s="8">
        <f>IFERROR(__xludf.DUMMYFUNCTION("""COMPUTED_VALUE"""),-0.0715)</f>
        <v>-0.0715</v>
      </c>
    </row>
    <row r="168" ht="15.75" customHeight="1">
      <c r="C168" s="4" t="str">
        <f>IFERROR(__xludf.DUMMYFUNCTION("""COMPUTED_VALUE"""),"Turkmenistán [+]")</f>
        <v>Turkmenistán [+]</v>
      </c>
      <c r="D168" s="4">
        <f>IFERROR(__xludf.DUMMYFUNCTION("""COMPUTED_VALUE"""),2015.0)</f>
        <v>2015</v>
      </c>
      <c r="E168" s="4">
        <f>IFERROR(__xludf.DUMMYFUNCTION("""COMPUTED_VALUE"""),138.0)</f>
        <v>138</v>
      </c>
      <c r="F168" s="4">
        <f>IFERROR(__xludf.DUMMYFUNCTION("""COMPUTED_VALUE"""),401.0)</f>
        <v>401</v>
      </c>
      <c r="G168" s="4">
        <f>IFERROR(__xludf.DUMMYFUNCTION("""COMPUTED_VALUE"""),539.0)</f>
        <v>539</v>
      </c>
      <c r="H168" s="4">
        <f>IFERROR(__xludf.DUMMYFUNCTION("""COMPUTED_VALUE"""),4.9)</f>
        <v>4.9</v>
      </c>
      <c r="I168" s="4">
        <f>IFERROR(__xludf.DUMMYFUNCTION("""COMPUTED_VALUE"""),14.64)</f>
        <v>14.64</v>
      </c>
      <c r="J168" s="4">
        <f>IFERROR(__xludf.DUMMYFUNCTION("""COMPUTED_VALUE"""),9.69)</f>
        <v>9.69</v>
      </c>
      <c r="K168" s="8">
        <f>IFERROR(__xludf.DUMMYFUNCTION("""COMPUTED_VALUE"""),-0.0062)</f>
        <v>-0.0062</v>
      </c>
    </row>
    <row r="169" ht="15.75" customHeight="1">
      <c r="C169" s="4" t="str">
        <f>IFERROR(__xludf.DUMMYFUNCTION("""COMPUTED_VALUE"""),"Túnez [+]")</f>
        <v>Túnez [+]</v>
      </c>
      <c r="D169" s="4">
        <f>IFERROR(__xludf.DUMMYFUNCTION("""COMPUTED_VALUE"""),2015.0)</f>
        <v>2015</v>
      </c>
      <c r="E169" s="4">
        <f>IFERROR(__xludf.DUMMYFUNCTION("""COMPUTED_VALUE"""),250.0)</f>
        <v>250</v>
      </c>
      <c r="F169" s="4">
        <f>IFERROR(__xludf.DUMMYFUNCTION("""COMPUTED_VALUE"""),364.0)</f>
        <v>364</v>
      </c>
      <c r="G169" s="4">
        <f>IFERROR(__xludf.DUMMYFUNCTION("""COMPUTED_VALUE"""),614.0)</f>
        <v>614</v>
      </c>
      <c r="H169" s="4">
        <f>IFERROR(__xludf.DUMMYFUNCTION("""COMPUTED_VALUE"""),4.43)</f>
        <v>4.43</v>
      </c>
      <c r="I169" s="4">
        <f>IFERROR(__xludf.DUMMYFUNCTION("""COMPUTED_VALUE"""),6.57)</f>
        <v>6.57</v>
      </c>
      <c r="J169" s="4">
        <f>IFERROR(__xludf.DUMMYFUNCTION("""COMPUTED_VALUE"""),5.44)</f>
        <v>5.44</v>
      </c>
      <c r="K169" s="8">
        <f>IFERROR(__xludf.DUMMYFUNCTION("""COMPUTED_VALUE"""),-0.0216)</f>
        <v>-0.0216</v>
      </c>
    </row>
    <row r="170" ht="15.75" customHeight="1">
      <c r="C170" s="4" t="str">
        <f>IFERROR(__xludf.DUMMYFUNCTION("""COMPUTED_VALUE"""),"Tonga [+]")</f>
        <v>Tonga [+]</v>
      </c>
      <c r="D170" s="4">
        <f>IFERROR(__xludf.DUMMYFUNCTION("""COMPUTED_VALUE"""),2015.0)</f>
        <v>2015</v>
      </c>
      <c r="E170" s="4">
        <f>IFERROR(__xludf.DUMMYFUNCTION("""COMPUTED_VALUE"""),2.0)</f>
        <v>2</v>
      </c>
      <c r="F170" s="4">
        <f>IFERROR(__xludf.DUMMYFUNCTION("""COMPUTED_VALUE"""),2.0)</f>
        <v>2</v>
      </c>
      <c r="G170" s="4">
        <f>IFERROR(__xludf.DUMMYFUNCTION("""COMPUTED_VALUE"""),4.0)</f>
        <v>4</v>
      </c>
      <c r="H170" s="4">
        <f>IFERROR(__xludf.DUMMYFUNCTION("""COMPUTED_VALUE"""),3.09)</f>
        <v>3.09</v>
      </c>
      <c r="I170" s="4">
        <f>IFERROR(__xludf.DUMMYFUNCTION("""COMPUTED_VALUE"""),4.28)</f>
        <v>4.28</v>
      </c>
      <c r="J170" s="4">
        <f>IFERROR(__xludf.DUMMYFUNCTION("""COMPUTED_VALUE"""),3.64)</f>
        <v>3.64</v>
      </c>
      <c r="K170" s="8">
        <f>IFERROR(__xludf.DUMMYFUNCTION("""COMPUTED_VALUE"""),-0.0055)</f>
        <v>-0.0055</v>
      </c>
    </row>
    <row r="171" ht="15.75" customHeight="1">
      <c r="C171" s="4" t="str">
        <f>IFERROR(__xludf.DUMMYFUNCTION("""COMPUTED_VALUE"""),"Türkiye [+]")</f>
        <v>Türkiye [+]</v>
      </c>
      <c r="D171" s="4">
        <f>IFERROR(__xludf.DUMMYFUNCTION("""COMPUTED_VALUE"""),2019.0)</f>
        <v>2019</v>
      </c>
      <c r="E171" s="4">
        <f>IFERROR(__xludf.DUMMYFUNCTION("""COMPUTED_VALUE"""),780.0)</f>
        <v>780</v>
      </c>
      <c r="F171" s="9">
        <f>IFERROR(__xludf.DUMMYFUNCTION("""COMPUTED_VALUE"""),2624.0)</f>
        <v>2624</v>
      </c>
      <c r="G171" s="9">
        <f>IFERROR(__xludf.DUMMYFUNCTION("""COMPUTED_VALUE"""),3404.0)</f>
        <v>3404</v>
      </c>
      <c r="H171" s="4">
        <f>IFERROR(__xludf.DUMMYFUNCTION("""COMPUTED_VALUE"""),1.9)</f>
        <v>1.9</v>
      </c>
      <c r="I171" s="4">
        <f>IFERROR(__xludf.DUMMYFUNCTION("""COMPUTED_VALUE"""),6.34)</f>
        <v>6.34</v>
      </c>
      <c r="J171" s="4">
        <f>IFERROR(__xludf.DUMMYFUNCTION("""COMPUTED_VALUE"""),4.13)</f>
        <v>4.13</v>
      </c>
      <c r="K171" s="8">
        <f>IFERROR(__xludf.DUMMYFUNCTION("""COMPUTED_VALUE"""),0.0073)</f>
        <v>0.0073</v>
      </c>
    </row>
    <row r="172" ht="15.75" customHeight="1">
      <c r="C172" s="4" t="str">
        <f>IFERROR(__xludf.DUMMYFUNCTION("""COMPUTED_VALUE"""),"Trinidad y Tobago [+]")</f>
        <v>Trinidad y Tobago [+]</v>
      </c>
      <c r="D172" s="4">
        <f>IFERROR(__xludf.DUMMYFUNCTION("""COMPUTED_VALUE"""),2015.0)</f>
        <v>2015</v>
      </c>
      <c r="E172" s="4">
        <f>IFERROR(__xludf.DUMMYFUNCTION("""COMPUTED_VALUE"""),33.0)</f>
        <v>33</v>
      </c>
      <c r="F172" s="4">
        <f>IFERROR(__xludf.DUMMYFUNCTION("""COMPUTED_VALUE"""),165.0)</f>
        <v>165</v>
      </c>
      <c r="G172" s="4">
        <f>IFERROR(__xludf.DUMMYFUNCTION("""COMPUTED_VALUE"""),198.0)</f>
        <v>198</v>
      </c>
      <c r="H172" s="4">
        <f>IFERROR(__xludf.DUMMYFUNCTION("""COMPUTED_VALUE"""),4.78)</f>
        <v>4.78</v>
      </c>
      <c r="I172" s="4">
        <f>IFERROR(__xludf.DUMMYFUNCTION("""COMPUTED_VALUE"""),24.31)</f>
        <v>24.31</v>
      </c>
      <c r="J172" s="4">
        <f>IFERROR(__xludf.DUMMYFUNCTION("""COMPUTED_VALUE"""),14.44)</f>
        <v>14.44</v>
      </c>
      <c r="K172" s="8">
        <f>IFERROR(__xludf.DUMMYFUNCTION("""COMPUTED_VALUE"""),0.0056)</f>
        <v>0.0056</v>
      </c>
    </row>
    <row r="173" ht="15.75" customHeight="1">
      <c r="C173" s="4" t="str">
        <f>IFERROR(__xludf.DUMMYFUNCTION("""COMPUTED_VALUE"""),"Tanzania [+]")</f>
        <v>Tanzania [+]</v>
      </c>
      <c r="D173" s="4">
        <f>IFERROR(__xludf.DUMMYFUNCTION("""COMPUTED_VALUE"""),2015.0)</f>
        <v>2015</v>
      </c>
      <c r="E173" s="4">
        <f>IFERROR(__xludf.DUMMYFUNCTION("""COMPUTED_VALUE"""),965.0)</f>
        <v>965</v>
      </c>
      <c r="F173" s="9">
        <f>IFERROR(__xludf.DUMMYFUNCTION("""COMPUTED_VALUE"""),2769.0)</f>
        <v>2769</v>
      </c>
      <c r="G173" s="9">
        <f>IFERROR(__xludf.DUMMYFUNCTION("""COMPUTED_VALUE"""),3735.0)</f>
        <v>3735</v>
      </c>
      <c r="H173" s="4">
        <f>IFERROR(__xludf.DUMMYFUNCTION("""COMPUTED_VALUE"""),3.74)</f>
        <v>3.74</v>
      </c>
      <c r="I173" s="4">
        <f>IFERROR(__xludf.DUMMYFUNCTION("""COMPUTED_VALUE"""),10.78)</f>
        <v>10.78</v>
      </c>
      <c r="J173" s="4">
        <f>IFERROR(__xludf.DUMMYFUNCTION("""COMPUTED_VALUE"""),7.25)</f>
        <v>7.25</v>
      </c>
      <c r="K173" s="8">
        <f>IFERROR(__xludf.DUMMYFUNCTION("""COMPUTED_VALUE"""),0.0042)</f>
        <v>0.0042</v>
      </c>
    </row>
    <row r="174" ht="15.75" customHeight="1">
      <c r="C174" s="4" t="str">
        <f>IFERROR(__xludf.DUMMYFUNCTION("""COMPUTED_VALUE"""),"Ucrania [+]")</f>
        <v>Ucrania [+]</v>
      </c>
      <c r="D174" s="4">
        <f>IFERROR(__xludf.DUMMYFUNCTION("""COMPUTED_VALUE"""),2015.0)</f>
        <v>2015</v>
      </c>
      <c r="E174" s="9">
        <f>IFERROR(__xludf.DUMMYFUNCTION("""COMPUTED_VALUE"""),1960.0)</f>
        <v>1960</v>
      </c>
      <c r="F174" s="9">
        <f>IFERROR(__xludf.DUMMYFUNCTION("""COMPUTED_VALUE"""),7064.0)</f>
        <v>7064</v>
      </c>
      <c r="G174" s="9">
        <f>IFERROR(__xludf.DUMMYFUNCTION("""COMPUTED_VALUE"""),9024.0)</f>
        <v>9024</v>
      </c>
      <c r="H174" s="4">
        <f>IFERROR(__xludf.DUMMYFUNCTION("""COMPUTED_VALUE"""),8.57)</f>
        <v>8.57</v>
      </c>
      <c r="I174" s="4">
        <f>IFERROR(__xludf.DUMMYFUNCTION("""COMPUTED_VALUE"""),35.82)</f>
        <v>35.82</v>
      </c>
      <c r="J174" s="4">
        <f>IFERROR(__xludf.DUMMYFUNCTION("""COMPUTED_VALUE"""),21.19)</f>
        <v>21.19</v>
      </c>
      <c r="K174" s="8">
        <f>IFERROR(__xludf.DUMMYFUNCTION("""COMPUTED_VALUE"""),0.0262)</f>
        <v>0.0262</v>
      </c>
    </row>
    <row r="175" ht="15.75" customHeight="1">
      <c r="C175" s="4" t="str">
        <f>IFERROR(__xludf.DUMMYFUNCTION("""COMPUTED_VALUE"""),"Uganda [+]")</f>
        <v>Uganda [+]</v>
      </c>
      <c r="D175" s="4">
        <f>IFERROR(__xludf.DUMMYFUNCTION("""COMPUTED_VALUE"""),2015.0)</f>
        <v>2015</v>
      </c>
      <c r="E175" s="4">
        <f>IFERROR(__xludf.DUMMYFUNCTION("""COMPUTED_VALUE"""),868.0)</f>
        <v>868</v>
      </c>
      <c r="F175" s="9">
        <f>IFERROR(__xludf.DUMMYFUNCTION("""COMPUTED_VALUE"""),1923.0)</f>
        <v>1923</v>
      </c>
      <c r="G175" s="9">
        <f>IFERROR(__xludf.DUMMYFUNCTION("""COMPUTED_VALUE"""),2791.0)</f>
        <v>2791</v>
      </c>
      <c r="H175" s="4">
        <f>IFERROR(__xludf.DUMMYFUNCTION("""COMPUTED_VALUE"""),4.46)</f>
        <v>4.46</v>
      </c>
      <c r="I175" s="4">
        <f>IFERROR(__xludf.DUMMYFUNCTION("""COMPUTED_VALUE"""),10.24)</f>
        <v>10.24</v>
      </c>
      <c r="J175" s="4">
        <f>IFERROR(__xludf.DUMMYFUNCTION("""COMPUTED_VALUE"""),7.86)</f>
        <v>7.86</v>
      </c>
      <c r="K175" s="8">
        <f>IFERROR(__xludf.DUMMYFUNCTION("""COMPUTED_VALUE"""),0.0064)</f>
        <v>0.0064</v>
      </c>
    </row>
    <row r="176" ht="15.75" customHeight="1">
      <c r="C176" s="4" t="str">
        <f>IFERROR(__xludf.DUMMYFUNCTION("""COMPUTED_VALUE"""),"Uruguay [+]")</f>
        <v>Uruguay [+]</v>
      </c>
      <c r="D176" s="4">
        <f>IFERROR(__xludf.DUMMYFUNCTION("""COMPUTED_VALUE"""),2015.0)</f>
        <v>2015</v>
      </c>
      <c r="E176" s="4">
        <f>IFERROR(__xludf.DUMMYFUNCTION("""COMPUTED_VALUE"""),129.0)</f>
        <v>129</v>
      </c>
      <c r="F176" s="4">
        <f>IFERROR(__xludf.DUMMYFUNCTION("""COMPUTED_VALUE"""),454.0)</f>
        <v>454</v>
      </c>
      <c r="G176" s="4">
        <f>IFERROR(__xludf.DUMMYFUNCTION("""COMPUTED_VALUE"""),583.0)</f>
        <v>583</v>
      </c>
      <c r="H176" s="4">
        <f>IFERROR(__xludf.DUMMYFUNCTION("""COMPUTED_VALUE"""),7.3)</f>
        <v>7.3</v>
      </c>
      <c r="I176" s="4">
        <f>IFERROR(__xludf.DUMMYFUNCTION("""COMPUTED_VALUE"""),27.57)</f>
        <v>27.57</v>
      </c>
      <c r="J176" s="4">
        <f>IFERROR(__xludf.DUMMYFUNCTION("""COMPUTED_VALUE"""),16.8)</f>
        <v>16.8</v>
      </c>
      <c r="K176" s="8">
        <f>IFERROR(__xludf.DUMMYFUNCTION("""COMPUTED_VALUE"""),-0.021)</f>
        <v>-0.021</v>
      </c>
    </row>
    <row r="177" ht="15.75" customHeight="1">
      <c r="C177" s="4" t="str">
        <f>IFERROR(__xludf.DUMMYFUNCTION("""COMPUTED_VALUE"""),"Uzbekistán [+]")</f>
        <v>Uzbekistán [+]</v>
      </c>
      <c r="D177" s="4">
        <f>IFERROR(__xludf.DUMMYFUNCTION("""COMPUTED_VALUE"""),2015.0)</f>
        <v>2015</v>
      </c>
      <c r="E177" s="4">
        <f>IFERROR(__xludf.DUMMYFUNCTION("""COMPUTED_VALUE"""),835.0)</f>
        <v>835</v>
      </c>
      <c r="F177" s="9">
        <f>IFERROR(__xludf.DUMMYFUNCTION("""COMPUTED_VALUE"""),1957.0)</f>
        <v>1957</v>
      </c>
      <c r="G177" s="9">
        <f>IFERROR(__xludf.DUMMYFUNCTION("""COMPUTED_VALUE"""),2793.0)</f>
        <v>2793</v>
      </c>
      <c r="H177" s="4">
        <f>IFERROR(__xludf.DUMMYFUNCTION("""COMPUTED_VALUE"""),5.32)</f>
        <v>5.32</v>
      </c>
      <c r="I177" s="4">
        <f>IFERROR(__xludf.DUMMYFUNCTION("""COMPUTED_VALUE"""),12.55)</f>
        <v>12.55</v>
      </c>
      <c r="J177" s="4">
        <f>IFERROR(__xludf.DUMMYFUNCTION("""COMPUTED_VALUE"""),9.0)</f>
        <v>9</v>
      </c>
      <c r="K177" s="8">
        <f>IFERROR(__xludf.DUMMYFUNCTION("""COMPUTED_VALUE"""),-0.0731)</f>
        <v>-0.0731</v>
      </c>
    </row>
    <row r="178" ht="15.75" customHeight="1">
      <c r="C178" s="4" t="str">
        <f>IFERROR(__xludf.DUMMYFUNCTION("""COMPUTED_VALUE"""),"San Vicente y las Granadinas [+]")</f>
        <v>San Vicente y las Granadinas [+]</v>
      </c>
      <c r="D178" s="4">
        <f>IFERROR(__xludf.DUMMYFUNCTION("""COMPUTED_VALUE"""),2015.0)</f>
        <v>2015</v>
      </c>
      <c r="E178" s="4">
        <f>IFERROR(__xludf.DUMMYFUNCTION("""COMPUTED_VALUE"""),0.0)</f>
        <v>0</v>
      </c>
      <c r="F178" s="4">
        <f>IFERROR(__xludf.DUMMYFUNCTION("""COMPUTED_VALUE"""),3.0)</f>
        <v>3</v>
      </c>
      <c r="G178" s="4">
        <f>IFERROR(__xludf.DUMMYFUNCTION("""COMPUTED_VALUE"""),3.0)</f>
        <v>3</v>
      </c>
      <c r="H178" s="4">
        <f>IFERROR(__xludf.DUMMYFUNCTION("""COMPUTED_VALUE"""),0.44)</f>
        <v>0.44</v>
      </c>
      <c r="I178" s="4">
        <f>IFERROR(__xludf.DUMMYFUNCTION("""COMPUTED_VALUE"""),4.84)</f>
        <v>4.84</v>
      </c>
      <c r="J178" s="4">
        <f>IFERROR(__xludf.DUMMYFUNCTION("""COMPUTED_VALUE"""),2.66)</f>
        <v>2.66</v>
      </c>
      <c r="K178" s="8">
        <f>IFERROR(__xludf.DUMMYFUNCTION("""COMPUTED_VALUE"""),1.2735)</f>
        <v>1.2735</v>
      </c>
    </row>
    <row r="179" ht="15.75" customHeight="1">
      <c r="C179" s="4" t="str">
        <f>IFERROR(__xludf.DUMMYFUNCTION("""COMPUTED_VALUE"""),"Venezuela [+]")</f>
        <v>Venezuela [+]</v>
      </c>
      <c r="D179" s="4">
        <f>IFERROR(__xludf.DUMMYFUNCTION("""COMPUTED_VALUE"""),2015.0)</f>
        <v>2015</v>
      </c>
      <c r="E179" s="4">
        <f>IFERROR(__xludf.DUMMYFUNCTION("""COMPUTED_VALUE"""),162.0)</f>
        <v>162</v>
      </c>
      <c r="F179" s="4">
        <f>IFERROR(__xludf.DUMMYFUNCTION("""COMPUTED_VALUE"""),762.0)</f>
        <v>762</v>
      </c>
      <c r="G179" s="4">
        <f>IFERROR(__xludf.DUMMYFUNCTION("""COMPUTED_VALUE"""),924.0)</f>
        <v>924</v>
      </c>
      <c r="H179" s="4">
        <f>IFERROR(__xludf.DUMMYFUNCTION("""COMPUTED_VALUE"""),1.07)</f>
        <v>1.07</v>
      </c>
      <c r="I179" s="4">
        <f>IFERROR(__xludf.DUMMYFUNCTION("""COMPUTED_VALUE"""),5.1)</f>
        <v>5.1</v>
      </c>
      <c r="J179" s="4">
        <f>IFERROR(__xludf.DUMMYFUNCTION("""COMPUTED_VALUE"""),3.07)</f>
        <v>3.07</v>
      </c>
      <c r="K179" s="8">
        <f>IFERROR(__xludf.DUMMYFUNCTION("""COMPUTED_VALUE"""),0.0033)</f>
        <v>0.0033</v>
      </c>
    </row>
    <row r="180" ht="15.75" customHeight="1">
      <c r="C180" s="4" t="str">
        <f>IFERROR(__xludf.DUMMYFUNCTION("""COMPUTED_VALUE"""),"Viet Nam [+]")</f>
        <v>Viet Nam [+]</v>
      </c>
      <c r="D180" s="4">
        <f>IFERROR(__xludf.DUMMYFUNCTION("""COMPUTED_VALUE"""),2015.0)</f>
        <v>2015</v>
      </c>
      <c r="E180" s="9">
        <f>IFERROR(__xludf.DUMMYFUNCTION("""COMPUTED_VALUE"""),1749.0)</f>
        <v>1749</v>
      </c>
      <c r="F180" s="9">
        <f>IFERROR(__xludf.DUMMYFUNCTION("""COMPUTED_VALUE"""),5160.0)</f>
        <v>5160</v>
      </c>
      <c r="G180" s="9">
        <f>IFERROR(__xludf.DUMMYFUNCTION("""COMPUTED_VALUE"""),6910.0)</f>
        <v>6910</v>
      </c>
      <c r="H180" s="4">
        <f>IFERROR(__xludf.DUMMYFUNCTION("""COMPUTED_VALUE"""),3.76)</f>
        <v>3.76</v>
      </c>
      <c r="I180" s="4">
        <f>IFERROR(__xludf.DUMMYFUNCTION("""COMPUTED_VALUE"""),11.17)</f>
        <v>11.17</v>
      </c>
      <c r="J180" s="4">
        <f>IFERROR(__xludf.DUMMYFUNCTION("""COMPUTED_VALUE"""),7.53)</f>
        <v>7.53</v>
      </c>
      <c r="K180" s="8">
        <f>IFERROR(__xludf.DUMMYFUNCTION("""COMPUTED_VALUE"""),0.0203)</f>
        <v>0.0203</v>
      </c>
    </row>
    <row r="181" ht="15.75" customHeight="1">
      <c r="C181" s="4" t="str">
        <f>IFERROR(__xludf.DUMMYFUNCTION("""COMPUTED_VALUE"""),"Vanuatu [+]")</f>
        <v>Vanuatu [+]</v>
      </c>
      <c r="D181" s="4">
        <f>IFERROR(__xludf.DUMMYFUNCTION("""COMPUTED_VALUE"""),2015.0)</f>
        <v>2015</v>
      </c>
      <c r="E181" s="4">
        <f>IFERROR(__xludf.DUMMYFUNCTION("""COMPUTED_VALUE"""),4.0)</f>
        <v>4</v>
      </c>
      <c r="F181" s="4">
        <f>IFERROR(__xludf.DUMMYFUNCTION("""COMPUTED_VALUE"""),12.0)</f>
        <v>12</v>
      </c>
      <c r="G181" s="4">
        <f>IFERROR(__xludf.DUMMYFUNCTION("""COMPUTED_VALUE"""),15.0)</f>
        <v>15</v>
      </c>
      <c r="H181" s="4">
        <f>IFERROR(__xludf.DUMMYFUNCTION("""COMPUTED_VALUE"""),2.73)</f>
        <v>2.73</v>
      </c>
      <c r="I181" s="4">
        <f>IFERROR(__xludf.DUMMYFUNCTION("""COMPUTED_VALUE"""),8.48)</f>
        <v>8.48</v>
      </c>
      <c r="J181" s="4">
        <f>IFERROR(__xludf.DUMMYFUNCTION("""COMPUTED_VALUE"""),5.69)</f>
        <v>5.69</v>
      </c>
      <c r="K181" s="8">
        <f>IFERROR(__xludf.DUMMYFUNCTION("""COMPUTED_VALUE"""),-0.0156)</f>
        <v>-0.0156</v>
      </c>
    </row>
    <row r="182" ht="15.75" customHeight="1">
      <c r="C182" s="4" t="str">
        <f>IFERROR(__xludf.DUMMYFUNCTION("""COMPUTED_VALUE"""),"Samoa [+]")</f>
        <v>Samoa [+]</v>
      </c>
      <c r="D182" s="4">
        <f>IFERROR(__xludf.DUMMYFUNCTION("""COMPUTED_VALUE"""),2015.0)</f>
        <v>2015</v>
      </c>
      <c r="E182" s="4">
        <f>IFERROR(__xludf.DUMMYFUNCTION("""COMPUTED_VALUE"""),2.0)</f>
        <v>2</v>
      </c>
      <c r="F182" s="4">
        <f>IFERROR(__xludf.DUMMYFUNCTION("""COMPUTED_VALUE"""),9.0)</f>
        <v>9</v>
      </c>
      <c r="G182" s="4">
        <f>IFERROR(__xludf.DUMMYFUNCTION("""COMPUTED_VALUE"""),11.0)</f>
        <v>11</v>
      </c>
      <c r="H182" s="4">
        <f>IFERROR(__xludf.DUMMYFUNCTION("""COMPUTED_VALUE"""),2.39)</f>
        <v>2.39</v>
      </c>
      <c r="I182" s="4">
        <f>IFERROR(__xludf.DUMMYFUNCTION("""COMPUTED_VALUE"""),8.82)</f>
        <v>8.82</v>
      </c>
      <c r="J182" s="4">
        <f>IFERROR(__xludf.DUMMYFUNCTION("""COMPUTED_VALUE"""),5.7)</f>
        <v>5.7</v>
      </c>
      <c r="K182" s="8">
        <f>IFERROR(__xludf.DUMMYFUNCTION("""COMPUTED_VALUE"""),-0.0206)</f>
        <v>-0.0206</v>
      </c>
    </row>
    <row r="183" ht="15.75" customHeight="1">
      <c r="C183" s="4" t="str">
        <f>IFERROR(__xludf.DUMMYFUNCTION("""COMPUTED_VALUE"""),"Yemen [+]")</f>
        <v>Yemen [+]</v>
      </c>
      <c r="D183" s="4">
        <f>IFERROR(__xludf.DUMMYFUNCTION("""COMPUTED_VALUE"""),2015.0)</f>
        <v>2015</v>
      </c>
      <c r="E183" s="4">
        <f>IFERROR(__xludf.DUMMYFUNCTION("""COMPUTED_VALUE"""),767.0)</f>
        <v>767</v>
      </c>
      <c r="F183" s="9">
        <f>IFERROR(__xludf.DUMMYFUNCTION("""COMPUTED_VALUE"""),1436.0)</f>
        <v>1436</v>
      </c>
      <c r="G183" s="9">
        <f>IFERROR(__xludf.DUMMYFUNCTION("""COMPUTED_VALUE"""),2204.0)</f>
        <v>2204</v>
      </c>
      <c r="H183" s="4">
        <f>IFERROR(__xludf.DUMMYFUNCTION("""COMPUTED_VALUE"""),5.84)</f>
        <v>5.84</v>
      </c>
      <c r="I183" s="4">
        <f>IFERROR(__xludf.DUMMYFUNCTION("""COMPUTED_VALUE"""),10.75)</f>
        <v>10.75</v>
      </c>
      <c r="J183" s="4">
        <f>IFERROR(__xludf.DUMMYFUNCTION("""COMPUTED_VALUE"""),8.19)</f>
        <v>8.19</v>
      </c>
      <c r="K183" s="8">
        <f>IFERROR(__xludf.DUMMYFUNCTION("""COMPUTED_VALUE"""),-0.0036)</f>
        <v>-0.0036</v>
      </c>
    </row>
    <row r="184" ht="15.75" customHeight="1">
      <c r="C184" s="4" t="str">
        <f>IFERROR(__xludf.DUMMYFUNCTION("""COMPUTED_VALUE"""),"Sudáfrica [+]")</f>
        <v>Sudáfrica [+]</v>
      </c>
      <c r="D184" s="4">
        <f>IFERROR(__xludf.DUMMYFUNCTION("""COMPUTED_VALUE"""),2018.0)</f>
        <v>2018</v>
      </c>
      <c r="E184" s="4">
        <f>IFERROR(__xludf.DUMMYFUNCTION("""COMPUTED_VALUE"""),82.0)</f>
        <v>82</v>
      </c>
      <c r="F184" s="4">
        <f>IFERROR(__xludf.DUMMYFUNCTION("""COMPUTED_VALUE"""),232.0)</f>
        <v>232</v>
      </c>
      <c r="G184" s="4">
        <f>IFERROR(__xludf.DUMMYFUNCTION("""COMPUTED_VALUE"""),314.0)</f>
        <v>314</v>
      </c>
      <c r="H184" s="4">
        <f>IFERROR(__xludf.DUMMYFUNCTION("""COMPUTED_VALUE"""),0.3)</f>
        <v>0.3</v>
      </c>
      <c r="I184" s="4">
        <f>IFERROR(__xludf.DUMMYFUNCTION("""COMPUTED_VALUE"""),0.8)</f>
        <v>0.8</v>
      </c>
      <c r="J184" s="4">
        <f>IFERROR(__xludf.DUMMYFUNCTION("""COMPUTED_VALUE"""),0.5)</f>
        <v>0.5</v>
      </c>
      <c r="K184" s="8">
        <f>IFERROR(__xludf.DUMMYFUNCTION("""COMPUTED_VALUE"""),-0.2857)</f>
        <v>-0.2857</v>
      </c>
    </row>
    <row r="185" ht="15.75" customHeight="1">
      <c r="C185" s="4" t="str">
        <f>IFERROR(__xludf.DUMMYFUNCTION("""COMPUTED_VALUE"""),"Zambia [+]")</f>
        <v>Zambia [+]</v>
      </c>
      <c r="D185" s="4">
        <f>IFERROR(__xludf.DUMMYFUNCTION("""COMPUTED_VALUE"""),2015.0)</f>
        <v>2015</v>
      </c>
      <c r="E185" s="4">
        <f>IFERROR(__xludf.DUMMYFUNCTION("""COMPUTED_VALUE"""),239.0)</f>
        <v>239</v>
      </c>
      <c r="F185" s="4">
        <f>IFERROR(__xludf.DUMMYFUNCTION("""COMPUTED_VALUE"""),799.0)</f>
        <v>799</v>
      </c>
      <c r="G185" s="9">
        <f>IFERROR(__xludf.DUMMYFUNCTION("""COMPUTED_VALUE"""),1038.0)</f>
        <v>1038</v>
      </c>
      <c r="H185" s="4">
        <f>IFERROR(__xludf.DUMMYFUNCTION("""COMPUTED_VALUE"""),2.98)</f>
        <v>2.98</v>
      </c>
      <c r="I185" s="4">
        <f>IFERROR(__xludf.DUMMYFUNCTION("""COMPUTED_VALUE"""),10.17)</f>
        <v>10.17</v>
      </c>
      <c r="J185" s="4">
        <f>IFERROR(__xludf.DUMMYFUNCTION("""COMPUTED_VALUE"""),6.4)</f>
        <v>6.4</v>
      </c>
      <c r="K185" s="8">
        <f>IFERROR(__xludf.DUMMYFUNCTION("""COMPUTED_VALUE"""),-0.0154)</f>
        <v>-0.0154</v>
      </c>
    </row>
    <row r="186" ht="15.75" customHeight="1">
      <c r="C186" s="4" t="str">
        <f>IFERROR(__xludf.DUMMYFUNCTION("""COMPUTED_VALUE"""),"Zimbabue [+]")</f>
        <v>Zimbabue [+]</v>
      </c>
      <c r="D186" s="4">
        <f>IFERROR(__xludf.DUMMYFUNCTION("""COMPUTED_VALUE"""),2015.0)</f>
        <v>2015</v>
      </c>
      <c r="E186" s="4">
        <f>IFERROR(__xludf.DUMMYFUNCTION("""COMPUTED_VALUE"""),439.0)</f>
        <v>439</v>
      </c>
      <c r="F186" s="9">
        <f>IFERROR(__xludf.DUMMYFUNCTION("""COMPUTED_VALUE"""),1202.0)</f>
        <v>1202</v>
      </c>
      <c r="G186" s="9">
        <f>IFERROR(__xludf.DUMMYFUNCTION("""COMPUTED_VALUE"""),1641.0)</f>
        <v>1641</v>
      </c>
      <c r="H186" s="4">
        <f>IFERROR(__xludf.DUMMYFUNCTION("""COMPUTED_VALUE"""),6.06)</f>
        <v>6.06</v>
      </c>
      <c r="I186" s="4">
        <f>IFERROR(__xludf.DUMMYFUNCTION("""COMPUTED_VALUE"""),18.29)</f>
        <v>18.29</v>
      </c>
      <c r="J186" s="4">
        <f>IFERROR(__xludf.DUMMYFUNCTION("""COMPUTED_VALUE"""),11.71)</f>
        <v>11.71</v>
      </c>
      <c r="K186" s="8">
        <f>IFERROR(__xludf.DUMMYFUNCTION("""COMPUTED_VALUE"""),-0.0126)</f>
        <v>-0.0126</v>
      </c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1</v>
      </c>
      <c r="B1" s="2" t="str">
        <f>SUBSTITUTE(C1,"[+]","")</f>
        <v/>
      </c>
    </row>
    <row r="2" ht="15.75" customHeight="1">
      <c r="B2" s="3"/>
      <c r="C2" s="2" t="str">
        <f>IFERROR(__xludf.DUMMYFUNCTION("IMPORTXML(A1, ""//table[1]/thead/tr"")"),"Países")</f>
        <v>Países</v>
      </c>
      <c r="D2" s="2" t="str">
        <f>IFERROR(__xludf.DUMMYFUNCTION("""COMPUTED_VALUE"""),"Fecha")</f>
        <v>Fecha</v>
      </c>
      <c r="E2" s="2" t="str">
        <f>IFERROR(__xludf.DUMMYFUNCTION("""COMPUTED_VALUE"""),"Suicidios mujeres")</f>
        <v>Suicidios mujeres</v>
      </c>
      <c r="F2" s="2" t="str">
        <f>IFERROR(__xludf.DUMMYFUNCTION("""COMPUTED_VALUE"""),"Suicidios hombres")</f>
        <v>Suicidios hombres</v>
      </c>
      <c r="G2" s="2" t="str">
        <f>IFERROR(__xludf.DUMMYFUNCTION("""COMPUTED_VALUE"""),"Suicidios ")</f>
        <v>Suicidios </v>
      </c>
      <c r="H2" s="2" t="str">
        <f>IFERROR(__xludf.DUMMYFUNCTION("""COMPUTED_VALUE"""),"Suicidios tasa femenina")</f>
        <v>Suicidios tasa femenina</v>
      </c>
      <c r="I2" s="2" t="str">
        <f>IFERROR(__xludf.DUMMYFUNCTION("""COMPUTED_VALUE"""),"Suicidios tasa masculina")</f>
        <v>Suicidios tasa masculina</v>
      </c>
      <c r="J2" s="2" t="str">
        <f>IFERROR(__xludf.DUMMYFUNCTION("""COMPUTED_VALUE"""),"Suicidios por 100.000")</f>
        <v>Suicidios por 100.000</v>
      </c>
      <c r="K2" s="4" t="str">
        <f>IFERROR(__xludf.DUMMYFUNCTION("""COMPUTED_VALUE"""),"Var.")</f>
        <v>Var.</v>
      </c>
    </row>
    <row r="3" ht="15.75" customHeight="1">
      <c r="C3" s="2" t="str">
        <f>IFERROR(__xludf.DUMMYFUNCTION("IMPORTXML(A1, ""//table[1]/tbody/tr"")"),"España [+]")</f>
        <v>España [+]</v>
      </c>
      <c r="D3" s="2">
        <f>IFERROR(__xludf.DUMMYFUNCTION("""COMPUTED_VALUE"""),2018.0)</f>
        <v>2018</v>
      </c>
      <c r="E3" s="5">
        <f>IFERROR(__xludf.DUMMYFUNCTION("""COMPUTED_VALUE"""),920.0)</f>
        <v>920</v>
      </c>
      <c r="F3" s="6">
        <f>IFERROR(__xludf.DUMMYFUNCTION("""COMPUTED_VALUE"""),2619.0)</f>
        <v>2619</v>
      </c>
      <c r="G3" s="6">
        <f>IFERROR(__xludf.DUMMYFUNCTION("""COMPUTED_VALUE"""),3539.0)</f>
        <v>3539</v>
      </c>
      <c r="H3" s="2">
        <f>IFERROR(__xludf.DUMMYFUNCTION("""COMPUTED_VALUE"""),3.83)</f>
        <v>3.83</v>
      </c>
      <c r="I3" s="7">
        <f>IFERROR(__xludf.DUMMYFUNCTION("""COMPUTED_VALUE"""),11.31)</f>
        <v>11.31</v>
      </c>
      <c r="J3" s="2">
        <f>IFERROR(__xludf.DUMMYFUNCTION("""COMPUTED_VALUE"""),7.49)</f>
        <v>7.49</v>
      </c>
      <c r="K3" s="8">
        <f>IFERROR(__xludf.DUMMYFUNCTION("""COMPUTED_VALUE"""),-0.041)</f>
        <v>-0.041</v>
      </c>
    </row>
    <row r="4" ht="15.75" customHeight="1">
      <c r="C4" s="2" t="str">
        <f>IFERROR(__xludf.DUMMYFUNCTION("""COMPUTED_VALUE"""),"Alemania [+]")</f>
        <v>Alemania [+]</v>
      </c>
      <c r="D4" s="2">
        <f>IFERROR(__xludf.DUMMYFUNCTION("""COMPUTED_VALUE"""),2018.0)</f>
        <v>2018</v>
      </c>
      <c r="E4" s="5">
        <f>IFERROR(__xludf.DUMMYFUNCTION("""COMPUTED_VALUE"""),2299.0)</f>
        <v>2299</v>
      </c>
      <c r="F4" s="6">
        <f>IFERROR(__xludf.DUMMYFUNCTION("""COMPUTED_VALUE"""),7180.0)</f>
        <v>7180</v>
      </c>
      <c r="G4" s="6">
        <f>IFERROR(__xludf.DUMMYFUNCTION("""COMPUTED_VALUE"""),9479.0)</f>
        <v>9479</v>
      </c>
      <c r="H4" s="2">
        <f>IFERROR(__xludf.DUMMYFUNCTION("""COMPUTED_VALUE"""),5.47)</f>
        <v>5.47</v>
      </c>
      <c r="I4" s="7">
        <f>IFERROR(__xludf.DUMMYFUNCTION("""COMPUTED_VALUE"""),17.46)</f>
        <v>17.46</v>
      </c>
      <c r="J4" s="2">
        <f>IFERROR(__xludf.DUMMYFUNCTION("""COMPUTED_VALUE"""),11.38)</f>
        <v>11.38</v>
      </c>
      <c r="K4" s="8">
        <f>IFERROR(__xludf.DUMMYFUNCTION("""COMPUTED_VALUE"""),0.0098)</f>
        <v>0.0098</v>
      </c>
    </row>
    <row r="5" ht="15.75" customHeight="1">
      <c r="C5" s="2" t="str">
        <f>IFERROR(__xludf.DUMMYFUNCTION("""COMPUTED_VALUE"""),"Reino Unido [+]")</f>
        <v>Reino Unido [+]</v>
      </c>
      <c r="D5" s="2">
        <f>IFERROR(__xludf.DUMMYFUNCTION("""COMPUTED_VALUE"""),2018.0)</f>
        <v>2018</v>
      </c>
      <c r="E5" s="5">
        <f>IFERROR(__xludf.DUMMYFUNCTION("""COMPUTED_VALUE"""),1256.0)</f>
        <v>1256</v>
      </c>
      <c r="F5" s="6">
        <f>IFERROR(__xludf.DUMMYFUNCTION("""COMPUTED_VALUE"""),4116.0)</f>
        <v>4116</v>
      </c>
      <c r="G5" s="6">
        <f>IFERROR(__xludf.DUMMYFUNCTION("""COMPUTED_VALUE"""),5372.0)</f>
        <v>5372</v>
      </c>
      <c r="H5" s="2">
        <f>IFERROR(__xludf.DUMMYFUNCTION("""COMPUTED_VALUE"""),3.74)</f>
        <v>3.74</v>
      </c>
      <c r="I5" s="7">
        <f>IFERROR(__xludf.DUMMYFUNCTION("""COMPUTED_VALUE"""),12.53)</f>
        <v>12.53</v>
      </c>
      <c r="J5" s="2">
        <f>IFERROR(__xludf.DUMMYFUNCTION("""COMPUTED_VALUE"""),8.08)</f>
        <v>8.08</v>
      </c>
      <c r="K5" s="8">
        <f>IFERROR(__xludf.DUMMYFUNCTION("""COMPUTED_VALUE"""),0.1114)</f>
        <v>0.1114</v>
      </c>
    </row>
    <row r="6" ht="15.75" customHeight="1">
      <c r="C6" s="2" t="str">
        <f>IFERROR(__xludf.DUMMYFUNCTION("""COMPUTED_VALUE"""),"Francia [+]")</f>
        <v>Francia [+]</v>
      </c>
      <c r="D6" s="2">
        <f>IFERROR(__xludf.DUMMYFUNCTION("""COMPUTED_VALUE"""),2017.0)</f>
        <v>2017</v>
      </c>
      <c r="E6" s="5">
        <f>IFERROR(__xludf.DUMMYFUNCTION("""COMPUTED_VALUE"""),2091.0)</f>
        <v>2091</v>
      </c>
      <c r="F6" s="6">
        <f>IFERROR(__xludf.DUMMYFUNCTION("""COMPUTED_VALUE"""),6298.0)</f>
        <v>6298</v>
      </c>
      <c r="G6" s="6">
        <f>IFERROR(__xludf.DUMMYFUNCTION("""COMPUTED_VALUE"""),8389.0)</f>
        <v>8389</v>
      </c>
      <c r="H6" s="2">
        <f>IFERROR(__xludf.DUMMYFUNCTION("""COMPUTED_VALUE"""),6.04)</f>
        <v>6.04</v>
      </c>
      <c r="I6" s="7">
        <f>IFERROR(__xludf.DUMMYFUNCTION("""COMPUTED_VALUE"""),19.45)</f>
        <v>19.45</v>
      </c>
      <c r="J6" s="2">
        <f>IFERROR(__xludf.DUMMYFUNCTION("""COMPUTED_VALUE"""),12.53)</f>
        <v>12.53</v>
      </c>
      <c r="K6" s="8">
        <f>IFERROR(__xludf.DUMMYFUNCTION("""COMPUTED_VALUE"""),-0.0287)</f>
        <v>-0.0287</v>
      </c>
    </row>
    <row r="7" ht="15.75" customHeight="1">
      <c r="C7" s="2" t="str">
        <f>IFERROR(__xludf.DUMMYFUNCTION("""COMPUTED_VALUE"""),"Italia [+]")</f>
        <v>Italia [+]</v>
      </c>
      <c r="D7" s="2">
        <f>IFERROR(__xludf.DUMMYFUNCTION("""COMPUTED_VALUE"""),2018.0)</f>
        <v>2018</v>
      </c>
      <c r="E7" s="5">
        <f>IFERROR(__xludf.DUMMYFUNCTION("""COMPUTED_VALUE"""),874.0)</f>
        <v>874</v>
      </c>
      <c r="F7" s="6">
        <f>IFERROR(__xludf.DUMMYFUNCTION("""COMPUTED_VALUE"""),2914.0)</f>
        <v>2914</v>
      </c>
      <c r="G7" s="6">
        <f>IFERROR(__xludf.DUMMYFUNCTION("""COMPUTED_VALUE"""),3788.0)</f>
        <v>3788</v>
      </c>
      <c r="H7" s="2">
        <f>IFERROR(__xludf.DUMMYFUNCTION("""COMPUTED_VALUE"""),2.78)</f>
        <v>2.78</v>
      </c>
      <c r="I7" s="7">
        <f>IFERROR(__xludf.DUMMYFUNCTION("""COMPUTED_VALUE"""),9.67)</f>
        <v>9.67</v>
      </c>
      <c r="J7" s="2">
        <f>IFERROR(__xludf.DUMMYFUNCTION("""COMPUTED_VALUE"""),6.13)</f>
        <v>6.13</v>
      </c>
      <c r="K7" s="8">
        <f>IFERROR(__xludf.DUMMYFUNCTION("""COMPUTED_VALUE"""),-0.0392)</f>
        <v>-0.0392</v>
      </c>
    </row>
    <row r="8" ht="15.75" customHeight="1">
      <c r="C8" s="2" t="str">
        <f>IFERROR(__xludf.DUMMYFUNCTION("""COMPUTED_VALUE"""),"Portugal [+]")</f>
        <v>Portugal [+]</v>
      </c>
      <c r="D8" s="2">
        <f>IFERROR(__xludf.DUMMYFUNCTION("""COMPUTED_VALUE"""),2018.0)</f>
        <v>2018</v>
      </c>
      <c r="E8" s="5">
        <f>IFERROR(__xludf.DUMMYFUNCTION("""COMPUTED_VALUE"""),259.0)</f>
        <v>259</v>
      </c>
      <c r="F8" s="2">
        <f>IFERROR(__xludf.DUMMYFUNCTION("""COMPUTED_VALUE"""),737.0)</f>
        <v>737</v>
      </c>
      <c r="G8" s="6">
        <f>IFERROR(__xludf.DUMMYFUNCTION("""COMPUTED_VALUE"""),996.0)</f>
        <v>996</v>
      </c>
      <c r="H8" s="2">
        <f>IFERROR(__xludf.DUMMYFUNCTION("""COMPUTED_VALUE"""),4.72)</f>
        <v>4.72</v>
      </c>
      <c r="I8" s="7">
        <f>IFERROR(__xludf.DUMMYFUNCTION("""COMPUTED_VALUE"""),15.1)</f>
        <v>15.1</v>
      </c>
      <c r="J8" s="2">
        <f>IFERROR(__xludf.DUMMYFUNCTION("""COMPUTED_VALUE"""),9.63)</f>
        <v>9.63</v>
      </c>
      <c r="K8" s="8">
        <f>IFERROR(__xludf.DUMMYFUNCTION("""COMPUTED_VALUE"""),-0.0559)</f>
        <v>-0.0559</v>
      </c>
    </row>
    <row r="9" ht="15.75" customHeight="1">
      <c r="C9" s="2" t="str">
        <f>IFERROR(__xludf.DUMMYFUNCTION("""COMPUTED_VALUE"""),"Estados Unidos [+]")</f>
        <v>Estados Unidos [+]</v>
      </c>
      <c r="D9" s="2">
        <f>IFERROR(__xludf.DUMMYFUNCTION("""COMPUTED_VALUE"""),2018.0)</f>
        <v>2018</v>
      </c>
      <c r="E9" s="6">
        <f>IFERROR(__xludf.DUMMYFUNCTION("""COMPUTED_VALUE"""),10574.0)</f>
        <v>10574</v>
      </c>
      <c r="F9" s="6">
        <f>IFERROR(__xludf.DUMMYFUNCTION("""COMPUTED_VALUE"""),37738.0)</f>
        <v>37738</v>
      </c>
      <c r="G9" s="6">
        <f>IFERROR(__xludf.DUMMYFUNCTION("""COMPUTED_VALUE"""),48312.0)</f>
        <v>48312</v>
      </c>
      <c r="H9" s="2">
        <f>IFERROR(__xludf.DUMMYFUNCTION("""COMPUTED_VALUE"""),6.4)</f>
        <v>6.4</v>
      </c>
      <c r="I9" s="7">
        <f>IFERROR(__xludf.DUMMYFUNCTION("""COMPUTED_VALUE"""),23.4)</f>
        <v>23.4</v>
      </c>
      <c r="J9" s="2">
        <f>IFERROR(__xludf.DUMMYFUNCTION("""COMPUTED_VALUE"""),14.8)</f>
        <v>14.8</v>
      </c>
      <c r="K9" s="8">
        <f>IFERROR(__xludf.DUMMYFUNCTION("""COMPUTED_VALUE"""),0.0207)</f>
        <v>0.0207</v>
      </c>
    </row>
    <row r="10" ht="15.75" customHeight="1">
      <c r="C10" s="2" t="str">
        <f>IFERROR(__xludf.DUMMYFUNCTION("""COMPUTED_VALUE"""),"Japón [+]")</f>
        <v>Japón [+]</v>
      </c>
      <c r="D10" s="2">
        <f>IFERROR(__xludf.DUMMYFUNCTION("""COMPUTED_VALUE"""),2018.0)</f>
        <v>2018</v>
      </c>
      <c r="E10" s="6">
        <f>IFERROR(__xludf.DUMMYFUNCTION("""COMPUTED_VALUE"""),6180.0)</f>
        <v>6180</v>
      </c>
      <c r="F10" s="6">
        <f>IFERROR(__xludf.DUMMYFUNCTION("""COMPUTED_VALUE"""),13851.0)</f>
        <v>13851</v>
      </c>
      <c r="G10" s="6">
        <f>IFERROR(__xludf.DUMMYFUNCTION("""COMPUTED_VALUE"""),20031.0)</f>
        <v>20031</v>
      </c>
      <c r="H10" s="2">
        <f>IFERROR(__xludf.DUMMYFUNCTION("""COMPUTED_VALUE"""),9.5)</f>
        <v>9.5</v>
      </c>
      <c r="I10" s="7">
        <f>IFERROR(__xludf.DUMMYFUNCTION("""COMPUTED_VALUE"""),22.5)</f>
        <v>22.5</v>
      </c>
      <c r="J10" s="2">
        <f>IFERROR(__xludf.DUMMYFUNCTION("""COMPUTED_VALUE"""),15.8)</f>
        <v>15.8</v>
      </c>
      <c r="K10" s="8">
        <f>IFERROR(__xludf.DUMMYFUNCTION("""COMPUTED_VALUE"""),-0.0247)</f>
        <v>-0.0247</v>
      </c>
    </row>
    <row r="11" ht="15.75" customHeight="1">
      <c r="C11" s="2" t="str">
        <f>IFERROR(__xludf.DUMMYFUNCTION("""COMPUTED_VALUE"""),"China [+]")</f>
        <v>China [+]</v>
      </c>
      <c r="D11" s="2">
        <f>IFERROR(__xludf.DUMMYFUNCTION("""COMPUTED_VALUE"""),2015.0)</f>
        <v>2015</v>
      </c>
      <c r="E11" s="6">
        <f>IFERROR(__xludf.DUMMYFUNCTION("""COMPUTED_VALUE"""),76844.0)</f>
        <v>76844</v>
      </c>
      <c r="F11" s="6">
        <f>IFERROR(__xludf.DUMMYFUNCTION("""COMPUTED_VALUE"""),61779.0)</f>
        <v>61779</v>
      </c>
      <c r="G11" s="6">
        <f>IFERROR(__xludf.DUMMYFUNCTION("""COMPUTED_VALUE"""),138622.0)</f>
        <v>138622</v>
      </c>
      <c r="H11" s="2">
        <f>IFERROR(__xludf.DUMMYFUNCTION("""COMPUTED_VALUE"""),11.45)</f>
        <v>11.45</v>
      </c>
      <c r="I11" s="7">
        <f>IFERROR(__xludf.DUMMYFUNCTION("""COMPUTED_VALUE"""),8.72)</f>
        <v>8.72</v>
      </c>
      <c r="J11" s="2">
        <f>IFERROR(__xludf.DUMMYFUNCTION("""COMPUTED_VALUE"""),10.02)</f>
        <v>10.02</v>
      </c>
      <c r="K11" s="8">
        <f>IFERROR(__xludf.DUMMYFUNCTION("""COMPUTED_VALUE"""),0.005)</f>
        <v>0.005</v>
      </c>
    </row>
    <row r="12" ht="15.75" customHeight="1">
      <c r="C12" s="2" t="str">
        <f>IFERROR(__xludf.DUMMYFUNCTION("""COMPUTED_VALUE"""),"Emiratos Árabes Unidos [+]")</f>
        <v>Emiratos Árabes Unidos [+]</v>
      </c>
      <c r="D12" s="2">
        <f>IFERROR(__xludf.DUMMYFUNCTION("""COMPUTED_VALUE"""),2015.0)</f>
        <v>2015</v>
      </c>
      <c r="E12" s="2">
        <f>IFERROR(__xludf.DUMMYFUNCTION("""COMPUTED_VALUE"""),19.0)</f>
        <v>19</v>
      </c>
      <c r="F12" s="2">
        <f>IFERROR(__xludf.DUMMYFUNCTION("""COMPUTED_VALUE"""),242.0)</f>
        <v>242</v>
      </c>
      <c r="G12" s="6">
        <f>IFERROR(__xludf.DUMMYFUNCTION("""COMPUTED_VALUE"""),261.0)</f>
        <v>261</v>
      </c>
      <c r="H12" s="2">
        <f>IFERROR(__xludf.DUMMYFUNCTION("""COMPUTED_VALUE"""),0.7)</f>
        <v>0.7</v>
      </c>
      <c r="I12" s="7">
        <f>IFERROR(__xludf.DUMMYFUNCTION("""COMPUTED_VALUE"""),3.71)</f>
        <v>3.71</v>
      </c>
      <c r="J12" s="2">
        <f>IFERROR(__xludf.DUMMYFUNCTION("""COMPUTED_VALUE"""),2.92)</f>
        <v>2.92</v>
      </c>
      <c r="K12" s="8">
        <f>IFERROR(__xludf.DUMMYFUNCTION("""COMPUTED_VALUE"""),-0.0299)</f>
        <v>-0.0299</v>
      </c>
    </row>
    <row r="13" ht="15.75" customHeight="1">
      <c r="C13" s="2" t="str">
        <f>IFERROR(__xludf.DUMMYFUNCTION("""COMPUTED_VALUE"""),"Afganistán [+]")</f>
        <v>Afganistán [+]</v>
      </c>
      <c r="D13" s="2">
        <f>IFERROR(__xludf.DUMMYFUNCTION("""COMPUTED_VALUE"""),2015.0)</f>
        <v>2015</v>
      </c>
      <c r="E13" s="2">
        <f>IFERROR(__xludf.DUMMYFUNCTION("""COMPUTED_VALUE"""),401.0)</f>
        <v>401</v>
      </c>
      <c r="F13" s="6">
        <f>IFERROR(__xludf.DUMMYFUNCTION("""COMPUTED_VALUE"""),1395.0)</f>
        <v>1395</v>
      </c>
      <c r="G13" s="6">
        <f>IFERROR(__xludf.DUMMYFUNCTION("""COMPUTED_VALUE"""),1796.0)</f>
        <v>1796</v>
      </c>
      <c r="H13" s="2">
        <f>IFERROR(__xludf.DUMMYFUNCTION("""COMPUTED_VALUE"""),2.4)</f>
        <v>2.4</v>
      </c>
      <c r="I13" s="7">
        <f>IFERROR(__xludf.DUMMYFUNCTION("""COMPUTED_VALUE"""),7.89)</f>
        <v>7.89</v>
      </c>
      <c r="J13" s="2">
        <f>IFERROR(__xludf.DUMMYFUNCTION("""COMPUTED_VALUE"""),6.32)</f>
        <v>6.32</v>
      </c>
      <c r="K13" s="8">
        <f>IFERROR(__xludf.DUMMYFUNCTION("""COMPUTED_VALUE"""),0.0227)</f>
        <v>0.0227</v>
      </c>
    </row>
    <row r="14" ht="15.75" customHeight="1">
      <c r="C14" s="2" t="str">
        <f>IFERROR(__xludf.DUMMYFUNCTION("""COMPUTED_VALUE"""),"Antigua y Barbuda [+]")</f>
        <v>Antigua y Barbuda [+]</v>
      </c>
      <c r="D14" s="2">
        <f>IFERROR(__xludf.DUMMYFUNCTION("""COMPUTED_VALUE"""),2015.0)</f>
        <v>2015</v>
      </c>
      <c r="E14" s="5">
        <f>IFERROR(__xludf.DUMMYFUNCTION("""COMPUTED_VALUE"""),0.0)</f>
        <v>0</v>
      </c>
      <c r="F14" s="2">
        <f>IFERROR(__xludf.DUMMYFUNCTION("""COMPUTED_VALUE"""),0.0)</f>
        <v>0</v>
      </c>
      <c r="G14" s="6">
        <f>IFERROR(__xludf.DUMMYFUNCTION("""COMPUTED_VALUE"""),0.0)</f>
        <v>0</v>
      </c>
      <c r="H14" s="2">
        <f>IFERROR(__xludf.DUMMYFUNCTION("""COMPUTED_VALUE"""),0.0)</f>
        <v>0</v>
      </c>
      <c r="I14" s="7">
        <f>IFERROR(__xludf.DUMMYFUNCTION("""COMPUTED_VALUE"""),0.0)</f>
        <v>0</v>
      </c>
      <c r="J14" s="2">
        <f>IFERROR(__xludf.DUMMYFUNCTION("""COMPUTED_VALUE"""),0.0)</f>
        <v>0</v>
      </c>
      <c r="K14" s="8">
        <f>IFERROR(__xludf.DUMMYFUNCTION("""COMPUTED_VALUE"""),-1.0)</f>
        <v>-1</v>
      </c>
    </row>
    <row r="15" ht="15.75" customHeight="1">
      <c r="C15" s="2" t="str">
        <f>IFERROR(__xludf.DUMMYFUNCTION("""COMPUTED_VALUE"""),"Albania [+]")</f>
        <v>Albania [+]</v>
      </c>
      <c r="D15" s="2">
        <f>IFERROR(__xludf.DUMMYFUNCTION("""COMPUTED_VALUE"""),2010.0)</f>
        <v>2010</v>
      </c>
      <c r="E15" s="2">
        <f>IFERROR(__xludf.DUMMYFUNCTION("""COMPUTED_VALUE"""),35.0)</f>
        <v>35</v>
      </c>
      <c r="F15" s="2">
        <f>IFERROR(__xludf.DUMMYFUNCTION("""COMPUTED_VALUE"""),61.0)</f>
        <v>61</v>
      </c>
      <c r="G15" s="2">
        <f>IFERROR(__xludf.DUMMYFUNCTION("""COMPUTED_VALUE"""),96.0)</f>
        <v>96</v>
      </c>
      <c r="H15" s="2">
        <f>IFERROR(__xludf.DUMMYFUNCTION("""COMPUTED_VALUE"""),2.41)</f>
        <v>2.41</v>
      </c>
      <c r="I15" s="7">
        <f>IFERROR(__xludf.DUMMYFUNCTION("""COMPUTED_VALUE"""),4.19)</f>
        <v>4.19</v>
      </c>
      <c r="J15" s="2">
        <f>IFERROR(__xludf.DUMMYFUNCTION("""COMPUTED_VALUE"""),3.3)</f>
        <v>3.3</v>
      </c>
      <c r="K15" s="8">
        <f>IFERROR(__xludf.DUMMYFUNCTION("""COMPUTED_VALUE"""),-0.2979)</f>
        <v>-0.2979</v>
      </c>
    </row>
    <row r="16" ht="15.75" customHeight="1">
      <c r="C16" s="2" t="str">
        <f>IFERROR(__xludf.DUMMYFUNCTION("""COMPUTED_VALUE"""),"Armenia [+]")</f>
        <v>Armenia [+]</v>
      </c>
      <c r="D16" s="2">
        <f>IFERROR(__xludf.DUMMYFUNCTION("""COMPUTED_VALUE"""),2015.0)</f>
        <v>2015</v>
      </c>
      <c r="E16" s="5">
        <f>IFERROR(__xludf.DUMMYFUNCTION("""COMPUTED_VALUE"""),38.0)</f>
        <v>38</v>
      </c>
      <c r="F16" s="2">
        <f>IFERROR(__xludf.DUMMYFUNCTION("""COMPUTED_VALUE"""),124.0)</f>
        <v>124</v>
      </c>
      <c r="G16" s="6">
        <f>IFERROR(__xludf.DUMMYFUNCTION("""COMPUTED_VALUE"""),162.0)</f>
        <v>162</v>
      </c>
      <c r="H16" s="2">
        <f>IFERROR(__xludf.DUMMYFUNCTION("""COMPUTED_VALUE"""),2.42)</f>
        <v>2.42</v>
      </c>
      <c r="I16" s="7">
        <f>IFERROR(__xludf.DUMMYFUNCTION("""COMPUTED_VALUE"""),8.65)</f>
        <v>8.65</v>
      </c>
      <c r="J16" s="2">
        <f>IFERROR(__xludf.DUMMYFUNCTION("""COMPUTED_VALUE"""),5.39)</f>
        <v>5.39</v>
      </c>
      <c r="K16" s="8">
        <f>IFERROR(__xludf.DUMMYFUNCTION("""COMPUTED_VALUE"""),-0.0019)</f>
        <v>-0.0019</v>
      </c>
    </row>
    <row r="17" ht="15.75" customHeight="1">
      <c r="C17" s="2" t="str">
        <f>IFERROR(__xludf.DUMMYFUNCTION("""COMPUTED_VALUE"""),"Angola [+]")</f>
        <v>Angola [+]</v>
      </c>
      <c r="D17" s="2">
        <f>IFERROR(__xludf.DUMMYFUNCTION("""COMPUTED_VALUE"""),2015.0)</f>
        <v>2015</v>
      </c>
      <c r="E17" s="6">
        <f>IFERROR(__xludf.DUMMYFUNCTION("""COMPUTED_VALUE"""),1461.0)</f>
        <v>1461</v>
      </c>
      <c r="F17" s="6">
        <f>IFERROR(__xludf.DUMMYFUNCTION("""COMPUTED_VALUE"""),3663.0)</f>
        <v>3663</v>
      </c>
      <c r="G17" s="6">
        <f>IFERROR(__xludf.DUMMYFUNCTION("""COMPUTED_VALUE"""),5124.0)</f>
        <v>5124</v>
      </c>
      <c r="H17" s="2">
        <f>IFERROR(__xludf.DUMMYFUNCTION("""COMPUTED_VALUE"""),10.37)</f>
        <v>10.37</v>
      </c>
      <c r="I17" s="7">
        <f>IFERROR(__xludf.DUMMYFUNCTION("""COMPUTED_VALUE"""),26.56)</f>
        <v>26.56</v>
      </c>
      <c r="J17" s="2">
        <f>IFERROR(__xludf.DUMMYFUNCTION("""COMPUTED_VALUE"""),19.21)</f>
        <v>19.21</v>
      </c>
      <c r="K17" s="8">
        <f>IFERROR(__xludf.DUMMYFUNCTION("""COMPUTED_VALUE"""),0.0021)</f>
        <v>0.0021</v>
      </c>
    </row>
    <row r="18" ht="15.75" customHeight="1">
      <c r="C18" s="2" t="str">
        <f>IFERROR(__xludf.DUMMYFUNCTION("""COMPUTED_VALUE"""),"Argentina [+]")</f>
        <v>Argentina [+]</v>
      </c>
      <c r="D18" s="2">
        <f>IFERROR(__xludf.DUMMYFUNCTION("""COMPUTED_VALUE"""),2018.0)</f>
        <v>2018</v>
      </c>
      <c r="E18" s="5">
        <f>IFERROR(__xludf.DUMMYFUNCTION("""COMPUTED_VALUE"""),615.0)</f>
        <v>615</v>
      </c>
      <c r="F18" s="6">
        <f>IFERROR(__xludf.DUMMYFUNCTION("""COMPUTED_VALUE"""),2698.0)</f>
        <v>2698</v>
      </c>
      <c r="G18" s="6">
        <f>IFERROR(__xludf.DUMMYFUNCTION("""COMPUTED_VALUE"""),3313.0)</f>
        <v>3313</v>
      </c>
      <c r="H18" s="2">
        <f>IFERROR(__xludf.DUMMYFUNCTION("""COMPUTED_VALUE"""),2.7)</f>
        <v>2.7</v>
      </c>
      <c r="I18" s="7">
        <f>IFERROR(__xludf.DUMMYFUNCTION("""COMPUTED_VALUE"""),12.4)</f>
        <v>12.4</v>
      </c>
      <c r="J18" s="2">
        <f>IFERROR(__xludf.DUMMYFUNCTION("""COMPUTED_VALUE"""),7.4)</f>
        <v>7.4</v>
      </c>
      <c r="K18" s="8">
        <f>IFERROR(__xludf.DUMMYFUNCTION("""COMPUTED_VALUE"""),0.0137)</f>
        <v>0.0137</v>
      </c>
    </row>
    <row r="19" ht="15.75" customHeight="1">
      <c r="C19" s="2" t="str">
        <f>IFERROR(__xludf.DUMMYFUNCTION("""COMPUTED_VALUE"""),"Austria [+]")</f>
        <v>Austria [+]</v>
      </c>
      <c r="D19" s="2">
        <f>IFERROR(__xludf.DUMMYFUNCTION("""COMPUTED_VALUE"""),2018.0)</f>
        <v>2018</v>
      </c>
      <c r="E19" s="2">
        <f>IFERROR(__xludf.DUMMYFUNCTION("""COMPUTED_VALUE"""),266.0)</f>
        <v>266</v>
      </c>
      <c r="F19" s="2">
        <f>IFERROR(__xludf.DUMMYFUNCTION("""COMPUTED_VALUE"""),962.0)</f>
        <v>962</v>
      </c>
      <c r="G19" s="6">
        <f>IFERROR(__xludf.DUMMYFUNCTION("""COMPUTED_VALUE"""),1228.0)</f>
        <v>1228</v>
      </c>
      <c r="H19" s="2">
        <f>IFERROR(__xludf.DUMMYFUNCTION("""COMPUTED_VALUE"""),5.85)</f>
        <v>5.85</v>
      </c>
      <c r="I19" s="7">
        <f>IFERROR(__xludf.DUMMYFUNCTION("""COMPUTED_VALUE"""),22.08)</f>
        <v>22.08</v>
      </c>
      <c r="J19" s="2">
        <f>IFERROR(__xludf.DUMMYFUNCTION("""COMPUTED_VALUE"""),13.83)</f>
        <v>13.83</v>
      </c>
      <c r="K19" s="8">
        <f>IFERROR(__xludf.DUMMYFUNCTION("""COMPUTED_VALUE"""),-0.015)</f>
        <v>-0.015</v>
      </c>
    </row>
    <row r="20" ht="15.75" customHeight="1">
      <c r="C20" s="2" t="str">
        <f>IFERROR(__xludf.DUMMYFUNCTION("""COMPUTED_VALUE"""),"Australia [+]")</f>
        <v>Australia [+]</v>
      </c>
      <c r="D20" s="2">
        <f>IFERROR(__xludf.DUMMYFUNCTION("""COMPUTED_VALUE"""),2018.0)</f>
        <v>2018</v>
      </c>
      <c r="E20" s="5">
        <f>IFERROR(__xludf.DUMMYFUNCTION("""COMPUTED_VALUE"""),760.0)</f>
        <v>760</v>
      </c>
      <c r="F20" s="6">
        <f>IFERROR(__xludf.DUMMYFUNCTION("""COMPUTED_VALUE"""),2428.0)</f>
        <v>2428</v>
      </c>
      <c r="G20" s="6">
        <f>IFERROR(__xludf.DUMMYFUNCTION("""COMPUTED_VALUE"""),3188.0)</f>
        <v>3188</v>
      </c>
      <c r="H20" s="2">
        <f>IFERROR(__xludf.DUMMYFUNCTION("""COMPUTED_VALUE"""),6.0)</f>
        <v>6</v>
      </c>
      <c r="I20" s="7">
        <f>IFERROR(__xludf.DUMMYFUNCTION("""COMPUTED_VALUE"""),19.6)</f>
        <v>19.6</v>
      </c>
      <c r="J20" s="2">
        <f>IFERROR(__xludf.DUMMYFUNCTION("""COMPUTED_VALUE"""),12.8)</f>
        <v>12.8</v>
      </c>
      <c r="K20" s="8">
        <f>IFERROR(__xludf.DUMMYFUNCTION("""COMPUTED_VALUE"""),-0.0448)</f>
        <v>-0.0448</v>
      </c>
    </row>
    <row r="21" ht="15.75" customHeight="1">
      <c r="C21" s="2" t="str">
        <f>IFERROR(__xludf.DUMMYFUNCTION("""COMPUTED_VALUE"""),"Azerbaiyán [+]")</f>
        <v>Azerbaiyán [+]</v>
      </c>
      <c r="D21" s="2">
        <f>IFERROR(__xludf.DUMMYFUNCTION("""COMPUTED_VALUE"""),2015.0)</f>
        <v>2015</v>
      </c>
      <c r="E21" s="2">
        <f>IFERROR(__xludf.DUMMYFUNCTION("""COMPUTED_VALUE"""),60.0)</f>
        <v>60</v>
      </c>
      <c r="F21" s="2">
        <f>IFERROR(__xludf.DUMMYFUNCTION("""COMPUTED_VALUE"""),259.0)</f>
        <v>259</v>
      </c>
      <c r="G21" s="2">
        <f>IFERROR(__xludf.DUMMYFUNCTION("""COMPUTED_VALUE"""),319.0)</f>
        <v>319</v>
      </c>
      <c r="H21" s="2">
        <f>IFERROR(__xludf.DUMMYFUNCTION("""COMPUTED_VALUE"""),1.23)</f>
        <v>1.23</v>
      </c>
      <c r="I21" s="7">
        <f>IFERROR(__xludf.DUMMYFUNCTION("""COMPUTED_VALUE"""),5.36)</f>
        <v>5.36</v>
      </c>
      <c r="J21" s="2">
        <f>IFERROR(__xludf.DUMMYFUNCTION("""COMPUTED_VALUE"""),3.28)</f>
        <v>3.28</v>
      </c>
      <c r="K21" s="8">
        <f>IFERROR(__xludf.DUMMYFUNCTION("""COMPUTED_VALUE"""),-0.003)</f>
        <v>-0.003</v>
      </c>
    </row>
    <row r="22" ht="15.75" customHeight="1">
      <c r="C22" s="2" t="str">
        <f>IFERROR(__xludf.DUMMYFUNCTION("""COMPUTED_VALUE"""),"Bosnia y Herzegovina [+]")</f>
        <v>Bosnia y Herzegovina [+]</v>
      </c>
      <c r="D22" s="2">
        <f>IFERROR(__xludf.DUMMYFUNCTION("""COMPUTED_VALUE"""),2015.0)</f>
        <v>2015</v>
      </c>
      <c r="E22" s="2">
        <f>IFERROR(__xludf.DUMMYFUNCTION("""COMPUTED_VALUE"""),52.0)</f>
        <v>52</v>
      </c>
      <c r="F22" s="2">
        <f>IFERROR(__xludf.DUMMYFUNCTION("""COMPUTED_VALUE"""),176.0)</f>
        <v>176</v>
      </c>
      <c r="G22" s="2">
        <f>IFERROR(__xludf.DUMMYFUNCTION("""COMPUTED_VALUE"""),228.0)</f>
        <v>228</v>
      </c>
      <c r="H22" s="2">
        <f>IFERROR(__xludf.DUMMYFUNCTION("""COMPUTED_VALUE"""),2.99)</f>
        <v>2.99</v>
      </c>
      <c r="I22" s="7">
        <f>IFERROR(__xludf.DUMMYFUNCTION("""COMPUTED_VALUE"""),10.44)</f>
        <v>10.44</v>
      </c>
      <c r="J22" s="2">
        <f>IFERROR(__xludf.DUMMYFUNCTION("""COMPUTED_VALUE"""),6.48)</f>
        <v>6.48</v>
      </c>
      <c r="K22" s="8">
        <f>IFERROR(__xludf.DUMMYFUNCTION("""COMPUTED_VALUE"""),0.0891)</f>
        <v>0.0891</v>
      </c>
    </row>
    <row r="23" ht="15.75" customHeight="1">
      <c r="C23" s="2" t="str">
        <f>IFERROR(__xludf.DUMMYFUNCTION("""COMPUTED_VALUE"""),"Barbados [+]")</f>
        <v>Barbados [+]</v>
      </c>
      <c r="D23" s="2">
        <f>IFERROR(__xludf.DUMMYFUNCTION("""COMPUTED_VALUE"""),2015.0)</f>
        <v>2015</v>
      </c>
      <c r="E23" s="2">
        <f>IFERROR(__xludf.DUMMYFUNCTION("""COMPUTED_VALUE"""),0.0)</f>
        <v>0</v>
      </c>
      <c r="F23" s="2">
        <f>IFERROR(__xludf.DUMMYFUNCTION("""COMPUTED_VALUE"""),1.0)</f>
        <v>1</v>
      </c>
      <c r="G23" s="2">
        <f>IFERROR(__xludf.DUMMYFUNCTION("""COMPUTED_VALUE"""),1.0)</f>
        <v>1</v>
      </c>
      <c r="H23" s="2">
        <f>IFERROR(__xludf.DUMMYFUNCTION("""COMPUTED_VALUE"""),0.27)</f>
        <v>0.27</v>
      </c>
      <c r="I23" s="7">
        <f>IFERROR(__xludf.DUMMYFUNCTION("""COMPUTED_VALUE"""),0.58)</f>
        <v>0.58</v>
      </c>
      <c r="J23" s="2">
        <f>IFERROR(__xludf.DUMMYFUNCTION("""COMPUTED_VALUE"""),0.42)</f>
        <v>0.42</v>
      </c>
      <c r="K23" s="8">
        <f>IFERROR(__xludf.DUMMYFUNCTION("""COMPUTED_VALUE"""),-0.0455)</f>
        <v>-0.0455</v>
      </c>
    </row>
    <row r="24" ht="15.75" customHeight="1">
      <c r="C24" s="2" t="str">
        <f>IFERROR(__xludf.DUMMYFUNCTION("""COMPUTED_VALUE"""),"Bangladés [+]")</f>
        <v>Bangladés [+]</v>
      </c>
      <c r="D24" s="2">
        <f>IFERROR(__xludf.DUMMYFUNCTION("""COMPUTED_VALUE"""),2015.0)</f>
        <v>2015</v>
      </c>
      <c r="E24" s="6">
        <f>IFERROR(__xludf.DUMMYFUNCTION("""COMPUTED_VALUE"""),5176.0)</f>
        <v>5176</v>
      </c>
      <c r="F24" s="6">
        <f>IFERROR(__xludf.DUMMYFUNCTION("""COMPUTED_VALUE"""),3703.0)</f>
        <v>3703</v>
      </c>
      <c r="G24" s="6">
        <f>IFERROR(__xludf.DUMMYFUNCTION("""COMPUTED_VALUE"""),8879.0)</f>
        <v>8879</v>
      </c>
      <c r="H24" s="2">
        <f>IFERROR(__xludf.DUMMYFUNCTION("""COMPUTED_VALUE"""),6.72)</f>
        <v>6.72</v>
      </c>
      <c r="I24" s="7">
        <f>IFERROR(__xludf.DUMMYFUNCTION("""COMPUTED_VALUE"""),4.67)</f>
        <v>4.67</v>
      </c>
      <c r="J24" s="2">
        <f>IFERROR(__xludf.DUMMYFUNCTION("""COMPUTED_VALUE"""),5.68)</f>
        <v>5.68</v>
      </c>
      <c r="K24" s="8">
        <f>IFERROR(__xludf.DUMMYFUNCTION("""COMPUTED_VALUE"""),-0.0224)</f>
        <v>-0.0224</v>
      </c>
    </row>
    <row r="25" ht="15.75" customHeight="1">
      <c r="C25" s="2" t="str">
        <f>IFERROR(__xludf.DUMMYFUNCTION("""COMPUTED_VALUE"""),"Bélgica [+]")</f>
        <v>Bélgica [+]</v>
      </c>
      <c r="D25" s="2">
        <f>IFERROR(__xludf.DUMMYFUNCTION("""COMPUTED_VALUE"""),2018.0)</f>
        <v>2018</v>
      </c>
      <c r="E25" s="2">
        <f>IFERROR(__xludf.DUMMYFUNCTION("""COMPUTED_VALUE"""),514.0)</f>
        <v>514</v>
      </c>
      <c r="F25" s="6">
        <f>IFERROR(__xludf.DUMMYFUNCTION("""COMPUTED_VALUE"""),1308.0)</f>
        <v>1308</v>
      </c>
      <c r="G25" s="6">
        <f>IFERROR(__xludf.DUMMYFUNCTION("""COMPUTED_VALUE"""),1822.0)</f>
        <v>1822</v>
      </c>
      <c r="H25" s="2">
        <f>IFERROR(__xludf.DUMMYFUNCTION("""COMPUTED_VALUE"""),8.78)</f>
        <v>8.78</v>
      </c>
      <c r="I25" s="7">
        <f>IFERROR(__xludf.DUMMYFUNCTION("""COMPUTED_VALUE"""),22.97)</f>
        <v>22.97</v>
      </c>
      <c r="J25" s="2">
        <f>IFERROR(__xludf.DUMMYFUNCTION("""COMPUTED_VALUE"""),15.77)</f>
        <v>15.77</v>
      </c>
      <c r="K25" s="8">
        <f>IFERROR(__xludf.DUMMYFUNCTION("""COMPUTED_VALUE"""),0.03)</f>
        <v>0.03</v>
      </c>
    </row>
    <row r="26" ht="15.75" customHeight="1">
      <c r="C26" s="2" t="str">
        <f>IFERROR(__xludf.DUMMYFUNCTION("""COMPUTED_VALUE"""),"Burkina Faso [+]")</f>
        <v>Burkina Faso [+]</v>
      </c>
      <c r="D26" s="2">
        <f>IFERROR(__xludf.DUMMYFUNCTION("""COMPUTED_VALUE"""),2015.0)</f>
        <v>2015</v>
      </c>
      <c r="E26" s="2">
        <f>IFERROR(__xludf.DUMMYFUNCTION("""COMPUTED_VALUE"""),576.0)</f>
        <v>576</v>
      </c>
      <c r="F26" s="6">
        <f>IFERROR(__xludf.DUMMYFUNCTION("""COMPUTED_VALUE"""),1094.0)</f>
        <v>1094</v>
      </c>
      <c r="G26" s="6">
        <f>IFERROR(__xludf.DUMMYFUNCTION("""COMPUTED_VALUE"""),1671.0)</f>
        <v>1671</v>
      </c>
      <c r="H26" s="2">
        <f>IFERROR(__xludf.DUMMYFUNCTION("""COMPUTED_VALUE"""),6.34)</f>
        <v>6.34</v>
      </c>
      <c r="I26" s="7">
        <f>IFERROR(__xludf.DUMMYFUNCTION("""COMPUTED_VALUE"""),12.14)</f>
        <v>12.14</v>
      </c>
      <c r="J26" s="2">
        <f>IFERROR(__xludf.DUMMYFUNCTION("""COMPUTED_VALUE"""),9.23)</f>
        <v>9.23</v>
      </c>
      <c r="K26" s="8">
        <f>IFERROR(__xludf.DUMMYFUNCTION("""COMPUTED_VALUE"""),-0.0043)</f>
        <v>-0.0043</v>
      </c>
    </row>
    <row r="27" ht="15.75" customHeight="1">
      <c r="C27" s="2" t="str">
        <f>IFERROR(__xludf.DUMMYFUNCTION("""COMPUTED_VALUE"""),"Bulgaria [+]")</f>
        <v>Bulgaria [+]</v>
      </c>
      <c r="D27" s="2">
        <f>IFERROR(__xludf.DUMMYFUNCTION("""COMPUTED_VALUE"""),2018.0)</f>
        <v>2018</v>
      </c>
      <c r="E27" s="2">
        <f>IFERROR(__xludf.DUMMYFUNCTION("""COMPUTED_VALUE"""),147.0)</f>
        <v>147</v>
      </c>
      <c r="F27" s="2">
        <f>IFERROR(__xludf.DUMMYFUNCTION("""COMPUTED_VALUE"""),494.0)</f>
        <v>494</v>
      </c>
      <c r="G27" s="2">
        <f>IFERROR(__xludf.DUMMYFUNCTION("""COMPUTED_VALUE"""),641.0)</f>
        <v>641</v>
      </c>
      <c r="H27" s="2">
        <f>IFERROR(__xludf.DUMMYFUNCTION("""COMPUTED_VALUE"""),3.98)</f>
        <v>3.98</v>
      </c>
      <c r="I27" s="7">
        <f>IFERROR(__xludf.DUMMYFUNCTION("""COMPUTED_VALUE"""),14.61)</f>
        <v>14.61</v>
      </c>
      <c r="J27" s="2">
        <f>IFERROR(__xludf.DUMMYFUNCTION("""COMPUTED_VALUE"""),9.14)</f>
        <v>9.14</v>
      </c>
      <c r="K27" s="8">
        <f>IFERROR(__xludf.DUMMYFUNCTION("""COMPUTED_VALUE"""),-0.0786)</f>
        <v>-0.0786</v>
      </c>
    </row>
    <row r="28" ht="15.75" customHeight="1">
      <c r="C28" s="2" t="str">
        <f>IFERROR(__xludf.DUMMYFUNCTION("""COMPUTED_VALUE"""),"Baréin [+]")</f>
        <v>Baréin [+]</v>
      </c>
      <c r="D28" s="2">
        <f>IFERROR(__xludf.DUMMYFUNCTION("""COMPUTED_VALUE"""),2015.0)</f>
        <v>2015</v>
      </c>
      <c r="E28" s="2">
        <f>IFERROR(__xludf.DUMMYFUNCTION("""COMPUTED_VALUE"""),13.0)</f>
        <v>13</v>
      </c>
      <c r="F28" s="2">
        <f>IFERROR(__xludf.DUMMYFUNCTION("""COMPUTED_VALUE"""),77.0)</f>
        <v>77</v>
      </c>
      <c r="G28" s="2">
        <f>IFERROR(__xludf.DUMMYFUNCTION("""COMPUTED_VALUE"""),90.0)</f>
        <v>90</v>
      </c>
      <c r="H28" s="2">
        <f>IFERROR(__xludf.DUMMYFUNCTION("""COMPUTED_VALUE"""),2.4)</f>
        <v>2.4</v>
      </c>
      <c r="I28" s="7">
        <f>IFERROR(__xludf.DUMMYFUNCTION("""COMPUTED_VALUE"""),9.14)</f>
        <v>9.14</v>
      </c>
      <c r="J28" s="2">
        <f>IFERROR(__xludf.DUMMYFUNCTION("""COMPUTED_VALUE"""),6.57)</f>
        <v>6.57</v>
      </c>
      <c r="K28" s="8">
        <f>IFERROR(__xludf.DUMMYFUNCTION("""COMPUTED_VALUE"""),-0.0223)</f>
        <v>-0.0223</v>
      </c>
    </row>
    <row r="29" ht="15.75" customHeight="1">
      <c r="C29" s="2" t="str">
        <f>IFERROR(__xludf.DUMMYFUNCTION("""COMPUTED_VALUE"""),"Burundi [+]")</f>
        <v>Burundi [+]</v>
      </c>
      <c r="D29" s="2">
        <f>IFERROR(__xludf.DUMMYFUNCTION("""COMPUTED_VALUE"""),2015.0)</f>
        <v>2015</v>
      </c>
      <c r="E29" s="2">
        <f>IFERROR(__xludf.DUMMYFUNCTION("""COMPUTED_VALUE"""),223.0)</f>
        <v>223</v>
      </c>
      <c r="F29" s="2">
        <f>IFERROR(__xludf.DUMMYFUNCTION("""COMPUTED_VALUE"""),676.0)</f>
        <v>676</v>
      </c>
      <c r="G29" s="2">
        <f>IFERROR(__xludf.DUMMYFUNCTION("""COMPUTED_VALUE"""),899.0)</f>
        <v>899</v>
      </c>
      <c r="H29" s="2">
        <f>IFERROR(__xludf.DUMMYFUNCTION("""COMPUTED_VALUE"""),4.34)</f>
        <v>4.34</v>
      </c>
      <c r="I29" s="7">
        <f>IFERROR(__xludf.DUMMYFUNCTION("""COMPUTED_VALUE"""),13.45)</f>
        <v>13.45</v>
      </c>
      <c r="J29" s="2">
        <f>IFERROR(__xludf.DUMMYFUNCTION("""COMPUTED_VALUE"""),8.81)</f>
        <v>8.81</v>
      </c>
      <c r="K29" s="8">
        <f>IFERROR(__xludf.DUMMYFUNCTION("""COMPUTED_VALUE"""),-0.0178)</f>
        <v>-0.0178</v>
      </c>
    </row>
    <row r="30" ht="15.75" customHeight="1">
      <c r="C30" s="2" t="str">
        <f>IFERROR(__xludf.DUMMYFUNCTION("""COMPUTED_VALUE"""),"Benin [+]")</f>
        <v>Benin [+]</v>
      </c>
      <c r="D30" s="2">
        <f>IFERROR(__xludf.DUMMYFUNCTION("""COMPUTED_VALUE"""),2015.0)</f>
        <v>2015</v>
      </c>
      <c r="E30" s="5">
        <f>IFERROR(__xludf.DUMMYFUNCTION("""COMPUTED_VALUE"""),298.0)</f>
        <v>298</v>
      </c>
      <c r="F30" s="2">
        <f>IFERROR(__xludf.DUMMYFUNCTION("""COMPUTED_VALUE"""),719.0)</f>
        <v>719</v>
      </c>
      <c r="G30" s="6">
        <f>IFERROR(__xludf.DUMMYFUNCTION("""COMPUTED_VALUE"""),1017.0)</f>
        <v>1017</v>
      </c>
      <c r="H30" s="2">
        <f>IFERROR(__xludf.DUMMYFUNCTION("""COMPUTED_VALUE"""),5.62)</f>
        <v>5.62</v>
      </c>
      <c r="I30" s="7">
        <f>IFERROR(__xludf.DUMMYFUNCTION("""COMPUTED_VALUE"""),13.63)</f>
        <v>13.63</v>
      </c>
      <c r="J30" s="2">
        <f>IFERROR(__xludf.DUMMYFUNCTION("""COMPUTED_VALUE"""),9.61)</f>
        <v>9.61</v>
      </c>
      <c r="K30" s="8">
        <f>IFERROR(__xludf.DUMMYFUNCTION("""COMPUTED_VALUE"""),0.0042)</f>
        <v>0.0042</v>
      </c>
    </row>
    <row r="31" ht="15.75" customHeight="1">
      <c r="C31" s="2" t="str">
        <f>IFERROR(__xludf.DUMMYFUNCTION("""COMPUTED_VALUE"""),"Brunéi [+]")</f>
        <v>Brunéi [+]</v>
      </c>
      <c r="D31" s="2">
        <f>IFERROR(__xludf.DUMMYFUNCTION("""COMPUTED_VALUE"""),2015.0)</f>
        <v>2015</v>
      </c>
      <c r="E31" s="2">
        <f>IFERROR(__xludf.DUMMYFUNCTION("""COMPUTED_VALUE"""),2.0)</f>
        <v>2</v>
      </c>
      <c r="F31" s="2">
        <f>IFERROR(__xludf.DUMMYFUNCTION("""COMPUTED_VALUE"""),4.0)</f>
        <v>4</v>
      </c>
      <c r="G31" s="2">
        <f>IFERROR(__xludf.DUMMYFUNCTION("""COMPUTED_VALUE"""),5.0)</f>
        <v>5</v>
      </c>
      <c r="H31" s="2">
        <f>IFERROR(__xludf.DUMMYFUNCTION("""COMPUTED_VALUE"""),0.96)</f>
        <v>0.96</v>
      </c>
      <c r="I31" s="7">
        <f>IFERROR(__xludf.DUMMYFUNCTION("""COMPUTED_VALUE"""),1.64)</f>
        <v>1.64</v>
      </c>
      <c r="J31" s="2">
        <f>IFERROR(__xludf.DUMMYFUNCTION("""COMPUTED_VALUE"""),1.32)</f>
        <v>1.32</v>
      </c>
      <c r="K31" s="8">
        <f>IFERROR(__xludf.DUMMYFUNCTION("""COMPUTED_VALUE"""),0.1)</f>
        <v>0.1</v>
      </c>
    </row>
    <row r="32" ht="15.75" customHeight="1">
      <c r="C32" s="2" t="str">
        <f>IFERROR(__xludf.DUMMYFUNCTION("""COMPUTED_VALUE"""),"Bolivia [+]")</f>
        <v>Bolivia [+]</v>
      </c>
      <c r="D32" s="2">
        <f>IFERROR(__xludf.DUMMYFUNCTION("""COMPUTED_VALUE"""),2015.0)</f>
        <v>2015</v>
      </c>
      <c r="E32" s="2">
        <f>IFERROR(__xludf.DUMMYFUNCTION("""COMPUTED_VALUE"""),703.0)</f>
        <v>703</v>
      </c>
      <c r="F32" s="5">
        <f>IFERROR(__xludf.DUMMYFUNCTION("""COMPUTED_VALUE"""),1307.0)</f>
        <v>1307</v>
      </c>
      <c r="G32" s="6">
        <f>IFERROR(__xludf.DUMMYFUNCTION("""COMPUTED_VALUE"""),2010.0)</f>
        <v>2010</v>
      </c>
      <c r="H32" s="6">
        <f>IFERROR(__xludf.DUMMYFUNCTION("""COMPUTED_VALUE"""),13.01)</f>
        <v>13.01</v>
      </c>
      <c r="I32" s="7">
        <f>IFERROR(__xludf.DUMMYFUNCTION("""COMPUTED_VALUE"""),23.93)</f>
        <v>23.93</v>
      </c>
      <c r="J32" s="2">
        <f>IFERROR(__xludf.DUMMYFUNCTION("""COMPUTED_VALUE"""),18.56)</f>
        <v>18.56</v>
      </c>
      <c r="K32" s="8">
        <f>IFERROR(__xludf.DUMMYFUNCTION("""COMPUTED_VALUE"""),-0.0122)</f>
        <v>-0.0122</v>
      </c>
    </row>
    <row r="33" ht="15.75" customHeight="1">
      <c r="C33" s="2" t="str">
        <f>IFERROR(__xludf.DUMMYFUNCTION("""COMPUTED_VALUE"""),"Brasil [+]")</f>
        <v>Brasil [+]</v>
      </c>
      <c r="D33" s="2">
        <f>IFERROR(__xludf.DUMMYFUNCTION("""COMPUTED_VALUE"""),2018.0)</f>
        <v>2018</v>
      </c>
      <c r="E33" s="6">
        <f>IFERROR(__xludf.DUMMYFUNCTION("""COMPUTED_VALUE"""),2729.0)</f>
        <v>2729</v>
      </c>
      <c r="F33" s="6">
        <f>IFERROR(__xludf.DUMMYFUNCTION("""COMPUTED_VALUE"""),9999.0)</f>
        <v>9999</v>
      </c>
      <c r="G33" s="6">
        <f>IFERROR(__xludf.DUMMYFUNCTION("""COMPUTED_VALUE"""),12728.0)</f>
        <v>12728</v>
      </c>
      <c r="H33" s="2">
        <f>IFERROR(__xludf.DUMMYFUNCTION("""COMPUTED_VALUE"""),2.6)</f>
        <v>2.6</v>
      </c>
      <c r="I33" s="7">
        <f>IFERROR(__xludf.DUMMYFUNCTION("""COMPUTED_VALUE"""),9.8)</f>
        <v>9.8</v>
      </c>
      <c r="J33" s="2">
        <f>IFERROR(__xludf.DUMMYFUNCTION("""COMPUTED_VALUE"""),6.1)</f>
        <v>6.1</v>
      </c>
      <c r="K33" s="8">
        <f>IFERROR(__xludf.DUMMYFUNCTION("""COMPUTED_VALUE"""),0.0167)</f>
        <v>0.0167</v>
      </c>
    </row>
    <row r="34" ht="15.75" customHeight="1">
      <c r="C34" s="2" t="str">
        <f>IFERROR(__xludf.DUMMYFUNCTION("""COMPUTED_VALUE"""),"Bahamas [+]")</f>
        <v>Bahamas [+]</v>
      </c>
      <c r="D34" s="2">
        <f>IFERROR(__xludf.DUMMYFUNCTION("""COMPUTED_VALUE"""),2015.0)</f>
        <v>2015</v>
      </c>
      <c r="E34" s="2">
        <f>IFERROR(__xludf.DUMMYFUNCTION("""COMPUTED_VALUE"""),1.0)</f>
        <v>1</v>
      </c>
      <c r="F34" s="2">
        <f>IFERROR(__xludf.DUMMYFUNCTION("""COMPUTED_VALUE"""),6.0)</f>
        <v>6</v>
      </c>
      <c r="G34" s="2">
        <f>IFERROR(__xludf.DUMMYFUNCTION("""COMPUTED_VALUE"""),7.0)</f>
        <v>7</v>
      </c>
      <c r="H34" s="2">
        <f>IFERROR(__xludf.DUMMYFUNCTION("""COMPUTED_VALUE"""),0.44)</f>
        <v>0.44</v>
      </c>
      <c r="I34" s="7">
        <f>IFERROR(__xludf.DUMMYFUNCTION("""COMPUTED_VALUE"""),3.32)</f>
        <v>3.32</v>
      </c>
      <c r="J34" s="2">
        <f>IFERROR(__xludf.DUMMYFUNCTION("""COMPUTED_VALUE"""),1.89)</f>
        <v>1.89</v>
      </c>
      <c r="K34" s="8">
        <f>IFERROR(__xludf.DUMMYFUNCTION("""COMPUTED_VALUE"""),-0.0455)</f>
        <v>-0.0455</v>
      </c>
    </row>
    <row r="35" ht="15.75" customHeight="1">
      <c r="C35" s="2" t="str">
        <f>IFERROR(__xludf.DUMMYFUNCTION("""COMPUTED_VALUE"""),"Bután [+]")</f>
        <v>Bután [+]</v>
      </c>
      <c r="D35" s="2">
        <f>IFERROR(__xludf.DUMMYFUNCTION("""COMPUTED_VALUE"""),2015.0)</f>
        <v>2015</v>
      </c>
      <c r="E35" s="2">
        <f>IFERROR(__xludf.DUMMYFUNCTION("""COMPUTED_VALUE"""),34.0)</f>
        <v>34</v>
      </c>
      <c r="F35" s="2">
        <f>IFERROR(__xludf.DUMMYFUNCTION("""COMPUTED_VALUE"""),57.0)</f>
        <v>57</v>
      </c>
      <c r="G35" s="2">
        <f>IFERROR(__xludf.DUMMYFUNCTION("""COMPUTED_VALUE"""),91.0)</f>
        <v>91</v>
      </c>
      <c r="H35" s="2">
        <f>IFERROR(__xludf.DUMMYFUNCTION("""COMPUTED_VALUE"""),9.81)</f>
        <v>9.81</v>
      </c>
      <c r="I35" s="7">
        <f>IFERROR(__xludf.DUMMYFUNCTION("""COMPUTED_VALUE"""),14.88)</f>
        <v>14.88</v>
      </c>
      <c r="J35" s="2">
        <f>IFERROR(__xludf.DUMMYFUNCTION("""COMPUTED_VALUE"""),12.75)</f>
        <v>12.75</v>
      </c>
      <c r="K35" s="8">
        <f>IFERROR(__xludf.DUMMYFUNCTION("""COMPUTED_VALUE"""),-0.007)</f>
        <v>-0.007</v>
      </c>
    </row>
    <row r="36" ht="15.75" customHeight="1">
      <c r="C36" s="2" t="str">
        <f>IFERROR(__xludf.DUMMYFUNCTION("""COMPUTED_VALUE"""),"Botsuana [+]")</f>
        <v>Botsuana [+]</v>
      </c>
      <c r="D36" s="2">
        <f>IFERROR(__xludf.DUMMYFUNCTION("""COMPUTED_VALUE"""),2015.0)</f>
        <v>2015</v>
      </c>
      <c r="E36" s="5">
        <f>IFERROR(__xludf.DUMMYFUNCTION("""COMPUTED_VALUE"""),52.0)</f>
        <v>52</v>
      </c>
      <c r="F36" s="2">
        <f>IFERROR(__xludf.DUMMYFUNCTION("""COMPUTED_VALUE"""),168.0)</f>
        <v>168</v>
      </c>
      <c r="G36" s="6">
        <f>IFERROR(__xludf.DUMMYFUNCTION("""COMPUTED_VALUE"""),220.0)</f>
        <v>220</v>
      </c>
      <c r="H36" s="2">
        <f>IFERROR(__xludf.DUMMYFUNCTION("""COMPUTED_VALUE"""),4.75)</f>
        <v>4.75</v>
      </c>
      <c r="I36" s="7">
        <f>IFERROR(__xludf.DUMMYFUNCTION("""COMPUTED_VALUE"""),16.43)</f>
        <v>16.43</v>
      </c>
      <c r="J36" s="2">
        <f>IFERROR(__xludf.DUMMYFUNCTION("""COMPUTED_VALUE"""),10.37)</f>
        <v>10.37</v>
      </c>
      <c r="K36" s="8">
        <f>IFERROR(__xludf.DUMMYFUNCTION("""COMPUTED_VALUE"""),-0.0152)</f>
        <v>-0.0152</v>
      </c>
    </row>
    <row r="37" ht="15.75" customHeight="1">
      <c r="C37" s="2" t="str">
        <f>IFERROR(__xludf.DUMMYFUNCTION("""COMPUTED_VALUE"""),"Bielorrusia [+]")</f>
        <v>Bielorrusia [+]</v>
      </c>
      <c r="D37" s="2">
        <f>IFERROR(__xludf.DUMMYFUNCTION("""COMPUTED_VALUE"""),2015.0)</f>
        <v>2015</v>
      </c>
      <c r="E37" s="2">
        <f>IFERROR(__xludf.DUMMYFUNCTION("""COMPUTED_VALUE"""),353.0)</f>
        <v>353</v>
      </c>
      <c r="F37" s="6">
        <f>IFERROR(__xludf.DUMMYFUNCTION("""COMPUTED_VALUE"""),1809.0)</f>
        <v>1809</v>
      </c>
      <c r="G37" s="6">
        <f>IFERROR(__xludf.DUMMYFUNCTION("""COMPUTED_VALUE"""),2162.0)</f>
        <v>2162</v>
      </c>
      <c r="H37" s="2">
        <f>IFERROR(__xludf.DUMMYFUNCTION("""COMPUTED_VALUE"""),6.95)</f>
        <v>6.95</v>
      </c>
      <c r="I37" s="7">
        <f>IFERROR(__xludf.DUMMYFUNCTION("""COMPUTED_VALUE"""),40.92)</f>
        <v>40.92</v>
      </c>
      <c r="J37" s="2">
        <f>IFERROR(__xludf.DUMMYFUNCTION("""COMPUTED_VALUE"""),22.76)</f>
        <v>22.76</v>
      </c>
      <c r="K37" s="8">
        <f>IFERROR(__xludf.DUMMYFUNCTION("""COMPUTED_VALUE"""),0.0397)</f>
        <v>0.0397</v>
      </c>
    </row>
    <row r="38" ht="15.75" customHeight="1">
      <c r="C38" s="2" t="str">
        <f>IFERROR(__xludf.DUMMYFUNCTION("""COMPUTED_VALUE"""),"Belice [+]")</f>
        <v>Belice [+]</v>
      </c>
      <c r="D38" s="2">
        <f>IFERROR(__xludf.DUMMYFUNCTION("""COMPUTED_VALUE"""),2015.0)</f>
        <v>2015</v>
      </c>
      <c r="E38" s="5">
        <f>IFERROR(__xludf.DUMMYFUNCTION("""COMPUTED_VALUE"""),4.0)</f>
        <v>4</v>
      </c>
      <c r="F38" s="2">
        <f>IFERROR(__xludf.DUMMYFUNCTION("""COMPUTED_VALUE"""),22.0)</f>
        <v>22</v>
      </c>
      <c r="G38" s="6">
        <f>IFERROR(__xludf.DUMMYFUNCTION("""COMPUTED_VALUE"""),26.0)</f>
        <v>26</v>
      </c>
      <c r="H38" s="2">
        <f>IFERROR(__xludf.DUMMYFUNCTION("""COMPUTED_VALUE"""),2.29)</f>
        <v>2.29</v>
      </c>
      <c r="I38" s="7">
        <f>IFERROR(__xludf.DUMMYFUNCTION("""COMPUTED_VALUE"""),12.34)</f>
        <v>12.34</v>
      </c>
      <c r="J38" s="2">
        <f>IFERROR(__xludf.DUMMYFUNCTION("""COMPUTED_VALUE"""),7.17)</f>
        <v>7.17</v>
      </c>
      <c r="K38" s="8">
        <f>IFERROR(__xludf.DUMMYFUNCTION("""COMPUTED_VALUE"""),-0.0165)</f>
        <v>-0.0165</v>
      </c>
    </row>
    <row r="39" ht="15.75" customHeight="1">
      <c r="C39" s="2" t="str">
        <f>IFERROR(__xludf.DUMMYFUNCTION("""COMPUTED_VALUE"""),"Canadá [+]")</f>
        <v>Canadá [+]</v>
      </c>
      <c r="D39" s="2">
        <f>IFERROR(__xludf.DUMMYFUNCTION("""COMPUTED_VALUE"""),2018.0)</f>
        <v>2018</v>
      </c>
      <c r="E39" s="5">
        <f>IFERROR(__xludf.DUMMYFUNCTION("""COMPUTED_VALUE"""),931.0)</f>
        <v>931</v>
      </c>
      <c r="F39" s="6">
        <f>IFERROR(__xludf.DUMMYFUNCTION("""COMPUTED_VALUE"""),2878.0)</f>
        <v>2878</v>
      </c>
      <c r="G39" s="6">
        <f>IFERROR(__xludf.DUMMYFUNCTION("""COMPUTED_VALUE"""),3809.0)</f>
        <v>3809</v>
      </c>
      <c r="H39" s="2">
        <f>IFERROR(__xludf.DUMMYFUNCTION("""COMPUTED_VALUE"""),5.0)</f>
        <v>5</v>
      </c>
      <c r="I39" s="7">
        <f>IFERROR(__xludf.DUMMYFUNCTION("""COMPUTED_VALUE"""),15.6)</f>
        <v>15.6</v>
      </c>
      <c r="J39" s="2">
        <f>IFERROR(__xludf.DUMMYFUNCTION("""COMPUTED_VALUE"""),10.3)</f>
        <v>10.3</v>
      </c>
      <c r="K39" s="8">
        <f>IFERROR(__xludf.DUMMYFUNCTION("""COMPUTED_VALUE"""),-0.0965)</f>
        <v>-0.0965</v>
      </c>
    </row>
    <row r="40" ht="15.75" customHeight="1">
      <c r="C40" s="2" t="str">
        <f>IFERROR(__xludf.DUMMYFUNCTION("""COMPUTED_VALUE"""),"República Democrática del Congo [+]")</f>
        <v>República Democrática del Congo [+]</v>
      </c>
      <c r="D40" s="2">
        <f>IFERROR(__xludf.DUMMYFUNCTION("""COMPUTED_VALUE"""),2015.0)</f>
        <v>2015</v>
      </c>
      <c r="E40" s="5">
        <f>IFERROR(__xludf.DUMMYFUNCTION("""COMPUTED_VALUE"""),2300.0)</f>
        <v>2300</v>
      </c>
      <c r="F40" s="6">
        <f>IFERROR(__xludf.DUMMYFUNCTION("""COMPUTED_VALUE"""),5277.0)</f>
        <v>5277</v>
      </c>
      <c r="G40" s="6">
        <f>IFERROR(__xludf.DUMMYFUNCTION("""COMPUTED_VALUE"""),7577.0)</f>
        <v>7577</v>
      </c>
      <c r="H40" s="2">
        <f>IFERROR(__xludf.DUMMYFUNCTION("""COMPUTED_VALUE"""),6.02)</f>
        <v>6.02</v>
      </c>
      <c r="I40" s="7">
        <f>IFERROR(__xludf.DUMMYFUNCTION("""COMPUTED_VALUE"""),13.88)</f>
        <v>13.88</v>
      </c>
      <c r="J40" s="2">
        <f>IFERROR(__xludf.DUMMYFUNCTION("""COMPUTED_VALUE"""),9.81)</f>
        <v>9.81</v>
      </c>
      <c r="K40" s="8">
        <f>IFERROR(__xludf.DUMMYFUNCTION("""COMPUTED_VALUE"""),0.0124)</f>
        <v>0.0124</v>
      </c>
    </row>
    <row r="41" ht="15.75" customHeight="1">
      <c r="C41" s="2" t="str">
        <f>IFERROR(__xludf.DUMMYFUNCTION("""COMPUTED_VALUE"""),"República Centroafricana [+]")</f>
        <v>República Centroafricana [+]</v>
      </c>
      <c r="D41" s="2">
        <f>IFERROR(__xludf.DUMMYFUNCTION("""COMPUTED_VALUE"""),2015.0)</f>
        <v>2015</v>
      </c>
      <c r="E41" s="2">
        <f>IFERROR(__xludf.DUMMYFUNCTION("""COMPUTED_VALUE"""),205.0)</f>
        <v>205</v>
      </c>
      <c r="F41" s="2">
        <f>IFERROR(__xludf.DUMMYFUNCTION("""COMPUTED_VALUE"""),646.0)</f>
        <v>646</v>
      </c>
      <c r="G41" s="2">
        <f>IFERROR(__xludf.DUMMYFUNCTION("""COMPUTED_VALUE"""),851.0)</f>
        <v>851</v>
      </c>
      <c r="H41" s="2">
        <f>IFERROR(__xludf.DUMMYFUNCTION("""COMPUTED_VALUE"""),9.03)</f>
        <v>9.03</v>
      </c>
      <c r="I41" s="7">
        <f>IFERROR(__xludf.DUMMYFUNCTION("""COMPUTED_VALUE"""),29.03)</f>
        <v>29.03</v>
      </c>
      <c r="J41" s="2">
        <f>IFERROR(__xludf.DUMMYFUNCTION("""COMPUTED_VALUE"""),18.94)</f>
        <v>18.94</v>
      </c>
      <c r="K41" s="8">
        <f>IFERROR(__xludf.DUMMYFUNCTION("""COMPUTED_VALUE"""),-0.0099)</f>
        <v>-0.0099</v>
      </c>
    </row>
    <row r="42" ht="15.75" customHeight="1">
      <c r="C42" s="2" t="str">
        <f>IFERROR(__xludf.DUMMYFUNCTION("""COMPUTED_VALUE"""),"República del Congo [+]")</f>
        <v>República del Congo [+]</v>
      </c>
      <c r="D42" s="2">
        <f>IFERROR(__xludf.DUMMYFUNCTION("""COMPUTED_VALUE"""),2015.0)</f>
        <v>2015</v>
      </c>
      <c r="E42" s="2">
        <f>IFERROR(__xludf.DUMMYFUNCTION("""COMPUTED_VALUE"""),112.0)</f>
        <v>112</v>
      </c>
      <c r="F42" s="2">
        <f>IFERROR(__xludf.DUMMYFUNCTION("""COMPUTED_VALUE"""),331.0)</f>
        <v>331</v>
      </c>
      <c r="G42" s="2">
        <f>IFERROR(__xludf.DUMMYFUNCTION("""COMPUTED_VALUE"""),443.0)</f>
        <v>443</v>
      </c>
      <c r="H42" s="2">
        <f>IFERROR(__xludf.DUMMYFUNCTION("""COMPUTED_VALUE"""),4.6)</f>
        <v>4.6</v>
      </c>
      <c r="I42" s="7">
        <f>IFERROR(__xludf.DUMMYFUNCTION("""COMPUTED_VALUE"""),13.66)</f>
        <v>13.66</v>
      </c>
      <c r="J42" s="2">
        <f>IFERROR(__xludf.DUMMYFUNCTION("""COMPUTED_VALUE"""),10.7)</f>
        <v>10.7</v>
      </c>
      <c r="K42" s="8">
        <f>IFERROR(__xludf.DUMMYFUNCTION("""COMPUTED_VALUE"""),-0.0237)</f>
        <v>-0.0237</v>
      </c>
    </row>
    <row r="43" ht="15.75" customHeight="1">
      <c r="C43" s="2" t="str">
        <f>IFERROR(__xludf.DUMMYFUNCTION("""COMPUTED_VALUE"""),"Suiza [+]")</f>
        <v>Suiza [+]</v>
      </c>
      <c r="D43" s="2">
        <f>IFERROR(__xludf.DUMMYFUNCTION("""COMPUTED_VALUE"""),2018.0)</f>
        <v>2018</v>
      </c>
      <c r="E43" s="5">
        <f>IFERROR(__xludf.DUMMYFUNCTION("""COMPUTED_VALUE"""),301.0)</f>
        <v>301</v>
      </c>
      <c r="F43" s="2">
        <f>IFERROR(__xludf.DUMMYFUNCTION("""COMPUTED_VALUE"""),746.0)</f>
        <v>746</v>
      </c>
      <c r="G43" s="6">
        <f>IFERROR(__xludf.DUMMYFUNCTION("""COMPUTED_VALUE"""),1047.0)</f>
        <v>1047</v>
      </c>
      <c r="H43" s="2">
        <f>IFERROR(__xludf.DUMMYFUNCTION("""COMPUTED_VALUE"""),6.76)</f>
        <v>6.76</v>
      </c>
      <c r="I43" s="7">
        <f>IFERROR(__xludf.DUMMYFUNCTION("""COMPUTED_VALUE"""),17.24)</f>
        <v>17.24</v>
      </c>
      <c r="J43" s="2">
        <f>IFERROR(__xludf.DUMMYFUNCTION("""COMPUTED_VALUE"""),11.96)</f>
        <v>11.96</v>
      </c>
      <c r="K43" s="8">
        <f>IFERROR(__xludf.DUMMYFUNCTION("""COMPUTED_VALUE"""),-0.0394)</f>
        <v>-0.0394</v>
      </c>
    </row>
    <row r="44" ht="15.75" customHeight="1">
      <c r="C44" s="2" t="str">
        <f>IFERROR(__xludf.DUMMYFUNCTION("""COMPUTED_VALUE"""),"Costa de Marfil [+]")</f>
        <v>Costa de Marfil [+]</v>
      </c>
      <c r="D44" s="2">
        <f>IFERROR(__xludf.DUMMYFUNCTION("""COMPUTED_VALUE"""),2015.0)</f>
        <v>2015</v>
      </c>
      <c r="E44" s="6">
        <f>IFERROR(__xludf.DUMMYFUNCTION("""COMPUTED_VALUE"""),1089.0)</f>
        <v>1089</v>
      </c>
      <c r="F44" s="6">
        <f>IFERROR(__xludf.DUMMYFUNCTION("""COMPUTED_VALUE"""),3015.0)</f>
        <v>3015</v>
      </c>
      <c r="G44" s="6">
        <f>IFERROR(__xludf.DUMMYFUNCTION("""COMPUTED_VALUE"""),4104.0)</f>
        <v>4104</v>
      </c>
      <c r="H44" s="2">
        <f>IFERROR(__xludf.DUMMYFUNCTION("""COMPUTED_VALUE"""),9.48)</f>
        <v>9.48</v>
      </c>
      <c r="I44" s="7">
        <f>IFERROR(__xludf.DUMMYFUNCTION("""COMPUTED_VALUE"""),25.67)</f>
        <v>25.67</v>
      </c>
      <c r="J44" s="2">
        <f>IFERROR(__xludf.DUMMYFUNCTION("""COMPUTED_VALUE"""),17.31)</f>
        <v>17.31</v>
      </c>
      <c r="K44" s="8">
        <f>IFERROR(__xludf.DUMMYFUNCTION("""COMPUTED_VALUE"""),0.0076)</f>
        <v>0.0076</v>
      </c>
    </row>
    <row r="45" ht="15.75" customHeight="1">
      <c r="C45" s="2" t="str">
        <f>IFERROR(__xludf.DUMMYFUNCTION("""COMPUTED_VALUE"""),"Chile [+]")</f>
        <v>Chile [+]</v>
      </c>
      <c r="D45" s="2">
        <f>IFERROR(__xludf.DUMMYFUNCTION("""COMPUTED_VALUE"""),2018.0)</f>
        <v>2018</v>
      </c>
      <c r="E45" s="5">
        <f>IFERROR(__xludf.DUMMYFUNCTION("""COMPUTED_VALUE"""),316.0)</f>
        <v>316</v>
      </c>
      <c r="F45" s="6">
        <f>IFERROR(__xludf.DUMMYFUNCTION("""COMPUTED_VALUE"""),1507.0)</f>
        <v>1507</v>
      </c>
      <c r="G45" s="6">
        <f>IFERROR(__xludf.DUMMYFUNCTION("""COMPUTED_VALUE"""),1823.0)</f>
        <v>1823</v>
      </c>
      <c r="H45" s="2">
        <f>IFERROR(__xludf.DUMMYFUNCTION("""COMPUTED_VALUE"""),3.3)</f>
        <v>3.3</v>
      </c>
      <c r="I45" s="7">
        <f>IFERROR(__xludf.DUMMYFUNCTION("""COMPUTED_VALUE"""),16.3)</f>
        <v>16.3</v>
      </c>
      <c r="J45" s="2">
        <f>IFERROR(__xludf.DUMMYFUNCTION("""COMPUTED_VALUE"""),9.7)</f>
        <v>9.7</v>
      </c>
      <c r="K45" s="8">
        <f>IFERROR(__xludf.DUMMYFUNCTION("""COMPUTED_VALUE"""),-0.049)</f>
        <v>-0.049</v>
      </c>
    </row>
    <row r="46" ht="15.75" customHeight="1">
      <c r="C46" s="2" t="str">
        <f>IFERROR(__xludf.DUMMYFUNCTION("""COMPUTED_VALUE"""),"Camerún [+]")</f>
        <v>Camerún [+]</v>
      </c>
      <c r="D46" s="2">
        <f>IFERROR(__xludf.DUMMYFUNCTION("""COMPUTED_VALUE"""),2015.0)</f>
        <v>2015</v>
      </c>
      <c r="E46" s="5">
        <f>IFERROR(__xludf.DUMMYFUNCTION("""COMPUTED_VALUE"""),647.0)</f>
        <v>647</v>
      </c>
      <c r="F46" s="6">
        <f>IFERROR(__xludf.DUMMYFUNCTION("""COMPUTED_VALUE"""),2139.0)</f>
        <v>2139</v>
      </c>
      <c r="G46" s="6">
        <f>IFERROR(__xludf.DUMMYFUNCTION("""COMPUTED_VALUE"""),2787.0)</f>
        <v>2787</v>
      </c>
      <c r="H46" s="2">
        <f>IFERROR(__xludf.DUMMYFUNCTION("""COMPUTED_VALUE"""),5.55)</f>
        <v>5.55</v>
      </c>
      <c r="I46" s="7">
        <f>IFERROR(__xludf.DUMMYFUNCTION("""COMPUTED_VALUE"""),18.38)</f>
        <v>18.38</v>
      </c>
      <c r="J46" s="2">
        <f>IFERROR(__xludf.DUMMYFUNCTION("""COMPUTED_VALUE"""),11.96)</f>
        <v>11.96</v>
      </c>
      <c r="K46" s="8">
        <f>IFERROR(__xludf.DUMMYFUNCTION("""COMPUTED_VALUE"""),-0.0108)</f>
        <v>-0.0108</v>
      </c>
    </row>
    <row r="47" ht="15.75" customHeight="1">
      <c r="C47" s="2" t="str">
        <f>IFERROR(__xludf.DUMMYFUNCTION("""COMPUTED_VALUE"""),"Colombia [+]")</f>
        <v>Colombia [+]</v>
      </c>
      <c r="D47" s="2">
        <f>IFERROR(__xludf.DUMMYFUNCTION("""COMPUTED_VALUE"""),2018.0)</f>
        <v>2018</v>
      </c>
      <c r="E47" s="2">
        <f>IFERROR(__xludf.DUMMYFUNCTION("""COMPUTED_VALUE"""),513.0)</f>
        <v>513</v>
      </c>
      <c r="F47" s="6">
        <f>IFERROR(__xludf.DUMMYFUNCTION("""COMPUTED_VALUE"""),2356.0)</f>
        <v>2356</v>
      </c>
      <c r="G47" s="6">
        <f>IFERROR(__xludf.DUMMYFUNCTION("""COMPUTED_VALUE"""),2869.0)</f>
        <v>2869</v>
      </c>
      <c r="H47" s="2">
        <f>IFERROR(__xludf.DUMMYFUNCTION("""COMPUTED_VALUE"""),2.0)</f>
        <v>2</v>
      </c>
      <c r="I47" s="7">
        <f>IFERROR(__xludf.DUMMYFUNCTION("""COMPUTED_VALUE"""),9.6)</f>
        <v>9.6</v>
      </c>
      <c r="J47" s="2">
        <f>IFERROR(__xludf.DUMMYFUNCTION("""COMPUTED_VALUE"""),5.8)</f>
        <v>5.8</v>
      </c>
      <c r="K47" s="8">
        <f>IFERROR(__xludf.DUMMYFUNCTION("""COMPUTED_VALUE"""),0.0545)</f>
        <v>0.0545</v>
      </c>
    </row>
    <row r="48" ht="15.75" customHeight="1">
      <c r="C48" s="2" t="str">
        <f>IFERROR(__xludf.DUMMYFUNCTION("""COMPUTED_VALUE"""),"Costa Rica [+]")</f>
        <v>Costa Rica [+]</v>
      </c>
      <c r="D48" s="2">
        <f>IFERROR(__xludf.DUMMYFUNCTION("""COMPUTED_VALUE"""),2018.0)</f>
        <v>2018</v>
      </c>
      <c r="E48" s="2">
        <f>IFERROR(__xludf.DUMMYFUNCTION("""COMPUTED_VALUE"""),77.0)</f>
        <v>77</v>
      </c>
      <c r="F48" s="2">
        <f>IFERROR(__xludf.DUMMYFUNCTION("""COMPUTED_VALUE"""),314.0)</f>
        <v>314</v>
      </c>
      <c r="G48" s="2">
        <f>IFERROR(__xludf.DUMMYFUNCTION("""COMPUTED_VALUE"""),391.0)</f>
        <v>391</v>
      </c>
      <c r="H48" s="2">
        <f>IFERROR(__xludf.DUMMYFUNCTION("""COMPUTED_VALUE"""),3.1)</f>
        <v>3.1</v>
      </c>
      <c r="I48" s="7">
        <f>IFERROR(__xludf.DUMMYFUNCTION("""COMPUTED_VALUE"""),12.4)</f>
        <v>12.4</v>
      </c>
      <c r="J48" s="2">
        <f>IFERROR(__xludf.DUMMYFUNCTION("""COMPUTED_VALUE"""),7.8)</f>
        <v>7.8</v>
      </c>
      <c r="K48" s="8">
        <f>IFERROR(__xludf.DUMMYFUNCTION("""COMPUTED_VALUE"""),0.3684)</f>
        <v>0.3684</v>
      </c>
    </row>
    <row r="49" ht="15.75" customHeight="1">
      <c r="C49" s="2" t="str">
        <f>IFERROR(__xludf.DUMMYFUNCTION("""COMPUTED_VALUE"""),"Cuba [+]")</f>
        <v>Cuba [+]</v>
      </c>
      <c r="D49" s="2">
        <f>IFERROR(__xludf.DUMMYFUNCTION("""COMPUTED_VALUE"""),2015.0)</f>
        <v>2015</v>
      </c>
      <c r="E49" s="5">
        <f>IFERROR(__xludf.DUMMYFUNCTION("""COMPUTED_VALUE"""),325.0)</f>
        <v>325</v>
      </c>
      <c r="F49" s="6">
        <f>IFERROR(__xludf.DUMMYFUNCTION("""COMPUTED_VALUE"""),1275.0)</f>
        <v>1275</v>
      </c>
      <c r="G49" s="6">
        <f>IFERROR(__xludf.DUMMYFUNCTION("""COMPUTED_VALUE"""),1600.0)</f>
        <v>1600</v>
      </c>
      <c r="H49" s="2">
        <f>IFERROR(__xludf.DUMMYFUNCTION("""COMPUTED_VALUE"""),5.7)</f>
        <v>5.7</v>
      </c>
      <c r="I49" s="7">
        <f>IFERROR(__xludf.DUMMYFUNCTION("""COMPUTED_VALUE"""),22.66)</f>
        <v>22.66</v>
      </c>
      <c r="J49" s="2">
        <f>IFERROR(__xludf.DUMMYFUNCTION("""COMPUTED_VALUE"""),14.13)</f>
        <v>14.13</v>
      </c>
      <c r="K49" s="8">
        <f>IFERROR(__xludf.DUMMYFUNCTION("""COMPUTED_VALUE"""),0.0521)</f>
        <v>0.0521</v>
      </c>
    </row>
    <row r="50" ht="15.75" customHeight="1">
      <c r="C50" s="2" t="str">
        <f>IFERROR(__xludf.DUMMYFUNCTION("""COMPUTED_VALUE"""),"Cabo Verde [+]")</f>
        <v>Cabo Verde [+]</v>
      </c>
      <c r="D50" s="2">
        <f>IFERROR(__xludf.DUMMYFUNCTION("""COMPUTED_VALUE"""),2015.0)</f>
        <v>2015</v>
      </c>
      <c r="E50" s="5">
        <f>IFERROR(__xludf.DUMMYFUNCTION("""COMPUTED_VALUE"""),15.0)</f>
        <v>15</v>
      </c>
      <c r="F50" s="2">
        <f>IFERROR(__xludf.DUMMYFUNCTION("""COMPUTED_VALUE"""),30.0)</f>
        <v>30</v>
      </c>
      <c r="G50" s="2">
        <f>IFERROR(__xludf.DUMMYFUNCTION("""COMPUTED_VALUE"""),44.0)</f>
        <v>44</v>
      </c>
      <c r="H50" s="2">
        <f>IFERROR(__xludf.DUMMYFUNCTION("""COMPUTED_VALUE"""),5.6)</f>
        <v>5.6</v>
      </c>
      <c r="I50" s="7">
        <f>IFERROR(__xludf.DUMMYFUNCTION("""COMPUTED_VALUE"""),11.28)</f>
        <v>11.28</v>
      </c>
      <c r="J50" s="2">
        <f>IFERROR(__xludf.DUMMYFUNCTION("""COMPUTED_VALUE"""),8.32)</f>
        <v>8.32</v>
      </c>
      <c r="K50" s="8">
        <f>IFERROR(__xludf.DUMMYFUNCTION("""COMPUTED_VALUE"""),-0.0404)</f>
        <v>-0.0404</v>
      </c>
    </row>
    <row r="51" ht="15.75" customHeight="1">
      <c r="C51" s="2" t="str">
        <f>IFERROR(__xludf.DUMMYFUNCTION("""COMPUTED_VALUE"""),"Chipre [+]")</f>
        <v>Chipre [+]</v>
      </c>
      <c r="D51" s="2">
        <f>IFERROR(__xludf.DUMMYFUNCTION("""COMPUTED_VALUE"""),2018.0)</f>
        <v>2018</v>
      </c>
      <c r="E51" s="2">
        <f>IFERROR(__xludf.DUMMYFUNCTION("""COMPUTED_VALUE"""),8.0)</f>
        <v>8</v>
      </c>
      <c r="F51" s="2">
        <f>IFERROR(__xludf.DUMMYFUNCTION("""COMPUTED_VALUE"""),35.0)</f>
        <v>35</v>
      </c>
      <c r="G51" s="6">
        <f>IFERROR(__xludf.DUMMYFUNCTION("""COMPUTED_VALUE"""),43.0)</f>
        <v>43</v>
      </c>
      <c r="H51" s="2">
        <f>IFERROR(__xludf.DUMMYFUNCTION("""COMPUTED_VALUE"""),1.57)</f>
        <v>1.57</v>
      </c>
      <c r="I51" s="7">
        <f>IFERROR(__xludf.DUMMYFUNCTION("""COMPUTED_VALUE"""),8.01)</f>
        <v>8.01</v>
      </c>
      <c r="J51" s="2">
        <f>IFERROR(__xludf.DUMMYFUNCTION("""COMPUTED_VALUE"""),4.71)</f>
        <v>4.71</v>
      </c>
      <c r="K51" s="8">
        <f>IFERROR(__xludf.DUMMYFUNCTION("""COMPUTED_VALUE"""),0.1572)</f>
        <v>0.1572</v>
      </c>
    </row>
    <row r="52" ht="15.75" customHeight="1">
      <c r="C52" s="2" t="str">
        <f>IFERROR(__xludf.DUMMYFUNCTION("""COMPUTED_VALUE"""),"Chequia [+]")</f>
        <v>Chequia [+]</v>
      </c>
      <c r="D52" s="2">
        <f>IFERROR(__xludf.DUMMYFUNCTION("""COMPUTED_VALUE"""),2018.0)</f>
        <v>2018</v>
      </c>
      <c r="E52" s="5">
        <f>IFERROR(__xludf.DUMMYFUNCTION("""COMPUTED_VALUE"""),253.0)</f>
        <v>253</v>
      </c>
      <c r="F52" s="6">
        <f>IFERROR(__xludf.DUMMYFUNCTION("""COMPUTED_VALUE"""),1127.0)</f>
        <v>1127</v>
      </c>
      <c r="G52" s="6">
        <f>IFERROR(__xludf.DUMMYFUNCTION("""COMPUTED_VALUE"""),1380.0)</f>
        <v>1380</v>
      </c>
      <c r="H52" s="2">
        <f>IFERROR(__xludf.DUMMYFUNCTION("""COMPUTED_VALUE"""),4.65)</f>
        <v>4.65</v>
      </c>
      <c r="I52" s="7">
        <f>IFERROR(__xludf.DUMMYFUNCTION("""COMPUTED_VALUE"""),21.12)</f>
        <v>21.12</v>
      </c>
      <c r="J52" s="2">
        <f>IFERROR(__xludf.DUMMYFUNCTION("""COMPUTED_VALUE"""),12.76)</f>
        <v>12.76</v>
      </c>
      <c r="K52" s="8">
        <f>IFERROR(__xludf.DUMMYFUNCTION("""COMPUTED_VALUE"""),-0.0341)</f>
        <v>-0.0341</v>
      </c>
    </row>
    <row r="53" ht="15.75" customHeight="1">
      <c r="C53" s="2" t="str">
        <f>IFERROR(__xludf.DUMMYFUNCTION("""COMPUTED_VALUE"""),"Yibuti [+]")</f>
        <v>Yibuti [+]</v>
      </c>
      <c r="D53" s="2">
        <f>IFERROR(__xludf.DUMMYFUNCTION("""COMPUTED_VALUE"""),2015.0)</f>
        <v>2015</v>
      </c>
      <c r="E53" s="5">
        <f>IFERROR(__xludf.DUMMYFUNCTION("""COMPUTED_VALUE"""),24.0)</f>
        <v>24</v>
      </c>
      <c r="F53" s="2">
        <f>IFERROR(__xludf.DUMMYFUNCTION("""COMPUTED_VALUE"""),53.0)</f>
        <v>53</v>
      </c>
      <c r="G53" s="6">
        <f>IFERROR(__xludf.DUMMYFUNCTION("""COMPUTED_VALUE"""),76.0)</f>
        <v>76</v>
      </c>
      <c r="H53" s="2">
        <f>IFERROR(__xludf.DUMMYFUNCTION("""COMPUTED_VALUE"""),5.49)</f>
        <v>5.49</v>
      </c>
      <c r="I53" s="7">
        <f>IFERROR(__xludf.DUMMYFUNCTION("""COMPUTED_VALUE"""),10.9)</f>
        <v>10.9</v>
      </c>
      <c r="J53" s="2">
        <f>IFERROR(__xludf.DUMMYFUNCTION("""COMPUTED_VALUE"""),8.35)</f>
        <v>8.35</v>
      </c>
      <c r="K53" s="8">
        <f>IFERROR(__xludf.DUMMYFUNCTION("""COMPUTED_VALUE"""),-0.0024)</f>
        <v>-0.0024</v>
      </c>
    </row>
    <row r="54" ht="15.75" customHeight="1">
      <c r="C54" s="2" t="str">
        <f>IFERROR(__xludf.DUMMYFUNCTION("""COMPUTED_VALUE"""),"Dinamarca [+]")</f>
        <v>Dinamarca [+]</v>
      </c>
      <c r="D54" s="2">
        <f>IFERROR(__xludf.DUMMYFUNCTION("""COMPUTED_VALUE"""),2018.0)</f>
        <v>2018</v>
      </c>
      <c r="E54" s="5">
        <f>IFERROR(__xludf.DUMMYFUNCTION("""COMPUTED_VALUE"""),160.0)</f>
        <v>160</v>
      </c>
      <c r="F54" s="2">
        <f>IFERROR(__xludf.DUMMYFUNCTION("""COMPUTED_VALUE"""),430.0)</f>
        <v>430</v>
      </c>
      <c r="G54" s="6">
        <f>IFERROR(__xludf.DUMMYFUNCTION("""COMPUTED_VALUE"""),590.0)</f>
        <v>590</v>
      </c>
      <c r="H54" s="2">
        <f>IFERROR(__xludf.DUMMYFUNCTION("""COMPUTED_VALUE"""),5.5)</f>
        <v>5.5</v>
      </c>
      <c r="I54" s="7">
        <f>IFERROR(__xludf.DUMMYFUNCTION("""COMPUTED_VALUE"""),14.85)</f>
        <v>14.85</v>
      </c>
      <c r="J54" s="2">
        <f>IFERROR(__xludf.DUMMYFUNCTION("""COMPUTED_VALUE"""),10.17)</f>
        <v>10.17</v>
      </c>
      <c r="K54" s="8">
        <f>IFERROR(__xludf.DUMMYFUNCTION("""COMPUTED_VALUE"""),-0.0059)</f>
        <v>-0.0059</v>
      </c>
    </row>
    <row r="55" ht="15.75" customHeight="1">
      <c r="C55" s="2" t="str">
        <f>IFERROR(__xludf.DUMMYFUNCTION("""COMPUTED_VALUE"""),"República Dominicana [+]")</f>
        <v>República Dominicana [+]</v>
      </c>
      <c r="D55" s="2">
        <f>IFERROR(__xludf.DUMMYFUNCTION("""COMPUTED_VALUE"""),2015.0)</f>
        <v>2015</v>
      </c>
      <c r="E55" s="2">
        <f>IFERROR(__xludf.DUMMYFUNCTION("""COMPUTED_VALUE"""),134.0)</f>
        <v>134</v>
      </c>
      <c r="F55" s="2">
        <f>IFERROR(__xludf.DUMMYFUNCTION("""COMPUTED_VALUE"""),586.0)</f>
        <v>586</v>
      </c>
      <c r="G55" s="2">
        <f>IFERROR(__xludf.DUMMYFUNCTION("""COMPUTED_VALUE"""),720.0)</f>
        <v>720</v>
      </c>
      <c r="H55" s="2">
        <f>IFERROR(__xludf.DUMMYFUNCTION("""COMPUTED_VALUE"""),2.61)</f>
        <v>2.61</v>
      </c>
      <c r="I55" s="7">
        <f>IFERROR(__xludf.DUMMYFUNCTION("""COMPUTED_VALUE"""),11.39)</f>
        <v>11.39</v>
      </c>
      <c r="J55" s="2">
        <f>IFERROR(__xludf.DUMMYFUNCTION("""COMPUTED_VALUE"""),7.22)</f>
        <v>7.22</v>
      </c>
      <c r="K55" s="8">
        <f>IFERROR(__xludf.DUMMYFUNCTION("""COMPUTED_VALUE"""),0.0256)</f>
        <v>0.0256</v>
      </c>
    </row>
    <row r="56" ht="15.75" customHeight="1">
      <c r="C56" s="2" t="str">
        <f>IFERROR(__xludf.DUMMYFUNCTION("""COMPUTED_VALUE"""),"Argelia [+]")</f>
        <v>Argelia [+]</v>
      </c>
      <c r="D56" s="2">
        <f>IFERROR(__xludf.DUMMYFUNCTION("""COMPUTED_VALUE"""),2015.0)</f>
        <v>2015</v>
      </c>
      <c r="E56" s="5">
        <f>IFERROR(__xludf.DUMMYFUNCTION("""COMPUTED_VALUE"""),236.0)</f>
        <v>236</v>
      </c>
      <c r="F56" s="2">
        <f>IFERROR(__xludf.DUMMYFUNCTION("""COMPUTED_VALUE"""),989.0)</f>
        <v>989</v>
      </c>
      <c r="G56" s="6">
        <f>IFERROR(__xludf.DUMMYFUNCTION("""COMPUTED_VALUE"""),1225.0)</f>
        <v>1225</v>
      </c>
      <c r="H56" s="2">
        <f>IFERROR(__xludf.DUMMYFUNCTION("""COMPUTED_VALUE"""),1.2)</f>
        <v>1.2</v>
      </c>
      <c r="I56" s="7">
        <f>IFERROR(__xludf.DUMMYFUNCTION("""COMPUTED_VALUE"""),4.93)</f>
        <v>4.93</v>
      </c>
      <c r="J56" s="2">
        <f>IFERROR(__xludf.DUMMYFUNCTION("""COMPUTED_VALUE"""),3.07)</f>
        <v>3.07</v>
      </c>
      <c r="K56" s="8">
        <f>IFERROR(__xludf.DUMMYFUNCTION("""COMPUTED_VALUE"""),-0.0097)</f>
        <v>-0.0097</v>
      </c>
    </row>
    <row r="57" ht="15.75" customHeight="1">
      <c r="C57" s="2" t="str">
        <f>IFERROR(__xludf.DUMMYFUNCTION("""COMPUTED_VALUE"""),"Ecuador [+]")</f>
        <v>Ecuador [+]</v>
      </c>
      <c r="D57" s="2">
        <f>IFERROR(__xludf.DUMMYFUNCTION("""COMPUTED_VALUE"""),2015.0)</f>
        <v>2015</v>
      </c>
      <c r="E57" s="2">
        <f>IFERROR(__xludf.DUMMYFUNCTION("""COMPUTED_VALUE"""),304.0)</f>
        <v>304</v>
      </c>
      <c r="F57" s="2">
        <f>IFERROR(__xludf.DUMMYFUNCTION("""COMPUTED_VALUE"""),903.0)</f>
        <v>903</v>
      </c>
      <c r="G57" s="6">
        <f>IFERROR(__xludf.DUMMYFUNCTION("""COMPUTED_VALUE"""),1207.0)</f>
        <v>1207</v>
      </c>
      <c r="H57" s="2">
        <f>IFERROR(__xludf.DUMMYFUNCTION("""COMPUTED_VALUE"""),3.75)</f>
        <v>3.75</v>
      </c>
      <c r="I57" s="7">
        <f>IFERROR(__xludf.DUMMYFUNCTION("""COMPUTED_VALUE"""),11.13)</f>
        <v>11.13</v>
      </c>
      <c r="J57" s="2">
        <f>IFERROR(__xludf.DUMMYFUNCTION("""COMPUTED_VALUE"""),7.42)</f>
        <v>7.42</v>
      </c>
      <c r="K57" s="8">
        <f>IFERROR(__xludf.DUMMYFUNCTION("""COMPUTED_VALUE"""),-0.0962)</f>
        <v>-0.0962</v>
      </c>
    </row>
    <row r="58" ht="15.75" customHeight="1">
      <c r="C58" s="2" t="str">
        <f>IFERROR(__xludf.DUMMYFUNCTION("""COMPUTED_VALUE"""),"Estonia [+]")</f>
        <v>Estonia [+]</v>
      </c>
      <c r="D58" s="2">
        <f>IFERROR(__xludf.DUMMYFUNCTION("""COMPUTED_VALUE"""),2018.0)</f>
        <v>2018</v>
      </c>
      <c r="E58" s="5">
        <f>IFERROR(__xludf.DUMMYFUNCTION("""COMPUTED_VALUE"""),46.0)</f>
        <v>46</v>
      </c>
      <c r="F58" s="2">
        <f>IFERROR(__xludf.DUMMYFUNCTION("""COMPUTED_VALUE"""),148.0)</f>
        <v>148</v>
      </c>
      <c r="G58" s="6">
        <f>IFERROR(__xludf.DUMMYFUNCTION("""COMPUTED_VALUE"""),194.0)</f>
        <v>194</v>
      </c>
      <c r="H58" s="2">
        <f>IFERROR(__xludf.DUMMYFUNCTION("""COMPUTED_VALUE"""),6.58)</f>
        <v>6.58</v>
      </c>
      <c r="I58" s="7">
        <f>IFERROR(__xludf.DUMMYFUNCTION("""COMPUTED_VALUE"""),24.54)</f>
        <v>24.54</v>
      </c>
      <c r="J58" s="2">
        <f>IFERROR(__xludf.DUMMYFUNCTION("""COMPUTED_VALUE"""),15.05)</f>
        <v>15.05</v>
      </c>
      <c r="K58" s="8">
        <f>IFERROR(__xludf.DUMMYFUNCTION("""COMPUTED_VALUE"""),-0.1341)</f>
        <v>-0.1341</v>
      </c>
    </row>
    <row r="59" ht="15.75" customHeight="1">
      <c r="C59" s="2" t="str">
        <f>IFERROR(__xludf.DUMMYFUNCTION("""COMPUTED_VALUE"""),"Egipto [+]")</f>
        <v>Egipto [+]</v>
      </c>
      <c r="D59" s="2">
        <f>IFERROR(__xludf.DUMMYFUNCTION("""COMPUTED_VALUE"""),2015.0)</f>
        <v>2015</v>
      </c>
      <c r="E59" s="5">
        <f>IFERROR(__xludf.DUMMYFUNCTION("""COMPUTED_VALUE"""),652.0)</f>
        <v>652</v>
      </c>
      <c r="F59" s="6">
        <f>IFERROR(__xludf.DUMMYFUNCTION("""COMPUTED_VALUE"""),1716.0)</f>
        <v>1716</v>
      </c>
      <c r="G59" s="6">
        <f>IFERROR(__xludf.DUMMYFUNCTION("""COMPUTED_VALUE"""),2368.0)</f>
        <v>2368</v>
      </c>
      <c r="H59" s="2">
        <f>IFERROR(__xludf.DUMMYFUNCTION("""COMPUTED_VALUE"""),1.43)</f>
        <v>1.43</v>
      </c>
      <c r="I59" s="7">
        <f>IFERROR(__xludf.DUMMYFUNCTION("""COMPUTED_VALUE"""),3.67)</f>
        <v>3.67</v>
      </c>
      <c r="J59" s="2">
        <f>IFERROR(__xludf.DUMMYFUNCTION("""COMPUTED_VALUE"""),2.66)</f>
        <v>2.66</v>
      </c>
      <c r="K59" s="8">
        <f>IFERROR(__xludf.DUMMYFUNCTION("""COMPUTED_VALUE"""),-0.0075)</f>
        <v>-0.0075</v>
      </c>
    </row>
    <row r="60" ht="15.75" customHeight="1">
      <c r="C60" s="2" t="str">
        <f>IFERROR(__xludf.DUMMYFUNCTION("""COMPUTED_VALUE"""),"Eritrea [+]")</f>
        <v>Eritrea [+]</v>
      </c>
      <c r="D60" s="2">
        <f>IFERROR(__xludf.DUMMYFUNCTION("""COMPUTED_VALUE"""),2015.0)</f>
        <v>2015</v>
      </c>
      <c r="E60" s="2">
        <f>IFERROR(__xludf.DUMMYFUNCTION("""COMPUTED_VALUE"""),79.0)</f>
        <v>79</v>
      </c>
      <c r="F60" s="2">
        <f>IFERROR(__xludf.DUMMYFUNCTION("""COMPUTED_VALUE"""),273.0)</f>
        <v>273</v>
      </c>
      <c r="G60" s="2">
        <f>IFERROR(__xludf.DUMMYFUNCTION("""COMPUTED_VALUE"""),352.0)</f>
        <v>352</v>
      </c>
      <c r="H60" s="2">
        <f>IFERROR(__xludf.DUMMYFUNCTION("""COMPUTED_VALUE"""),3.08)</f>
        <v>3.08</v>
      </c>
      <c r="I60" s="7">
        <f>IFERROR(__xludf.DUMMYFUNCTION("""COMPUTED_VALUE"""),10.71)</f>
        <v>10.71</v>
      </c>
      <c r="J60" s="2">
        <f>IFERROR(__xludf.DUMMYFUNCTION("""COMPUTED_VALUE"""),7.26)</f>
        <v>7.26</v>
      </c>
      <c r="K60" s="8">
        <f>IFERROR(__xludf.DUMMYFUNCTION("""COMPUTED_VALUE"""),0.0756)</f>
        <v>0.0756</v>
      </c>
    </row>
    <row r="61" ht="15.75" customHeight="1">
      <c r="C61" s="2" t="str">
        <f>IFERROR(__xludf.DUMMYFUNCTION("""COMPUTED_VALUE"""),"Etiopía [+]")</f>
        <v>Etiopía [+]</v>
      </c>
      <c r="D61" s="2">
        <f>IFERROR(__xludf.DUMMYFUNCTION("""COMPUTED_VALUE"""),2015.0)</f>
        <v>2015</v>
      </c>
      <c r="E61" s="6">
        <f>IFERROR(__xludf.DUMMYFUNCTION("""COMPUTED_VALUE"""),1869.0)</f>
        <v>1869</v>
      </c>
      <c r="F61" s="6">
        <f>IFERROR(__xludf.DUMMYFUNCTION("""COMPUTED_VALUE"""),6479.0)</f>
        <v>6479</v>
      </c>
      <c r="G61" s="6">
        <f>IFERROR(__xludf.DUMMYFUNCTION("""COMPUTED_VALUE"""),8348.0)</f>
        <v>8348</v>
      </c>
      <c r="H61" s="2">
        <f>IFERROR(__xludf.DUMMYFUNCTION("""COMPUTED_VALUE"""),3.71)</f>
        <v>3.71</v>
      </c>
      <c r="I61" s="7">
        <f>IFERROR(__xludf.DUMMYFUNCTION("""COMPUTED_VALUE"""),12.85)</f>
        <v>12.85</v>
      </c>
      <c r="J61" s="2">
        <f>IFERROR(__xludf.DUMMYFUNCTION("""COMPUTED_VALUE"""),9.3)</f>
        <v>9.3</v>
      </c>
      <c r="K61" s="8">
        <f>IFERROR(__xludf.DUMMYFUNCTION("""COMPUTED_VALUE"""),0.0368)</f>
        <v>0.0368</v>
      </c>
    </row>
    <row r="62" ht="15.75" customHeight="1">
      <c r="C62" s="2" t="str">
        <f>IFERROR(__xludf.DUMMYFUNCTION("""COMPUTED_VALUE"""),"Finlandia [+]")</f>
        <v>Finlandia [+]</v>
      </c>
      <c r="D62" s="2">
        <f>IFERROR(__xludf.DUMMYFUNCTION("""COMPUTED_VALUE"""),2018.0)</f>
        <v>2018</v>
      </c>
      <c r="E62" s="2">
        <f>IFERROR(__xludf.DUMMYFUNCTION("""COMPUTED_VALUE"""),190.0)</f>
        <v>190</v>
      </c>
      <c r="F62" s="2">
        <f>IFERROR(__xludf.DUMMYFUNCTION("""COMPUTED_VALUE"""),617.0)</f>
        <v>617</v>
      </c>
      <c r="G62" s="2">
        <f>IFERROR(__xludf.DUMMYFUNCTION("""COMPUTED_VALUE"""),807.0)</f>
        <v>807</v>
      </c>
      <c r="H62" s="2">
        <f>IFERROR(__xludf.DUMMYFUNCTION("""COMPUTED_VALUE"""),6.8)</f>
        <v>6.8</v>
      </c>
      <c r="I62" s="7">
        <f>IFERROR(__xludf.DUMMYFUNCTION("""COMPUTED_VALUE"""),22.31)</f>
        <v>22.31</v>
      </c>
      <c r="J62" s="2">
        <f>IFERROR(__xludf.DUMMYFUNCTION("""COMPUTED_VALUE"""),14.45)</f>
        <v>14.45</v>
      </c>
      <c r="K62" s="8">
        <f>IFERROR(__xludf.DUMMYFUNCTION("""COMPUTED_VALUE"""),-0.0328)</f>
        <v>-0.0328</v>
      </c>
    </row>
    <row r="63" ht="15.75" customHeight="1">
      <c r="C63" s="2" t="str">
        <f>IFERROR(__xludf.DUMMYFUNCTION("""COMPUTED_VALUE"""),"Fiyi [+]")</f>
        <v>Fiyi [+]</v>
      </c>
      <c r="D63" s="2">
        <f>IFERROR(__xludf.DUMMYFUNCTION("""COMPUTED_VALUE"""),2015.0)</f>
        <v>2015</v>
      </c>
      <c r="E63" s="2">
        <f>IFERROR(__xludf.DUMMYFUNCTION("""COMPUTED_VALUE"""),18.0)</f>
        <v>18</v>
      </c>
      <c r="F63" s="2">
        <f>IFERROR(__xludf.DUMMYFUNCTION("""COMPUTED_VALUE"""),58.0)</f>
        <v>58</v>
      </c>
      <c r="G63" s="2">
        <f>IFERROR(__xludf.DUMMYFUNCTION("""COMPUTED_VALUE"""),76.0)</f>
        <v>76</v>
      </c>
      <c r="H63" s="2">
        <f>IFERROR(__xludf.DUMMYFUNCTION("""COMPUTED_VALUE"""),4.22)</f>
        <v>4.22</v>
      </c>
      <c r="I63" s="7">
        <f>IFERROR(__xludf.DUMMYFUNCTION("""COMPUTED_VALUE"""),13.16)</f>
        <v>13.16</v>
      </c>
      <c r="J63" s="2">
        <f>IFERROR(__xludf.DUMMYFUNCTION("""COMPUTED_VALUE"""),8.76)</f>
        <v>8.76</v>
      </c>
      <c r="K63" s="8">
        <f>IFERROR(__xludf.DUMMYFUNCTION("""COMPUTED_VALUE"""),-0.0135)</f>
        <v>-0.0135</v>
      </c>
    </row>
    <row r="64" ht="15.75" customHeight="1">
      <c r="C64" s="2" t="str">
        <f>IFERROR(__xludf.DUMMYFUNCTION("""COMPUTED_VALUE"""),"Estados Federados de Micronesia [+]")</f>
        <v>Estados Federados de Micronesia [+]</v>
      </c>
      <c r="D64" s="2">
        <f>IFERROR(__xludf.DUMMYFUNCTION("""COMPUTED_VALUE"""),2015.0)</f>
        <v>2015</v>
      </c>
      <c r="E64" s="2">
        <f>IFERROR(__xludf.DUMMYFUNCTION("""COMPUTED_VALUE"""),4.0)</f>
        <v>4</v>
      </c>
      <c r="F64" s="2">
        <f>IFERROR(__xludf.DUMMYFUNCTION("""COMPUTED_VALUE"""),8.0)</f>
        <v>8</v>
      </c>
      <c r="G64" s="2">
        <f>IFERROR(__xludf.DUMMYFUNCTION("""COMPUTED_VALUE"""),12.0)</f>
        <v>12</v>
      </c>
      <c r="H64" s="2">
        <f>IFERROR(__xludf.DUMMYFUNCTION("""COMPUTED_VALUE"""),6.62)</f>
        <v>6.62</v>
      </c>
      <c r="I64" s="7">
        <f>IFERROR(__xludf.DUMMYFUNCTION("""COMPUTED_VALUE"""),14.79)</f>
        <v>14.79</v>
      </c>
      <c r="J64" s="2">
        <f>IFERROR(__xludf.DUMMYFUNCTION("""COMPUTED_VALUE"""),11.28)</f>
        <v>11.28</v>
      </c>
      <c r="K64" s="8">
        <f>IFERROR(__xludf.DUMMYFUNCTION("""COMPUTED_VALUE"""),0.0199)</f>
        <v>0.0199</v>
      </c>
    </row>
    <row r="65" ht="15.75" customHeight="1">
      <c r="C65" s="2" t="str">
        <f>IFERROR(__xludf.DUMMYFUNCTION("""COMPUTED_VALUE"""),"Gabón [+]")</f>
        <v>Gabón [+]</v>
      </c>
      <c r="D65" s="2">
        <f>IFERROR(__xludf.DUMMYFUNCTION("""COMPUTED_VALUE"""),2015.0)</f>
        <v>2015</v>
      </c>
      <c r="E65" s="5">
        <f>IFERROR(__xludf.DUMMYFUNCTION("""COMPUTED_VALUE"""),52.0)</f>
        <v>52</v>
      </c>
      <c r="F65" s="2">
        <f>IFERROR(__xludf.DUMMYFUNCTION("""COMPUTED_VALUE"""),137.0)</f>
        <v>137</v>
      </c>
      <c r="G65" s="2">
        <f>IFERROR(__xludf.DUMMYFUNCTION("""COMPUTED_VALUE"""),189.0)</f>
        <v>189</v>
      </c>
      <c r="H65" s="2">
        <f>IFERROR(__xludf.DUMMYFUNCTION("""COMPUTED_VALUE"""),5.43)</f>
        <v>5.43</v>
      </c>
      <c r="I65" s="7">
        <f>IFERROR(__xludf.DUMMYFUNCTION("""COMPUTED_VALUE"""),13.78)</f>
        <v>13.78</v>
      </c>
      <c r="J65" s="2">
        <f>IFERROR(__xludf.DUMMYFUNCTION("""COMPUTED_VALUE"""),9.78)</f>
        <v>9.78</v>
      </c>
      <c r="K65" s="8">
        <f>IFERROR(__xludf.DUMMYFUNCTION("""COMPUTED_VALUE"""),-0.0587)</f>
        <v>-0.0587</v>
      </c>
    </row>
    <row r="66" ht="15.75" customHeight="1">
      <c r="C66" s="2" t="str">
        <f>IFERROR(__xludf.DUMMYFUNCTION("""COMPUTED_VALUE"""),"Granada [+]")</f>
        <v>Granada [+]</v>
      </c>
      <c r="D66" s="2">
        <f>IFERROR(__xludf.DUMMYFUNCTION("""COMPUTED_VALUE"""),2015.0)</f>
        <v>2015</v>
      </c>
      <c r="E66" s="2">
        <f>IFERROR(__xludf.DUMMYFUNCTION("""COMPUTED_VALUE"""),1.0)</f>
        <v>1</v>
      </c>
      <c r="F66" s="2">
        <f>IFERROR(__xludf.DUMMYFUNCTION("""COMPUTED_VALUE"""),0.0)</f>
        <v>0</v>
      </c>
      <c r="G66" s="6">
        <f>IFERROR(__xludf.DUMMYFUNCTION("""COMPUTED_VALUE"""),1.0)</f>
        <v>1</v>
      </c>
      <c r="H66" s="2">
        <f>IFERROR(__xludf.DUMMYFUNCTION("""COMPUTED_VALUE"""),0.95)</f>
        <v>0.95</v>
      </c>
      <c r="I66" s="7">
        <f>IFERROR(__xludf.DUMMYFUNCTION("""COMPUTED_VALUE"""),0.0)</f>
        <v>0</v>
      </c>
      <c r="J66" s="2">
        <f>IFERROR(__xludf.DUMMYFUNCTION("""COMPUTED_VALUE"""),0.47)</f>
        <v>0.47</v>
      </c>
      <c r="K66" s="8">
        <f>IFERROR(__xludf.DUMMYFUNCTION("""COMPUTED_VALUE"""),-0.1897)</f>
        <v>-0.1897</v>
      </c>
    </row>
    <row r="67" ht="15.75" customHeight="1">
      <c r="C67" s="2" t="str">
        <f>IFERROR(__xludf.DUMMYFUNCTION("""COMPUTED_VALUE"""),"Georgia [+]")</f>
        <v>Georgia [+]</v>
      </c>
      <c r="D67" s="2">
        <f>IFERROR(__xludf.DUMMYFUNCTION("""COMPUTED_VALUE"""),2015.0)</f>
        <v>2015</v>
      </c>
      <c r="E67" s="2">
        <f>IFERROR(__xludf.DUMMYFUNCTION("""COMPUTED_VALUE"""),48.0)</f>
        <v>48</v>
      </c>
      <c r="F67" s="2">
        <f>IFERROR(__xludf.DUMMYFUNCTION("""COMPUTED_VALUE"""),219.0)</f>
        <v>219</v>
      </c>
      <c r="G67" s="2">
        <f>IFERROR(__xludf.DUMMYFUNCTION("""COMPUTED_VALUE"""),267.0)</f>
        <v>267</v>
      </c>
      <c r="H67" s="2">
        <f>IFERROR(__xludf.DUMMYFUNCTION("""COMPUTED_VALUE"""),2.47)</f>
        <v>2.47</v>
      </c>
      <c r="I67" s="7">
        <f>IFERROR(__xludf.DUMMYFUNCTION("""COMPUTED_VALUE"""),12.31)</f>
        <v>12.31</v>
      </c>
      <c r="J67" s="2">
        <f>IFERROR(__xludf.DUMMYFUNCTION("""COMPUTED_VALUE"""),7.18)</f>
        <v>7.18</v>
      </c>
      <c r="K67" s="8">
        <f>IFERROR(__xludf.DUMMYFUNCTION("""COMPUTED_VALUE"""),0.0113)</f>
        <v>0.0113</v>
      </c>
    </row>
    <row r="68" ht="15.75" customHeight="1">
      <c r="C68" s="2" t="str">
        <f>IFERROR(__xludf.DUMMYFUNCTION("""COMPUTED_VALUE"""),"Ghana [+]")</f>
        <v>Ghana [+]</v>
      </c>
      <c r="D68" s="2">
        <f>IFERROR(__xludf.DUMMYFUNCTION("""COMPUTED_VALUE"""),2015.0)</f>
        <v>2015</v>
      </c>
      <c r="E68" s="2">
        <f>IFERROR(__xludf.DUMMYFUNCTION("""COMPUTED_VALUE"""),403.0)</f>
        <v>403</v>
      </c>
      <c r="F68" s="6">
        <f>IFERROR(__xludf.DUMMYFUNCTION("""COMPUTED_VALUE"""),1492.0)</f>
        <v>1492</v>
      </c>
      <c r="G68" s="6">
        <f>IFERROR(__xludf.DUMMYFUNCTION("""COMPUTED_VALUE"""),1896.0)</f>
        <v>1896</v>
      </c>
      <c r="H68" s="2">
        <f>IFERROR(__xludf.DUMMYFUNCTION("""COMPUTED_VALUE"""),2.93)</f>
        <v>2.93</v>
      </c>
      <c r="I68" s="7">
        <f>IFERROR(__xludf.DUMMYFUNCTION("""COMPUTED_VALUE"""),10.58)</f>
        <v>10.58</v>
      </c>
      <c r="J68" s="2">
        <f>IFERROR(__xludf.DUMMYFUNCTION("""COMPUTED_VALUE"""),6.84)</f>
        <v>6.84</v>
      </c>
      <c r="K68" s="8">
        <f>IFERROR(__xludf.DUMMYFUNCTION("""COMPUTED_VALUE"""),0.0059)</f>
        <v>0.0059</v>
      </c>
    </row>
    <row r="69" ht="15.75" customHeight="1">
      <c r="C69" s="2" t="str">
        <f>IFERROR(__xludf.DUMMYFUNCTION("""COMPUTED_VALUE"""),"Gambia [+]")</f>
        <v>Gambia [+]</v>
      </c>
      <c r="D69" s="2">
        <f>IFERROR(__xludf.DUMMYFUNCTION("""COMPUTED_VALUE"""),2015.0)</f>
        <v>2015</v>
      </c>
      <c r="E69" s="5">
        <f>IFERROR(__xludf.DUMMYFUNCTION("""COMPUTED_VALUE"""),42.0)</f>
        <v>42</v>
      </c>
      <c r="F69" s="2">
        <f>IFERROR(__xludf.DUMMYFUNCTION("""COMPUTED_VALUE"""),82.0)</f>
        <v>82</v>
      </c>
      <c r="G69" s="6">
        <f>IFERROR(__xludf.DUMMYFUNCTION("""COMPUTED_VALUE"""),124.0)</f>
        <v>124</v>
      </c>
      <c r="H69" s="2">
        <f>IFERROR(__xludf.DUMMYFUNCTION("""COMPUTED_VALUE"""),3.96)</f>
        <v>3.96</v>
      </c>
      <c r="I69" s="7">
        <f>IFERROR(__xludf.DUMMYFUNCTION("""COMPUTED_VALUE"""),7.95)</f>
        <v>7.95</v>
      </c>
      <c r="J69" s="2">
        <f>IFERROR(__xludf.DUMMYFUNCTION("""COMPUTED_VALUE"""),5.94)</f>
        <v>5.94</v>
      </c>
      <c r="K69" s="8">
        <f>IFERROR(__xludf.DUMMYFUNCTION("""COMPUTED_VALUE"""),-0.0133)</f>
        <v>-0.0133</v>
      </c>
    </row>
    <row r="70" ht="15.75" customHeight="1">
      <c r="C70" s="2" t="str">
        <f>IFERROR(__xludf.DUMMYFUNCTION("""COMPUTED_VALUE"""),"Guinea [+]")</f>
        <v>Guinea [+]</v>
      </c>
      <c r="D70" s="2">
        <f>IFERROR(__xludf.DUMMYFUNCTION("""COMPUTED_VALUE"""),2015.0)</f>
        <v>2015</v>
      </c>
      <c r="E70" s="5">
        <f>IFERROR(__xludf.DUMMYFUNCTION("""COMPUTED_VALUE"""),311.0)</f>
        <v>311</v>
      </c>
      <c r="F70" s="2">
        <f>IFERROR(__xludf.DUMMYFUNCTION("""COMPUTED_VALUE"""),657.0)</f>
        <v>657</v>
      </c>
      <c r="G70" s="6">
        <f>IFERROR(__xludf.DUMMYFUNCTION("""COMPUTED_VALUE"""),968.0)</f>
        <v>968</v>
      </c>
      <c r="H70" s="2">
        <f>IFERROR(__xludf.DUMMYFUNCTION("""COMPUTED_VALUE"""),5.22)</f>
        <v>5.22</v>
      </c>
      <c r="I70" s="7">
        <f>IFERROR(__xludf.DUMMYFUNCTION("""COMPUTED_VALUE"""),12.0)</f>
        <v>12</v>
      </c>
      <c r="J70" s="2">
        <f>IFERROR(__xludf.DUMMYFUNCTION("""COMPUTED_VALUE"""),8.47)</f>
        <v>8.47</v>
      </c>
      <c r="K70" s="8">
        <f>IFERROR(__xludf.DUMMYFUNCTION("""COMPUTED_VALUE"""),0.079)</f>
        <v>0.079</v>
      </c>
    </row>
    <row r="71" ht="15.75" customHeight="1">
      <c r="C71" s="2" t="str">
        <f>IFERROR(__xludf.DUMMYFUNCTION("""COMPUTED_VALUE"""),"Guinea Ecuatorial [+]")</f>
        <v>Guinea Ecuatorial [+]</v>
      </c>
      <c r="D71" s="2">
        <f>IFERROR(__xludf.DUMMYFUNCTION("""COMPUTED_VALUE"""),2015.0)</f>
        <v>2015</v>
      </c>
      <c r="E71" s="5">
        <f>IFERROR(__xludf.DUMMYFUNCTION("""COMPUTED_VALUE"""),47.0)</f>
        <v>47</v>
      </c>
      <c r="F71" s="2">
        <f>IFERROR(__xludf.DUMMYFUNCTION("""COMPUTED_VALUE"""),144.0)</f>
        <v>144</v>
      </c>
      <c r="G71" s="6">
        <f>IFERROR(__xludf.DUMMYFUNCTION("""COMPUTED_VALUE"""),191.0)</f>
        <v>191</v>
      </c>
      <c r="H71" s="2">
        <f>IFERROR(__xludf.DUMMYFUNCTION("""COMPUTED_VALUE"""),8.9)</f>
        <v>8.9</v>
      </c>
      <c r="I71" s="7">
        <f>IFERROR(__xludf.DUMMYFUNCTION("""COMPUTED_VALUE"""),22.31)</f>
        <v>22.31</v>
      </c>
      <c r="J71" s="2">
        <f>IFERROR(__xludf.DUMMYFUNCTION("""COMPUTED_VALUE"""),16.23)</f>
        <v>16.23</v>
      </c>
      <c r="K71" s="8">
        <f>IFERROR(__xludf.DUMMYFUNCTION("""COMPUTED_VALUE"""),-0.0181)</f>
        <v>-0.0181</v>
      </c>
    </row>
    <row r="72" ht="15.75" customHeight="1">
      <c r="C72" s="2" t="str">
        <f>IFERROR(__xludf.DUMMYFUNCTION("""COMPUTED_VALUE"""),"Grecia [+]")</f>
        <v>Grecia [+]</v>
      </c>
      <c r="D72" s="2">
        <f>IFERROR(__xludf.DUMMYFUNCTION("""COMPUTED_VALUE"""),2018.0)</f>
        <v>2018</v>
      </c>
      <c r="E72" s="2">
        <f>IFERROR(__xludf.DUMMYFUNCTION("""COMPUTED_VALUE"""),121.0)</f>
        <v>121</v>
      </c>
      <c r="F72" s="2">
        <f>IFERROR(__xludf.DUMMYFUNCTION("""COMPUTED_VALUE"""),446.0)</f>
        <v>446</v>
      </c>
      <c r="G72" s="2">
        <f>IFERROR(__xludf.DUMMYFUNCTION("""COMPUTED_VALUE"""),567.0)</f>
        <v>567</v>
      </c>
      <c r="H72" s="2">
        <f>IFERROR(__xludf.DUMMYFUNCTION("""COMPUTED_VALUE"""),2.17)</f>
        <v>2.17</v>
      </c>
      <c r="I72" s="7">
        <f>IFERROR(__xludf.DUMMYFUNCTION("""COMPUTED_VALUE"""),8.27)</f>
        <v>8.27</v>
      </c>
      <c r="J72" s="2">
        <f>IFERROR(__xludf.DUMMYFUNCTION("""COMPUTED_VALUE"""),5.13)</f>
        <v>5.13</v>
      </c>
      <c r="K72" s="8">
        <f>IFERROR(__xludf.DUMMYFUNCTION("""COMPUTED_VALUE"""),0.08)</f>
        <v>0.08</v>
      </c>
    </row>
    <row r="73" ht="15.75" customHeight="1">
      <c r="C73" s="2" t="str">
        <f>IFERROR(__xludf.DUMMYFUNCTION("""COMPUTED_VALUE"""),"Guatemala [+]")</f>
        <v>Guatemala [+]</v>
      </c>
      <c r="D73" s="2">
        <f>IFERROR(__xludf.DUMMYFUNCTION("""COMPUTED_VALUE"""),2015.0)</f>
        <v>2015</v>
      </c>
      <c r="E73" s="2">
        <f>IFERROR(__xludf.DUMMYFUNCTION("""COMPUTED_VALUE"""),132.0)</f>
        <v>132</v>
      </c>
      <c r="F73" s="2">
        <f>IFERROR(__xludf.DUMMYFUNCTION("""COMPUTED_VALUE"""),269.0)</f>
        <v>269</v>
      </c>
      <c r="G73" s="2">
        <f>IFERROR(__xludf.DUMMYFUNCTION("""COMPUTED_VALUE"""),401.0)</f>
        <v>401</v>
      </c>
      <c r="H73" s="2">
        <f>IFERROR(__xludf.DUMMYFUNCTION("""COMPUTED_VALUE"""),1.67)</f>
        <v>1.67</v>
      </c>
      <c r="I73" s="7">
        <f>IFERROR(__xludf.DUMMYFUNCTION("""COMPUTED_VALUE"""),3.51)</f>
        <v>3.51</v>
      </c>
      <c r="J73" s="2">
        <f>IFERROR(__xludf.DUMMYFUNCTION("""COMPUTED_VALUE"""),2.47)</f>
        <v>2.47</v>
      </c>
      <c r="K73" s="8">
        <f>IFERROR(__xludf.DUMMYFUNCTION("""COMPUTED_VALUE"""),-0.1483)</f>
        <v>-0.1483</v>
      </c>
    </row>
    <row r="74" ht="15.75" customHeight="1">
      <c r="C74" s="2" t="str">
        <f>IFERROR(__xludf.DUMMYFUNCTION("""COMPUTED_VALUE"""),"Guinea-Bisáu [+]")</f>
        <v>Guinea-Bisáu [+]</v>
      </c>
      <c r="D74" s="2">
        <f>IFERROR(__xludf.DUMMYFUNCTION("""COMPUTED_VALUE"""),2015.0)</f>
        <v>2015</v>
      </c>
      <c r="E74" s="2">
        <f>IFERROR(__xludf.DUMMYFUNCTION("""COMPUTED_VALUE"""),34.0)</f>
        <v>34</v>
      </c>
      <c r="F74" s="2">
        <f>IFERROR(__xludf.DUMMYFUNCTION("""COMPUTED_VALUE"""),81.0)</f>
        <v>81</v>
      </c>
      <c r="G74" s="2">
        <f>IFERROR(__xludf.DUMMYFUNCTION("""COMPUTED_VALUE"""),116.0)</f>
        <v>116</v>
      </c>
      <c r="H74" s="2">
        <f>IFERROR(__xludf.DUMMYFUNCTION("""COMPUTED_VALUE"""),3.86)</f>
        <v>3.86</v>
      </c>
      <c r="I74" s="7">
        <f>IFERROR(__xludf.DUMMYFUNCTION("""COMPUTED_VALUE"""),9.61)</f>
        <v>9.61</v>
      </c>
      <c r="J74" s="2">
        <f>IFERROR(__xludf.DUMMYFUNCTION("""COMPUTED_VALUE"""),7.1)</f>
        <v>7.1</v>
      </c>
      <c r="K74" s="8">
        <f>IFERROR(__xludf.DUMMYFUNCTION("""COMPUTED_VALUE"""),-0.0366)</f>
        <v>-0.0366</v>
      </c>
    </row>
    <row r="75" ht="15.75" customHeight="1">
      <c r="C75" s="2" t="str">
        <f>IFERROR(__xludf.DUMMYFUNCTION("""COMPUTED_VALUE"""),"Guyana [+]")</f>
        <v>Guyana [+]</v>
      </c>
      <c r="D75" s="2">
        <f>IFERROR(__xludf.DUMMYFUNCTION("""COMPUTED_VALUE"""),2015.0)</f>
        <v>2015</v>
      </c>
      <c r="E75" s="5">
        <f>IFERROR(__xludf.DUMMYFUNCTION("""COMPUTED_VALUE"""),59.0)</f>
        <v>59</v>
      </c>
      <c r="F75" s="2">
        <f>IFERROR(__xludf.DUMMYFUNCTION("""COMPUTED_VALUE"""),163.0)</f>
        <v>163</v>
      </c>
      <c r="G75" s="2">
        <f>IFERROR(__xludf.DUMMYFUNCTION("""COMPUTED_VALUE"""),222.0)</f>
        <v>222</v>
      </c>
      <c r="H75" s="2">
        <f>IFERROR(__xludf.DUMMYFUNCTION("""COMPUTED_VALUE"""),15.39)</f>
        <v>15.39</v>
      </c>
      <c r="I75" s="7">
        <f>IFERROR(__xludf.DUMMYFUNCTION("""COMPUTED_VALUE"""),42.57)</f>
        <v>42.57</v>
      </c>
      <c r="J75" s="2">
        <f>IFERROR(__xludf.DUMMYFUNCTION("""COMPUTED_VALUE"""),28.99)</f>
        <v>28.99</v>
      </c>
      <c r="K75" s="8">
        <f>IFERROR(__xludf.DUMMYFUNCTION("""COMPUTED_VALUE"""),0.0049)</f>
        <v>0.0049</v>
      </c>
    </row>
    <row r="76" ht="15.75" customHeight="1">
      <c r="C76" s="2" t="str">
        <f>IFERROR(__xludf.DUMMYFUNCTION("""COMPUTED_VALUE"""),"Honduras [+]")</f>
        <v>Honduras [+]</v>
      </c>
      <c r="D76" s="2">
        <f>IFERROR(__xludf.DUMMYFUNCTION("""COMPUTED_VALUE"""),2015.0)</f>
        <v>2015</v>
      </c>
      <c r="E76" s="2">
        <f>IFERROR(__xludf.DUMMYFUNCTION("""COMPUTED_VALUE"""),100.0)</f>
        <v>100</v>
      </c>
      <c r="F76" s="2">
        <f>IFERROR(__xludf.DUMMYFUNCTION("""COMPUTED_VALUE"""),186.0)</f>
        <v>186</v>
      </c>
      <c r="G76" s="2">
        <f>IFERROR(__xludf.DUMMYFUNCTION("""COMPUTED_VALUE"""),287.0)</f>
        <v>287</v>
      </c>
      <c r="H76" s="2">
        <f>IFERROR(__xludf.DUMMYFUNCTION("""COMPUTED_VALUE"""),2.19)</f>
        <v>2.19</v>
      </c>
      <c r="I76" s="7">
        <f>IFERROR(__xludf.DUMMYFUNCTION("""COMPUTED_VALUE"""),4.1)</f>
        <v>4.1</v>
      </c>
      <c r="J76" s="2">
        <f>IFERROR(__xludf.DUMMYFUNCTION("""COMPUTED_VALUE"""),3.14)</f>
        <v>3.14</v>
      </c>
      <c r="K76" s="8">
        <f>IFERROR(__xludf.DUMMYFUNCTION("""COMPUTED_VALUE"""),-0.0338)</f>
        <v>-0.0338</v>
      </c>
    </row>
    <row r="77" ht="15.75" customHeight="1">
      <c r="C77" s="2" t="str">
        <f>IFERROR(__xludf.DUMMYFUNCTION("""COMPUTED_VALUE"""),"Croacia [+]")</f>
        <v>Croacia [+]</v>
      </c>
      <c r="D77" s="2">
        <f>IFERROR(__xludf.DUMMYFUNCTION("""COMPUTED_VALUE"""),2018.0)</f>
        <v>2018</v>
      </c>
      <c r="E77" s="5">
        <f>IFERROR(__xludf.DUMMYFUNCTION("""COMPUTED_VALUE"""),164.0)</f>
        <v>164</v>
      </c>
      <c r="F77" s="2">
        <f>IFERROR(__xludf.DUMMYFUNCTION("""COMPUTED_VALUE"""),518.0)</f>
        <v>518</v>
      </c>
      <c r="G77" s="6">
        <f>IFERROR(__xludf.DUMMYFUNCTION("""COMPUTED_VALUE"""),682.0)</f>
        <v>682</v>
      </c>
      <c r="H77" s="2">
        <f>IFERROR(__xludf.DUMMYFUNCTION("""COMPUTED_VALUE"""),7.76)</f>
        <v>7.76</v>
      </c>
      <c r="I77" s="7">
        <f>IFERROR(__xludf.DUMMYFUNCTION("""COMPUTED_VALUE"""),26.0)</f>
        <v>26</v>
      </c>
      <c r="J77" s="2">
        <f>IFERROR(__xludf.DUMMYFUNCTION("""COMPUTED_VALUE"""),16.57)</f>
        <v>16.57</v>
      </c>
      <c r="K77" s="8">
        <f>IFERROR(__xludf.DUMMYFUNCTION("""COMPUTED_VALUE"""),0.0746)</f>
        <v>0.0746</v>
      </c>
    </row>
    <row r="78" ht="15.75" customHeight="1">
      <c r="C78" s="2" t="str">
        <f>IFERROR(__xludf.DUMMYFUNCTION("""COMPUTED_VALUE"""),"Haití [+]")</f>
        <v>Haití [+]</v>
      </c>
      <c r="D78" s="2">
        <f>IFERROR(__xludf.DUMMYFUNCTION("""COMPUTED_VALUE"""),2015.0)</f>
        <v>2015</v>
      </c>
      <c r="E78" s="2">
        <f>IFERROR(__xludf.DUMMYFUNCTION("""COMPUTED_VALUE"""),330.0)</f>
        <v>330</v>
      </c>
      <c r="F78" s="2">
        <f>IFERROR(__xludf.DUMMYFUNCTION("""COMPUTED_VALUE"""),870.0)</f>
        <v>870</v>
      </c>
      <c r="G78" s="6">
        <f>IFERROR(__xludf.DUMMYFUNCTION("""COMPUTED_VALUE"""),1200.0)</f>
        <v>1200</v>
      </c>
      <c r="H78" s="2">
        <f>IFERROR(__xludf.DUMMYFUNCTION("""COMPUTED_VALUE"""),6.09)</f>
        <v>6.09</v>
      </c>
      <c r="I78" s="7">
        <f>IFERROR(__xludf.DUMMYFUNCTION("""COMPUTED_VALUE"""),16.48)</f>
        <v>16.48</v>
      </c>
      <c r="J78" s="2">
        <f>IFERROR(__xludf.DUMMYFUNCTION("""COMPUTED_VALUE"""),11.22)</f>
        <v>11.22</v>
      </c>
      <c r="K78" s="8">
        <f>IFERROR(__xludf.DUMMYFUNCTION("""COMPUTED_VALUE"""),0.0018)</f>
        <v>0.0018</v>
      </c>
    </row>
    <row r="79" ht="15.75" customHeight="1">
      <c r="C79" s="2" t="str">
        <f>IFERROR(__xludf.DUMMYFUNCTION("""COMPUTED_VALUE"""),"Hungría [+]")</f>
        <v>Hungría [+]</v>
      </c>
      <c r="D79" s="2">
        <f>IFERROR(__xludf.DUMMYFUNCTION("""COMPUTED_VALUE"""),2018.0)</f>
        <v>2018</v>
      </c>
      <c r="E79" s="2">
        <f>IFERROR(__xludf.DUMMYFUNCTION("""COMPUTED_VALUE"""),380.0)</f>
        <v>380</v>
      </c>
      <c r="F79" s="6">
        <f>IFERROR(__xludf.DUMMYFUNCTION("""COMPUTED_VALUE"""),1276.0)</f>
        <v>1276</v>
      </c>
      <c r="G79" s="6">
        <f>IFERROR(__xludf.DUMMYFUNCTION("""COMPUTED_VALUE"""),1656.0)</f>
        <v>1656</v>
      </c>
      <c r="H79" s="2">
        <f>IFERROR(__xludf.DUMMYFUNCTION("""COMPUTED_VALUE"""),7.45)</f>
        <v>7.45</v>
      </c>
      <c r="I79" s="7">
        <f>IFERROR(__xludf.DUMMYFUNCTION("""COMPUTED_VALUE"""),27.07)</f>
        <v>27.07</v>
      </c>
      <c r="J79" s="2">
        <f>IFERROR(__xludf.DUMMYFUNCTION("""COMPUTED_VALUE"""),16.83)</f>
        <v>16.83</v>
      </c>
      <c r="K79" s="8">
        <f>IFERROR(__xludf.DUMMYFUNCTION("""COMPUTED_VALUE"""),0.0102)</f>
        <v>0.0102</v>
      </c>
    </row>
    <row r="80" ht="15.75" customHeight="1">
      <c r="C80" s="2" t="str">
        <f>IFERROR(__xludf.DUMMYFUNCTION("""COMPUTED_VALUE"""),"Indonesia [+]")</f>
        <v>Indonesia [+]</v>
      </c>
      <c r="D80" s="2">
        <f>IFERROR(__xludf.DUMMYFUNCTION("""COMPUTED_VALUE"""),2015.0)</f>
        <v>2015</v>
      </c>
      <c r="E80" s="6">
        <f>IFERROR(__xludf.DUMMYFUNCTION("""COMPUTED_VALUE"""),1973.0)</f>
        <v>1973</v>
      </c>
      <c r="F80" s="6">
        <f>IFERROR(__xludf.DUMMYFUNCTION("""COMPUTED_VALUE"""),5382.0)</f>
        <v>5382</v>
      </c>
      <c r="G80" s="6">
        <f>IFERROR(__xludf.DUMMYFUNCTION("""COMPUTED_VALUE"""),7355.0)</f>
        <v>7355</v>
      </c>
      <c r="H80" s="2">
        <f>IFERROR(__xludf.DUMMYFUNCTION("""COMPUTED_VALUE"""),1.54)</f>
        <v>1.54</v>
      </c>
      <c r="I80" s="7">
        <f>IFERROR(__xludf.DUMMYFUNCTION("""COMPUTED_VALUE"""),4.14)</f>
        <v>4.14</v>
      </c>
      <c r="J80" s="2">
        <f>IFERROR(__xludf.DUMMYFUNCTION("""COMPUTED_VALUE"""),2.88)</f>
        <v>2.88</v>
      </c>
      <c r="K80" s="8">
        <f>IFERROR(__xludf.DUMMYFUNCTION("""COMPUTED_VALUE"""),-0.0103)</f>
        <v>-0.0103</v>
      </c>
    </row>
    <row r="81" ht="15.75" customHeight="1">
      <c r="C81" s="2" t="str">
        <f>IFERROR(__xludf.DUMMYFUNCTION("""COMPUTED_VALUE"""),"Irlanda [+]")</f>
        <v>Irlanda [+]</v>
      </c>
      <c r="D81" s="2">
        <f>IFERROR(__xludf.DUMMYFUNCTION("""COMPUTED_VALUE"""),2018.0)</f>
        <v>2018</v>
      </c>
      <c r="E81" s="2">
        <f>IFERROR(__xludf.DUMMYFUNCTION("""COMPUTED_VALUE"""),110.0)</f>
        <v>110</v>
      </c>
      <c r="F81" s="2">
        <f>IFERROR(__xludf.DUMMYFUNCTION("""COMPUTED_VALUE"""),327.0)</f>
        <v>327</v>
      </c>
      <c r="G81" s="2">
        <f>IFERROR(__xludf.DUMMYFUNCTION("""COMPUTED_VALUE"""),437.0)</f>
        <v>437</v>
      </c>
      <c r="H81" s="2">
        <f>IFERROR(__xludf.DUMMYFUNCTION("""COMPUTED_VALUE"""),4.4)</f>
        <v>4.4</v>
      </c>
      <c r="I81" s="7">
        <f>IFERROR(__xludf.DUMMYFUNCTION("""COMPUTED_VALUE"""),13.77)</f>
        <v>13.77</v>
      </c>
      <c r="J81" s="2">
        <f>IFERROR(__xludf.DUMMYFUNCTION("""COMPUTED_VALUE"""),9.04)</f>
        <v>9.04</v>
      </c>
      <c r="K81" s="8">
        <f>IFERROR(__xludf.DUMMYFUNCTION("""COMPUTED_VALUE"""),0.123)</f>
        <v>0.123</v>
      </c>
    </row>
    <row r="82" ht="15.75" customHeight="1">
      <c r="C82" s="2" t="str">
        <f>IFERROR(__xludf.DUMMYFUNCTION("""COMPUTED_VALUE"""),"Israel [+]")</f>
        <v>Israel [+]</v>
      </c>
      <c r="D82" s="2">
        <f>IFERROR(__xludf.DUMMYFUNCTION("""COMPUTED_VALUE"""),2018.0)</f>
        <v>2018</v>
      </c>
      <c r="E82" s="2">
        <f>IFERROR(__xludf.DUMMYFUNCTION("""COMPUTED_VALUE"""),95.0)</f>
        <v>95</v>
      </c>
      <c r="F82" s="2">
        <f>IFERROR(__xludf.DUMMYFUNCTION("""COMPUTED_VALUE"""),354.0)</f>
        <v>354</v>
      </c>
      <c r="G82" s="2">
        <f>IFERROR(__xludf.DUMMYFUNCTION("""COMPUTED_VALUE"""),449.0)</f>
        <v>449</v>
      </c>
      <c r="H82" s="2">
        <f>IFERROR(__xludf.DUMMYFUNCTION("""COMPUTED_VALUE"""),2.1)</f>
        <v>2.1</v>
      </c>
      <c r="I82" s="7">
        <f>IFERROR(__xludf.DUMMYFUNCTION("""COMPUTED_VALUE"""),8.0)</f>
        <v>8</v>
      </c>
      <c r="J82" s="2">
        <f>IFERROR(__xludf.DUMMYFUNCTION("""COMPUTED_VALUE"""),5.1)</f>
        <v>5.1</v>
      </c>
      <c r="K82" s="8">
        <f>IFERROR(__xludf.DUMMYFUNCTION("""COMPUTED_VALUE"""),0.1087)</f>
        <v>0.1087</v>
      </c>
    </row>
    <row r="83" ht="15.75" customHeight="1">
      <c r="C83" s="2" t="str">
        <f>IFERROR(__xludf.DUMMYFUNCTION("""COMPUTED_VALUE"""),"India [+]")</f>
        <v>India [+]</v>
      </c>
      <c r="D83" s="2">
        <f>IFERROR(__xludf.DUMMYFUNCTION("""COMPUTED_VALUE"""),2015.0)</f>
        <v>2015</v>
      </c>
      <c r="E83" s="6">
        <f>IFERROR(__xludf.DUMMYFUNCTION("""COMPUTED_VALUE"""),90046.0)</f>
        <v>90046</v>
      </c>
      <c r="F83" s="6">
        <f>IFERROR(__xludf.DUMMYFUNCTION("""COMPUTED_VALUE"""),116232.0)</f>
        <v>116232</v>
      </c>
      <c r="G83" s="6">
        <f>IFERROR(__xludf.DUMMYFUNCTION("""COMPUTED_VALUE"""),206278.0)</f>
        <v>206278</v>
      </c>
      <c r="H83" s="2">
        <f>IFERROR(__xludf.DUMMYFUNCTION("""COMPUTED_VALUE"""),14.32)</f>
        <v>14.32</v>
      </c>
      <c r="I83" s="7">
        <f>IFERROR(__xludf.DUMMYFUNCTION("""COMPUTED_VALUE"""),17.06)</f>
        <v>17.06</v>
      </c>
      <c r="J83" s="2">
        <f>IFERROR(__xludf.DUMMYFUNCTION("""COMPUTED_VALUE"""),15.74)</f>
        <v>15.74</v>
      </c>
      <c r="K83" s="8">
        <f>IFERROR(__xludf.DUMMYFUNCTION("""COMPUTED_VALUE"""),-0.0181)</f>
        <v>-0.0181</v>
      </c>
    </row>
    <row r="84" ht="15.75" customHeight="1">
      <c r="C84" s="2" t="str">
        <f>IFERROR(__xludf.DUMMYFUNCTION("""COMPUTED_VALUE"""),"Irak [+]")</f>
        <v>Irak [+]</v>
      </c>
      <c r="D84" s="2">
        <f>IFERROR(__xludf.DUMMYFUNCTION("""COMPUTED_VALUE"""),2015.0)</f>
        <v>2015</v>
      </c>
      <c r="E84" s="2">
        <f>IFERROR(__xludf.DUMMYFUNCTION("""COMPUTED_VALUE"""),487.0)</f>
        <v>487</v>
      </c>
      <c r="F84" s="2">
        <f>IFERROR(__xludf.DUMMYFUNCTION("""COMPUTED_VALUE"""),622.0)</f>
        <v>622</v>
      </c>
      <c r="G84" s="6">
        <f>IFERROR(__xludf.DUMMYFUNCTION("""COMPUTED_VALUE"""),1109.0)</f>
        <v>1109</v>
      </c>
      <c r="H84" s="2">
        <f>IFERROR(__xludf.DUMMYFUNCTION("""COMPUTED_VALUE"""),2.77)</f>
        <v>2.77</v>
      </c>
      <c r="I84" s="7">
        <f>IFERROR(__xludf.DUMMYFUNCTION("""COMPUTED_VALUE"""),3.46)</f>
        <v>3.46</v>
      </c>
      <c r="J84" s="2">
        <f>IFERROR(__xludf.DUMMYFUNCTION("""COMPUTED_VALUE"""),3.12)</f>
        <v>3.12</v>
      </c>
      <c r="K84" s="8">
        <f>IFERROR(__xludf.DUMMYFUNCTION("""COMPUTED_VALUE"""),0.04)</f>
        <v>0.04</v>
      </c>
    </row>
    <row r="85" ht="15.75" customHeight="1">
      <c r="C85" s="2" t="str">
        <f>IFERROR(__xludf.DUMMYFUNCTION("""COMPUTED_VALUE"""),"Irán [+]")</f>
        <v>Irán [+]</v>
      </c>
      <c r="D85" s="2">
        <f>IFERROR(__xludf.DUMMYFUNCTION("""COMPUTED_VALUE"""),2015.0)</f>
        <v>2015</v>
      </c>
      <c r="E85" s="6">
        <f>IFERROR(__xludf.DUMMYFUNCTION("""COMPUTED_VALUE"""),1114.0)</f>
        <v>1114</v>
      </c>
      <c r="F85" s="6">
        <f>IFERROR(__xludf.DUMMYFUNCTION("""COMPUTED_VALUE"""),1722.0)</f>
        <v>1722</v>
      </c>
      <c r="G85" s="6">
        <f>IFERROR(__xludf.DUMMYFUNCTION("""COMPUTED_VALUE"""),2836.0)</f>
        <v>2836</v>
      </c>
      <c r="H85" s="2">
        <f>IFERROR(__xludf.DUMMYFUNCTION("""COMPUTED_VALUE"""),2.87)</f>
        <v>2.87</v>
      </c>
      <c r="I85" s="7">
        <f>IFERROR(__xludf.DUMMYFUNCTION("""COMPUTED_VALUE"""),4.33)</f>
        <v>4.33</v>
      </c>
      <c r="J85" s="2">
        <f>IFERROR(__xludf.DUMMYFUNCTION("""COMPUTED_VALUE"""),3.59)</f>
        <v>3.59</v>
      </c>
      <c r="K85" s="8">
        <f>IFERROR(__xludf.DUMMYFUNCTION("""COMPUTED_VALUE"""),-0.0083)</f>
        <v>-0.0083</v>
      </c>
    </row>
    <row r="86" ht="15.75" customHeight="1">
      <c r="C86" s="2" t="str">
        <f>IFERROR(__xludf.DUMMYFUNCTION("""COMPUTED_VALUE"""),"Islandia [+]")</f>
        <v>Islandia [+]</v>
      </c>
      <c r="D86" s="2">
        <f>IFERROR(__xludf.DUMMYFUNCTION("""COMPUTED_VALUE"""),2018.0)</f>
        <v>2018</v>
      </c>
      <c r="E86" s="5">
        <f>IFERROR(__xludf.DUMMYFUNCTION("""COMPUTED_VALUE"""),5.0)</f>
        <v>5</v>
      </c>
      <c r="F86" s="2">
        <f>IFERROR(__xludf.DUMMYFUNCTION("""COMPUTED_VALUE"""),29.0)</f>
        <v>29</v>
      </c>
      <c r="G86" s="2">
        <f>IFERROR(__xludf.DUMMYFUNCTION("""COMPUTED_VALUE"""),34.0)</f>
        <v>34</v>
      </c>
      <c r="H86" s="2">
        <f>IFERROR(__xludf.DUMMYFUNCTION("""COMPUTED_VALUE"""),2.9)</f>
        <v>2.9</v>
      </c>
      <c r="I86" s="7">
        <f>IFERROR(__xludf.DUMMYFUNCTION("""COMPUTED_VALUE"""),16.65)</f>
        <v>16.65</v>
      </c>
      <c r="J86" s="2">
        <f>IFERROR(__xludf.DUMMYFUNCTION("""COMPUTED_VALUE"""),9.92)</f>
        <v>9.92</v>
      </c>
      <c r="K86" s="8">
        <f>IFERROR(__xludf.DUMMYFUNCTION("""COMPUTED_VALUE"""),0.002)</f>
        <v>0.002</v>
      </c>
    </row>
    <row r="87" ht="15.75" customHeight="1">
      <c r="C87" s="2" t="str">
        <f>IFERROR(__xludf.DUMMYFUNCTION("""COMPUTED_VALUE"""),"Jamaica [+]")</f>
        <v>Jamaica [+]</v>
      </c>
      <c r="D87" s="2">
        <f>IFERROR(__xludf.DUMMYFUNCTION("""COMPUTED_VALUE"""),2015.0)</f>
        <v>2015</v>
      </c>
      <c r="E87" s="5">
        <f>IFERROR(__xludf.DUMMYFUNCTION("""COMPUTED_VALUE"""),4.0)</f>
        <v>4</v>
      </c>
      <c r="F87" s="2">
        <f>IFERROR(__xludf.DUMMYFUNCTION("""COMPUTED_VALUE"""),36.0)</f>
        <v>36</v>
      </c>
      <c r="G87" s="6">
        <f>IFERROR(__xludf.DUMMYFUNCTION("""COMPUTED_VALUE"""),40.0)</f>
        <v>40</v>
      </c>
      <c r="H87" s="2">
        <f>IFERROR(__xludf.DUMMYFUNCTION("""COMPUTED_VALUE"""),0.3)</f>
        <v>0.3</v>
      </c>
      <c r="I87" s="7">
        <f>IFERROR(__xludf.DUMMYFUNCTION("""COMPUTED_VALUE"""),2.49)</f>
        <v>2.49</v>
      </c>
      <c r="J87" s="2">
        <f>IFERROR(__xludf.DUMMYFUNCTION("""COMPUTED_VALUE"""),1.48)</f>
        <v>1.48</v>
      </c>
      <c r="K87" s="8">
        <f>IFERROR(__xludf.DUMMYFUNCTION("""COMPUTED_VALUE"""),0.0068)</f>
        <v>0.0068</v>
      </c>
    </row>
    <row r="88" ht="15.75" customHeight="1">
      <c r="C88" s="2" t="str">
        <f>IFERROR(__xludf.DUMMYFUNCTION("""COMPUTED_VALUE"""),"Jordania [+]")</f>
        <v>Jordania [+]</v>
      </c>
      <c r="D88" s="2">
        <f>IFERROR(__xludf.DUMMYFUNCTION("""COMPUTED_VALUE"""),2015.0)</f>
        <v>2015</v>
      </c>
      <c r="E88" s="5">
        <f>IFERROR(__xludf.DUMMYFUNCTION("""COMPUTED_VALUE"""),74.0)</f>
        <v>74</v>
      </c>
      <c r="F88" s="2">
        <f>IFERROR(__xludf.DUMMYFUNCTION("""COMPUTED_VALUE"""),170.0)</f>
        <v>170</v>
      </c>
      <c r="G88" s="6">
        <f>IFERROR(__xludf.DUMMYFUNCTION("""COMPUTED_VALUE"""),244.0)</f>
        <v>244</v>
      </c>
      <c r="H88" s="2">
        <f>IFERROR(__xludf.DUMMYFUNCTION("""COMPUTED_VALUE"""),1.63)</f>
        <v>1.63</v>
      </c>
      <c r="I88" s="7">
        <f>IFERROR(__xludf.DUMMYFUNCTION("""COMPUTED_VALUE"""),3.61)</f>
        <v>3.61</v>
      </c>
      <c r="J88" s="2">
        <f>IFERROR(__xludf.DUMMYFUNCTION("""COMPUTED_VALUE"""),2.63)</f>
        <v>2.63</v>
      </c>
      <c r="K88" s="8">
        <f>IFERROR(__xludf.DUMMYFUNCTION("""COMPUTED_VALUE"""),-0.0223)</f>
        <v>-0.0223</v>
      </c>
    </row>
    <row r="89" ht="15.75" customHeight="1">
      <c r="C89" s="2" t="str">
        <f>IFERROR(__xludf.DUMMYFUNCTION("""COMPUTED_VALUE"""),"Kenia [+]")</f>
        <v>Kenia [+]</v>
      </c>
      <c r="D89" s="2">
        <f>IFERROR(__xludf.DUMMYFUNCTION("""COMPUTED_VALUE"""),2015.0)</f>
        <v>2015</v>
      </c>
      <c r="E89" s="2">
        <f>IFERROR(__xludf.DUMMYFUNCTION("""COMPUTED_VALUE"""),627.0)</f>
        <v>627</v>
      </c>
      <c r="F89" s="6">
        <f>IFERROR(__xludf.DUMMYFUNCTION("""COMPUTED_VALUE"""),2377.0)</f>
        <v>2377</v>
      </c>
      <c r="G89" s="6">
        <f>IFERROR(__xludf.DUMMYFUNCTION("""COMPUTED_VALUE"""),3004.0)</f>
        <v>3004</v>
      </c>
      <c r="H89" s="2">
        <f>IFERROR(__xludf.DUMMYFUNCTION("""COMPUTED_VALUE"""),2.6)</f>
        <v>2.6</v>
      </c>
      <c r="I89" s="7">
        <f>IFERROR(__xludf.DUMMYFUNCTION("""COMPUTED_VALUE"""),9.99)</f>
        <v>9.99</v>
      </c>
      <c r="J89" s="2">
        <f>IFERROR(__xludf.DUMMYFUNCTION("""COMPUTED_VALUE"""),6.94)</f>
        <v>6.94</v>
      </c>
      <c r="K89" s="8">
        <f>IFERROR(__xludf.DUMMYFUNCTION("""COMPUTED_VALUE"""),-0.0043)</f>
        <v>-0.0043</v>
      </c>
    </row>
    <row r="90" ht="15.75" customHeight="1">
      <c r="C90" s="2" t="str">
        <f>IFERROR(__xludf.DUMMYFUNCTION("""COMPUTED_VALUE"""),"Kirguistán [+]")</f>
        <v>Kirguistán [+]</v>
      </c>
      <c r="D90" s="2">
        <f>IFERROR(__xludf.DUMMYFUNCTION("""COMPUTED_VALUE"""),2015.0)</f>
        <v>2015</v>
      </c>
      <c r="E90" s="2">
        <f>IFERROR(__xludf.DUMMYFUNCTION("""COMPUTED_VALUE"""),96.0)</f>
        <v>96</v>
      </c>
      <c r="F90" s="2">
        <f>IFERROR(__xludf.DUMMYFUNCTION("""COMPUTED_VALUE"""),343.0)</f>
        <v>343</v>
      </c>
      <c r="G90" s="2">
        <f>IFERROR(__xludf.DUMMYFUNCTION("""COMPUTED_VALUE"""),439.0)</f>
        <v>439</v>
      </c>
      <c r="H90" s="2">
        <f>IFERROR(__xludf.DUMMYFUNCTION("""COMPUTED_VALUE"""),3.19)</f>
        <v>3.19</v>
      </c>
      <c r="I90" s="7">
        <f>IFERROR(__xludf.DUMMYFUNCTION("""COMPUTED_VALUE"""),11.63)</f>
        <v>11.63</v>
      </c>
      <c r="J90" s="2">
        <f>IFERROR(__xludf.DUMMYFUNCTION("""COMPUTED_VALUE"""),7.44)</f>
        <v>7.44</v>
      </c>
      <c r="K90" s="8">
        <f>IFERROR(__xludf.DUMMYFUNCTION("""COMPUTED_VALUE"""),-0.1143)</f>
        <v>-0.1143</v>
      </c>
    </row>
    <row r="91" ht="15.75" customHeight="1">
      <c r="C91" s="2" t="str">
        <f>IFERROR(__xludf.DUMMYFUNCTION("""COMPUTED_VALUE"""),"Camboya [+]")</f>
        <v>Camboya [+]</v>
      </c>
      <c r="D91" s="2">
        <f>IFERROR(__xludf.DUMMYFUNCTION("""COMPUTED_VALUE"""),2015.0)</f>
        <v>2015</v>
      </c>
      <c r="E91" s="2">
        <f>IFERROR(__xludf.DUMMYFUNCTION("""COMPUTED_VALUE"""),645.0)</f>
        <v>645</v>
      </c>
      <c r="F91" s="6">
        <f>IFERROR(__xludf.DUMMYFUNCTION("""COMPUTED_VALUE"""),1212.0)</f>
        <v>1212</v>
      </c>
      <c r="G91" s="6">
        <f>IFERROR(__xludf.DUMMYFUNCTION("""COMPUTED_VALUE"""),1857.0)</f>
        <v>1857</v>
      </c>
      <c r="H91" s="2">
        <f>IFERROR(__xludf.DUMMYFUNCTION("""COMPUTED_VALUE"""),8.11)</f>
        <v>8.11</v>
      </c>
      <c r="I91" s="7">
        <f>IFERROR(__xludf.DUMMYFUNCTION("""COMPUTED_VALUE"""),16.01)</f>
        <v>16.01</v>
      </c>
      <c r="J91" s="2">
        <f>IFERROR(__xludf.DUMMYFUNCTION("""COMPUTED_VALUE"""),12.36)</f>
        <v>12.36</v>
      </c>
      <c r="K91" s="8">
        <f>IFERROR(__xludf.DUMMYFUNCTION("""COMPUTED_VALUE"""),-0.0198)</f>
        <v>-0.0198</v>
      </c>
    </row>
    <row r="92" ht="15.75" customHeight="1">
      <c r="C92" s="2" t="str">
        <f>IFERROR(__xludf.DUMMYFUNCTION("""COMPUTED_VALUE"""),"Kiribati [+]")</f>
        <v>Kiribati [+]</v>
      </c>
      <c r="D92" s="2">
        <f>IFERROR(__xludf.DUMMYFUNCTION("""COMPUTED_VALUE"""),2015.0)</f>
        <v>2015</v>
      </c>
      <c r="E92" s="2">
        <f>IFERROR(__xludf.DUMMYFUNCTION("""COMPUTED_VALUE"""),4.0)</f>
        <v>4</v>
      </c>
      <c r="F92" s="2">
        <f>IFERROR(__xludf.DUMMYFUNCTION("""COMPUTED_VALUE"""),12.0)</f>
        <v>12</v>
      </c>
      <c r="G92" s="2">
        <f>IFERROR(__xludf.DUMMYFUNCTION("""COMPUTED_VALUE"""),16.0)</f>
        <v>16</v>
      </c>
      <c r="H92" s="2">
        <f>IFERROR(__xludf.DUMMYFUNCTION("""COMPUTED_VALUE"""),6.31)</f>
        <v>6.31</v>
      </c>
      <c r="I92" s="7">
        <f>IFERROR(__xludf.DUMMYFUNCTION("""COMPUTED_VALUE"""),22.89)</f>
        <v>22.89</v>
      </c>
      <c r="J92" s="2">
        <f>IFERROR(__xludf.DUMMYFUNCTION("""COMPUTED_VALUE"""),14.45)</f>
        <v>14.45</v>
      </c>
      <c r="K92" s="8">
        <f>IFERROR(__xludf.DUMMYFUNCTION("""COMPUTED_VALUE"""),-0.0236)</f>
        <v>-0.0236</v>
      </c>
    </row>
    <row r="93" ht="15.75" customHeight="1">
      <c r="C93" s="2" t="str">
        <f>IFERROR(__xludf.DUMMYFUNCTION("""COMPUTED_VALUE"""),"Comoras [+]")</f>
        <v>Comoras [+]</v>
      </c>
      <c r="D93" s="2">
        <f>IFERROR(__xludf.DUMMYFUNCTION("""COMPUTED_VALUE"""),2015.0)</f>
        <v>2015</v>
      </c>
      <c r="E93" s="5">
        <f>IFERROR(__xludf.DUMMYFUNCTION("""COMPUTED_VALUE"""),20.0)</f>
        <v>20</v>
      </c>
      <c r="F93" s="2">
        <f>IFERROR(__xludf.DUMMYFUNCTION("""COMPUTED_VALUE"""),38.0)</f>
        <v>38</v>
      </c>
      <c r="G93" s="2">
        <f>IFERROR(__xludf.DUMMYFUNCTION("""COMPUTED_VALUE"""),59.0)</f>
        <v>59</v>
      </c>
      <c r="H93" s="2">
        <f>IFERROR(__xludf.DUMMYFUNCTION("""COMPUTED_VALUE"""),5.3)</f>
        <v>5.3</v>
      </c>
      <c r="I93" s="7">
        <f>IFERROR(__xludf.DUMMYFUNCTION("""COMPUTED_VALUE"""),9.72)</f>
        <v>9.72</v>
      </c>
      <c r="J93" s="2">
        <f>IFERROR(__xludf.DUMMYFUNCTION("""COMPUTED_VALUE"""),7.46)</f>
        <v>7.46</v>
      </c>
      <c r="K93" s="8">
        <f>IFERROR(__xludf.DUMMYFUNCTION("""COMPUTED_VALUE"""),-0.0119)</f>
        <v>-0.0119</v>
      </c>
    </row>
    <row r="94" ht="15.75" customHeight="1">
      <c r="C94" s="2" t="str">
        <f>IFERROR(__xludf.DUMMYFUNCTION("""COMPUTED_VALUE"""),"Corea del Norte [+]")</f>
        <v>Corea del Norte [+]</v>
      </c>
      <c r="D94" s="2">
        <f>IFERROR(__xludf.DUMMYFUNCTION("""COMPUTED_VALUE"""),2015.0)</f>
        <v>2015</v>
      </c>
      <c r="E94" s="6">
        <f>IFERROR(__xludf.DUMMYFUNCTION("""COMPUTED_VALUE"""),1973.0)</f>
        <v>1973</v>
      </c>
      <c r="F94" s="6">
        <f>IFERROR(__xludf.DUMMYFUNCTION("""COMPUTED_VALUE"""),2008.0)</f>
        <v>2008</v>
      </c>
      <c r="G94" s="6">
        <f>IFERROR(__xludf.DUMMYFUNCTION("""COMPUTED_VALUE"""),3981.0)</f>
        <v>3981</v>
      </c>
      <c r="H94" s="2">
        <f>IFERROR(__xludf.DUMMYFUNCTION("""COMPUTED_VALUE"""),15.33)</f>
        <v>15.33</v>
      </c>
      <c r="I94" s="7">
        <f>IFERROR(__xludf.DUMMYFUNCTION("""COMPUTED_VALUE"""),16.31)</f>
        <v>16.31</v>
      </c>
      <c r="J94" s="2">
        <f>IFERROR(__xludf.DUMMYFUNCTION("""COMPUTED_VALUE"""),15.81)</f>
        <v>15.81</v>
      </c>
      <c r="K94" s="8">
        <f>IFERROR(__xludf.DUMMYFUNCTION("""COMPUTED_VALUE"""),-0.0295)</f>
        <v>-0.0295</v>
      </c>
    </row>
    <row r="95" ht="15.75" customHeight="1">
      <c r="C95" s="2" t="str">
        <f>IFERROR(__xludf.DUMMYFUNCTION("""COMPUTED_VALUE"""),"Corea del Sur [+]")</f>
        <v>Corea del Sur [+]</v>
      </c>
      <c r="D95" s="2">
        <f>IFERROR(__xludf.DUMMYFUNCTION("""COMPUTED_VALUE"""),2018.0)</f>
        <v>2018</v>
      </c>
      <c r="E95" s="6">
        <f>IFERROR(__xludf.DUMMYFUNCTION("""COMPUTED_VALUE"""),3808.0)</f>
        <v>3808</v>
      </c>
      <c r="F95" s="6">
        <f>IFERROR(__xludf.DUMMYFUNCTION("""COMPUTED_VALUE"""),9862.0)</f>
        <v>9862</v>
      </c>
      <c r="G95" s="6">
        <f>IFERROR(__xludf.DUMMYFUNCTION("""COMPUTED_VALUE"""),13670.0)</f>
        <v>13670</v>
      </c>
      <c r="H95" s="2">
        <f>IFERROR(__xludf.DUMMYFUNCTION("""COMPUTED_VALUE"""),14.8)</f>
        <v>14.8</v>
      </c>
      <c r="I95" s="7">
        <f>IFERROR(__xludf.DUMMYFUNCTION("""COMPUTED_VALUE"""),38.1)</f>
        <v>38.1</v>
      </c>
      <c r="J95" s="2">
        <f>IFERROR(__xludf.DUMMYFUNCTION("""COMPUTED_VALUE"""),26.5)</f>
        <v>26.5</v>
      </c>
      <c r="K95" s="8">
        <f>IFERROR(__xludf.DUMMYFUNCTION("""COMPUTED_VALUE"""),0.0905)</f>
        <v>0.0905</v>
      </c>
    </row>
    <row r="96" ht="15.75" customHeight="1">
      <c r="C96" s="2" t="str">
        <f>IFERROR(__xludf.DUMMYFUNCTION("""COMPUTED_VALUE"""),"Kuwait [+]")</f>
        <v>Kuwait [+]</v>
      </c>
      <c r="D96" s="2">
        <f>IFERROR(__xludf.DUMMYFUNCTION("""COMPUTED_VALUE"""),2015.0)</f>
        <v>2015</v>
      </c>
      <c r="E96" s="5">
        <f>IFERROR(__xludf.DUMMYFUNCTION("""COMPUTED_VALUE"""),35.0)</f>
        <v>35</v>
      </c>
      <c r="F96" s="2">
        <f>IFERROR(__xludf.DUMMYFUNCTION("""COMPUTED_VALUE"""),119.0)</f>
        <v>119</v>
      </c>
      <c r="G96" s="6">
        <f>IFERROR(__xludf.DUMMYFUNCTION("""COMPUTED_VALUE"""),154.0)</f>
        <v>154</v>
      </c>
      <c r="H96" s="2">
        <f>IFERROR(__xludf.DUMMYFUNCTION("""COMPUTED_VALUE"""),2.21)</f>
        <v>2.21</v>
      </c>
      <c r="I96" s="7">
        <f>IFERROR(__xludf.DUMMYFUNCTION("""COMPUTED_VALUE"""),5.27)</f>
        <v>5.27</v>
      </c>
      <c r="J96" s="2">
        <f>IFERROR(__xludf.DUMMYFUNCTION("""COMPUTED_VALUE"""),3.68)</f>
        <v>3.68</v>
      </c>
      <c r="K96" s="8">
        <f>IFERROR(__xludf.DUMMYFUNCTION("""COMPUTED_VALUE"""),0.011)</f>
        <v>0.011</v>
      </c>
    </row>
    <row r="97" ht="15.75" customHeight="1">
      <c r="C97" s="2" t="str">
        <f>IFERROR(__xludf.DUMMYFUNCTION("""COMPUTED_VALUE"""),"Kazajistán [+]")</f>
        <v>Kazajistán [+]</v>
      </c>
      <c r="D97" s="2">
        <f>IFERROR(__xludf.DUMMYFUNCTION("""COMPUTED_VALUE"""),2015.0)</f>
        <v>2015</v>
      </c>
      <c r="E97" s="2">
        <f>IFERROR(__xludf.DUMMYFUNCTION("""COMPUTED_VALUE"""),872.0)</f>
        <v>872</v>
      </c>
      <c r="F97" s="6">
        <f>IFERROR(__xludf.DUMMYFUNCTION("""COMPUTED_VALUE"""),3983.0)</f>
        <v>3983</v>
      </c>
      <c r="G97" s="6">
        <f>IFERROR(__xludf.DUMMYFUNCTION("""COMPUTED_VALUE"""),4855.0)</f>
        <v>4855</v>
      </c>
      <c r="H97" s="2">
        <f>IFERROR(__xludf.DUMMYFUNCTION("""COMPUTED_VALUE"""),9.64)</f>
        <v>9.64</v>
      </c>
      <c r="I97" s="7">
        <f>IFERROR(__xludf.DUMMYFUNCTION("""COMPUTED_VALUE"""),46.89)</f>
        <v>46.89</v>
      </c>
      <c r="J97" s="2">
        <f>IFERROR(__xludf.DUMMYFUNCTION("""COMPUTED_VALUE"""),27.47)</f>
        <v>27.47</v>
      </c>
      <c r="K97" s="8">
        <f>IFERROR(__xludf.DUMMYFUNCTION("""COMPUTED_VALUE"""),-0.0488)</f>
        <v>-0.0488</v>
      </c>
    </row>
    <row r="98" ht="15.75" customHeight="1">
      <c r="C98" s="2" t="str">
        <f>IFERROR(__xludf.DUMMYFUNCTION("""COMPUTED_VALUE"""),"Laos [+]")</f>
        <v>Laos [+]</v>
      </c>
      <c r="D98" s="2">
        <f>IFERROR(__xludf.DUMMYFUNCTION("""COMPUTED_VALUE"""),2015.0)</f>
        <v>2015</v>
      </c>
      <c r="E98" s="5">
        <f>IFERROR(__xludf.DUMMYFUNCTION("""COMPUTED_VALUE"""),316.0)</f>
        <v>316</v>
      </c>
      <c r="F98" s="2">
        <f>IFERROR(__xludf.DUMMYFUNCTION("""COMPUTED_VALUE"""),521.0)</f>
        <v>521</v>
      </c>
      <c r="G98" s="6">
        <f>IFERROR(__xludf.DUMMYFUNCTION("""COMPUTED_VALUE"""),837.0)</f>
        <v>837</v>
      </c>
      <c r="H98" s="2">
        <f>IFERROR(__xludf.DUMMYFUNCTION("""COMPUTED_VALUE"""),9.4)</f>
        <v>9.4</v>
      </c>
      <c r="I98" s="7">
        <f>IFERROR(__xludf.DUMMYFUNCTION("""COMPUTED_VALUE"""),15.41)</f>
        <v>15.41</v>
      </c>
      <c r="J98" s="2">
        <f>IFERROR(__xludf.DUMMYFUNCTION("""COMPUTED_VALUE"""),12.41)</f>
        <v>12.41</v>
      </c>
      <c r="K98" s="8">
        <f>IFERROR(__xludf.DUMMYFUNCTION("""COMPUTED_VALUE"""),-0.0024)</f>
        <v>-0.0024</v>
      </c>
    </row>
    <row r="99" ht="15.75" customHeight="1">
      <c r="C99" s="2" t="str">
        <f>IFERROR(__xludf.DUMMYFUNCTION("""COMPUTED_VALUE"""),"Líbano [+]")</f>
        <v>Líbano [+]</v>
      </c>
      <c r="D99" s="2">
        <f>IFERROR(__xludf.DUMMYFUNCTION("""COMPUTED_VALUE"""),2015.0)</f>
        <v>2015</v>
      </c>
      <c r="E99" s="5">
        <f>IFERROR(__xludf.DUMMYFUNCTION("""COMPUTED_VALUE"""),62.0)</f>
        <v>62</v>
      </c>
      <c r="F99" s="2">
        <f>IFERROR(__xludf.DUMMYFUNCTION("""COMPUTED_VALUE"""),120.0)</f>
        <v>120</v>
      </c>
      <c r="G99" s="6">
        <f>IFERROR(__xludf.DUMMYFUNCTION("""COMPUTED_VALUE"""),182.0)</f>
        <v>182</v>
      </c>
      <c r="H99" s="2">
        <f>IFERROR(__xludf.DUMMYFUNCTION("""COMPUTED_VALUE"""),1.92)</f>
        <v>1.92</v>
      </c>
      <c r="I99" s="7">
        <f>IFERROR(__xludf.DUMMYFUNCTION("""COMPUTED_VALUE"""),3.65)</f>
        <v>3.65</v>
      </c>
      <c r="J99" s="2">
        <f>IFERROR(__xludf.DUMMYFUNCTION("""COMPUTED_VALUE"""),2.79)</f>
        <v>2.79</v>
      </c>
      <c r="K99" s="8">
        <f>IFERROR(__xludf.DUMMYFUNCTION("""COMPUTED_VALUE"""),0.0036)</f>
        <v>0.0036</v>
      </c>
    </row>
    <row r="100" ht="15.75" customHeight="1">
      <c r="C100" s="2" t="str">
        <f>IFERROR(__xludf.DUMMYFUNCTION("""COMPUTED_VALUE"""),"Santa Lucía [+]")</f>
        <v>Santa Lucía [+]</v>
      </c>
      <c r="D100" s="2">
        <f>IFERROR(__xludf.DUMMYFUNCTION("""COMPUTED_VALUE"""),2015.0)</f>
        <v>2015</v>
      </c>
      <c r="E100" s="2">
        <f>IFERROR(__xludf.DUMMYFUNCTION("""COMPUTED_VALUE"""),2.0)</f>
        <v>2</v>
      </c>
      <c r="F100" s="2">
        <f>IFERROR(__xludf.DUMMYFUNCTION("""COMPUTED_VALUE"""),11.0)</f>
        <v>11</v>
      </c>
      <c r="G100" s="2">
        <f>IFERROR(__xludf.DUMMYFUNCTION("""COMPUTED_VALUE"""),13.0)</f>
        <v>13</v>
      </c>
      <c r="H100" s="2">
        <f>IFERROR(__xludf.DUMMYFUNCTION("""COMPUTED_VALUE"""),1.68)</f>
        <v>1.68</v>
      </c>
      <c r="I100" s="7">
        <f>IFERROR(__xludf.DUMMYFUNCTION("""COMPUTED_VALUE"""),12.57)</f>
        <v>12.57</v>
      </c>
      <c r="J100" s="2">
        <f>IFERROR(__xludf.DUMMYFUNCTION("""COMPUTED_VALUE"""),7.25)</f>
        <v>7.25</v>
      </c>
      <c r="K100" s="8">
        <f>IFERROR(__xludf.DUMMYFUNCTION("""COMPUTED_VALUE"""),-0.0717)</f>
        <v>-0.0717</v>
      </c>
    </row>
    <row r="101" ht="15.75" customHeight="1">
      <c r="C101" s="2" t="str">
        <f>IFERROR(__xludf.DUMMYFUNCTION("""COMPUTED_VALUE"""),"Liechtenstein [+]")</f>
        <v>Liechtenstein [+]</v>
      </c>
      <c r="D101" s="2">
        <f>IFERROR(__xludf.DUMMYFUNCTION("""COMPUTED_VALUE"""),2018.0)</f>
        <v>2018</v>
      </c>
      <c r="E101" s="2">
        <f>IFERROR(__xludf.DUMMYFUNCTION("""COMPUTED_VALUE"""),0.0)</f>
        <v>0</v>
      </c>
      <c r="F101" s="2">
        <f>IFERROR(__xludf.DUMMYFUNCTION("""COMPUTED_VALUE"""),4.0)</f>
        <v>4</v>
      </c>
      <c r="G101" s="2">
        <f>IFERROR(__xludf.DUMMYFUNCTION("""COMPUTED_VALUE"""),4.0)</f>
        <v>4</v>
      </c>
      <c r="H101" s="2">
        <f>IFERROR(__xludf.DUMMYFUNCTION("""COMPUTED_VALUE"""),5.18)</f>
        <v>5.18</v>
      </c>
      <c r="I101" s="7">
        <f>IFERROR(__xludf.DUMMYFUNCTION("""COMPUTED_VALUE"""),36.92)</f>
        <v>36.92</v>
      </c>
      <c r="J101" s="2">
        <f>IFERROR(__xludf.DUMMYFUNCTION("""COMPUTED_VALUE"""),20.92)</f>
        <v>20.92</v>
      </c>
      <c r="K101" s="8">
        <f>IFERROR(__xludf.DUMMYFUNCTION("""COMPUTED_VALUE"""),0.3232)</f>
        <v>0.3232</v>
      </c>
    </row>
    <row r="102" ht="15.75" customHeight="1">
      <c r="C102" s="2" t="str">
        <f>IFERROR(__xludf.DUMMYFUNCTION("""COMPUTED_VALUE"""),"Sri Lanka [+]")</f>
        <v>Sri Lanka [+]</v>
      </c>
      <c r="D102" s="2">
        <f>IFERROR(__xludf.DUMMYFUNCTION("""COMPUTED_VALUE"""),2015.0)</f>
        <v>2015</v>
      </c>
      <c r="E102" s="6">
        <f>IFERROR(__xludf.DUMMYFUNCTION("""COMPUTED_VALUE"""),1461.0)</f>
        <v>1461</v>
      </c>
      <c r="F102" s="6">
        <f>IFERROR(__xludf.DUMMYFUNCTION("""COMPUTED_VALUE"""),5858.0)</f>
        <v>5858</v>
      </c>
      <c r="G102" s="6">
        <f>IFERROR(__xludf.DUMMYFUNCTION("""COMPUTED_VALUE"""),7319.0)</f>
        <v>7319</v>
      </c>
      <c r="H102" s="2">
        <f>IFERROR(__xludf.DUMMYFUNCTION("""COMPUTED_VALUE"""),13.45)</f>
        <v>13.45</v>
      </c>
      <c r="I102" s="7">
        <f>IFERROR(__xludf.DUMMYFUNCTION("""COMPUTED_VALUE"""),57.96)</f>
        <v>57.96</v>
      </c>
      <c r="J102" s="2">
        <f>IFERROR(__xludf.DUMMYFUNCTION("""COMPUTED_VALUE"""),34.9)</f>
        <v>34.9</v>
      </c>
      <c r="K102" s="8">
        <f>IFERROR(__xludf.DUMMYFUNCTION("""COMPUTED_VALUE"""),0.0046)</f>
        <v>0.0046</v>
      </c>
    </row>
    <row r="103" ht="15.75" customHeight="1">
      <c r="C103" s="2" t="str">
        <f>IFERROR(__xludf.DUMMYFUNCTION("""COMPUTED_VALUE"""),"Liberia [+]")</f>
        <v>Liberia [+]</v>
      </c>
      <c r="D103" s="2">
        <f>IFERROR(__xludf.DUMMYFUNCTION("""COMPUTED_VALUE"""),2015.0)</f>
        <v>2015</v>
      </c>
      <c r="E103" s="5">
        <f>IFERROR(__xludf.DUMMYFUNCTION("""COMPUTED_VALUE"""),63.0)</f>
        <v>63</v>
      </c>
      <c r="F103" s="2">
        <f>IFERROR(__xludf.DUMMYFUNCTION("""COMPUTED_VALUE"""),221.0)</f>
        <v>221</v>
      </c>
      <c r="G103" s="6">
        <f>IFERROR(__xludf.DUMMYFUNCTION("""COMPUTED_VALUE"""),284.0)</f>
        <v>284</v>
      </c>
      <c r="H103" s="2">
        <f>IFERROR(__xludf.DUMMYFUNCTION("""COMPUTED_VALUE"""),2.84)</f>
        <v>2.84</v>
      </c>
      <c r="I103" s="7">
        <f>IFERROR(__xludf.DUMMYFUNCTION("""COMPUTED_VALUE"""),9.84)</f>
        <v>9.84</v>
      </c>
      <c r="J103" s="2">
        <f>IFERROR(__xludf.DUMMYFUNCTION("""COMPUTED_VALUE"""),6.36)</f>
        <v>6.36</v>
      </c>
      <c r="K103" s="8">
        <f>IFERROR(__xludf.DUMMYFUNCTION("""COMPUTED_VALUE"""),0.0308)</f>
        <v>0.0308</v>
      </c>
    </row>
    <row r="104" ht="15.75" customHeight="1">
      <c r="C104" s="2" t="str">
        <f>IFERROR(__xludf.DUMMYFUNCTION("""COMPUTED_VALUE"""),"Lesoto [+]")</f>
        <v>Lesoto [+]</v>
      </c>
      <c r="D104" s="2">
        <f>IFERROR(__xludf.DUMMYFUNCTION("""COMPUTED_VALUE"""),2015.0)</f>
        <v>2015</v>
      </c>
      <c r="E104" s="2">
        <f>IFERROR(__xludf.DUMMYFUNCTION("""COMPUTED_VALUE"""),65.0)</f>
        <v>65</v>
      </c>
      <c r="F104" s="2">
        <f>IFERROR(__xludf.DUMMYFUNCTION("""COMPUTED_VALUE"""),156.0)</f>
        <v>156</v>
      </c>
      <c r="G104" s="2">
        <f>IFERROR(__xludf.DUMMYFUNCTION("""COMPUTED_VALUE"""),221.0)</f>
        <v>221</v>
      </c>
      <c r="H104" s="2">
        <f>IFERROR(__xludf.DUMMYFUNCTION("""COMPUTED_VALUE"""),6.21)</f>
        <v>6.21</v>
      </c>
      <c r="I104" s="7">
        <f>IFERROR(__xludf.DUMMYFUNCTION("""COMPUTED_VALUE"""),15.43)</f>
        <v>15.43</v>
      </c>
      <c r="J104" s="2">
        <f>IFERROR(__xludf.DUMMYFUNCTION("""COMPUTED_VALUE"""),11.09)</f>
        <v>11.09</v>
      </c>
      <c r="K104" s="8">
        <f>IFERROR(__xludf.DUMMYFUNCTION("""COMPUTED_VALUE"""),-0.0168)</f>
        <v>-0.0168</v>
      </c>
    </row>
    <row r="105" ht="15.75" customHeight="1">
      <c r="C105" s="2" t="str">
        <f>IFERROR(__xludf.DUMMYFUNCTION("""COMPUTED_VALUE"""),"Lituania [+]")</f>
        <v>Lituania [+]</v>
      </c>
      <c r="D105" s="2">
        <f>IFERROR(__xludf.DUMMYFUNCTION("""COMPUTED_VALUE"""),2018.0)</f>
        <v>2018</v>
      </c>
      <c r="E105" s="5">
        <f>IFERROR(__xludf.DUMMYFUNCTION("""COMPUTED_VALUE"""),141.0)</f>
        <v>141</v>
      </c>
      <c r="F105" s="2">
        <f>IFERROR(__xludf.DUMMYFUNCTION("""COMPUTED_VALUE"""),543.0)</f>
        <v>543</v>
      </c>
      <c r="G105" s="6">
        <f>IFERROR(__xludf.DUMMYFUNCTION("""COMPUTED_VALUE"""),684.0)</f>
        <v>684</v>
      </c>
      <c r="H105" s="2">
        <f>IFERROR(__xludf.DUMMYFUNCTION("""COMPUTED_VALUE"""),9.37)</f>
        <v>9.37</v>
      </c>
      <c r="I105" s="7">
        <f>IFERROR(__xludf.DUMMYFUNCTION("""COMPUTED_VALUE"""),42.12)</f>
        <v>42.12</v>
      </c>
      <c r="J105" s="2">
        <f>IFERROR(__xludf.DUMMYFUNCTION("""COMPUTED_VALUE"""),24.52)</f>
        <v>24.52</v>
      </c>
      <c r="K105" s="8">
        <f>IFERROR(__xludf.DUMMYFUNCTION("""COMPUTED_VALUE"""),-0.0803)</f>
        <v>-0.0803</v>
      </c>
    </row>
    <row r="106" ht="15.75" customHeight="1">
      <c r="C106" s="2" t="str">
        <f>IFERROR(__xludf.DUMMYFUNCTION("""COMPUTED_VALUE"""),"Luxemburgo [+]")</f>
        <v>Luxemburgo [+]</v>
      </c>
      <c r="D106" s="2">
        <f>IFERROR(__xludf.DUMMYFUNCTION("""COMPUTED_VALUE"""),2018.0)</f>
        <v>2018</v>
      </c>
      <c r="E106" s="5">
        <f>IFERROR(__xludf.DUMMYFUNCTION("""COMPUTED_VALUE"""),17.0)</f>
        <v>17</v>
      </c>
      <c r="F106" s="2">
        <f>IFERROR(__xludf.DUMMYFUNCTION("""COMPUTED_VALUE"""),34.0)</f>
        <v>34</v>
      </c>
      <c r="G106" s="6">
        <f>IFERROR(__xludf.DUMMYFUNCTION("""COMPUTED_VALUE"""),51.0)</f>
        <v>51</v>
      </c>
      <c r="H106" s="2">
        <f>IFERROR(__xludf.DUMMYFUNCTION("""COMPUTED_VALUE"""),5.29)</f>
        <v>5.29</v>
      </c>
      <c r="I106" s="7">
        <f>IFERROR(__xludf.DUMMYFUNCTION("""COMPUTED_VALUE"""),11.78)</f>
        <v>11.78</v>
      </c>
      <c r="J106" s="2">
        <f>IFERROR(__xludf.DUMMYFUNCTION("""COMPUTED_VALUE"""),8.55)</f>
        <v>8.55</v>
      </c>
      <c r="K106" s="8">
        <f>IFERROR(__xludf.DUMMYFUNCTION("""COMPUTED_VALUE"""),-0.0727)</f>
        <v>-0.0727</v>
      </c>
    </row>
    <row r="107" ht="15.75" customHeight="1">
      <c r="C107" s="2" t="str">
        <f>IFERROR(__xludf.DUMMYFUNCTION("""COMPUTED_VALUE"""),"Letonia [+]")</f>
        <v>Letonia [+]</v>
      </c>
      <c r="D107" s="2">
        <f>IFERROR(__xludf.DUMMYFUNCTION("""COMPUTED_VALUE"""),2018.0)</f>
        <v>2018</v>
      </c>
      <c r="E107" s="2">
        <f>IFERROR(__xludf.DUMMYFUNCTION("""COMPUTED_VALUE"""),38.0)</f>
        <v>38</v>
      </c>
      <c r="F107" s="2">
        <f>IFERROR(__xludf.DUMMYFUNCTION("""COMPUTED_VALUE"""),262.0)</f>
        <v>262</v>
      </c>
      <c r="G107" s="2">
        <f>IFERROR(__xludf.DUMMYFUNCTION("""COMPUTED_VALUE"""),300.0)</f>
        <v>300</v>
      </c>
      <c r="H107" s="2">
        <f>IFERROR(__xludf.DUMMYFUNCTION("""COMPUTED_VALUE"""),3.75)</f>
        <v>3.75</v>
      </c>
      <c r="I107" s="7">
        <f>IFERROR(__xludf.DUMMYFUNCTION("""COMPUTED_VALUE"""),29.98)</f>
        <v>29.98</v>
      </c>
      <c r="J107" s="2">
        <f>IFERROR(__xludf.DUMMYFUNCTION("""COMPUTED_VALUE"""),15.83)</f>
        <v>15.83</v>
      </c>
      <c r="K107" s="8">
        <f>IFERROR(__xludf.DUMMYFUNCTION("""COMPUTED_VALUE"""),-0.1364)</f>
        <v>-0.1364</v>
      </c>
    </row>
    <row r="108" ht="15.75" customHeight="1">
      <c r="C108" s="2" t="str">
        <f>IFERROR(__xludf.DUMMYFUNCTION("""COMPUTED_VALUE"""),"Libia [+]")</f>
        <v>Libia [+]</v>
      </c>
      <c r="D108" s="2">
        <f>IFERROR(__xludf.DUMMYFUNCTION("""COMPUTED_VALUE"""),2015.0)</f>
        <v>2015</v>
      </c>
      <c r="E108" s="2">
        <f>IFERROR(__xludf.DUMMYFUNCTION("""COMPUTED_VALUE"""),82.0)</f>
        <v>82</v>
      </c>
      <c r="F108" s="2">
        <f>IFERROR(__xludf.DUMMYFUNCTION("""COMPUTED_VALUE"""),266.0)</f>
        <v>266</v>
      </c>
      <c r="G108" s="2">
        <f>IFERROR(__xludf.DUMMYFUNCTION("""COMPUTED_VALUE"""),347.0)</f>
        <v>347</v>
      </c>
      <c r="H108" s="2">
        <f>IFERROR(__xludf.DUMMYFUNCTION("""COMPUTED_VALUE"""),2.58)</f>
        <v>2.58</v>
      </c>
      <c r="I108" s="7">
        <f>IFERROR(__xludf.DUMMYFUNCTION("""COMPUTED_VALUE"""),8.18)</f>
        <v>8.18</v>
      </c>
      <c r="J108" s="2">
        <f>IFERROR(__xludf.DUMMYFUNCTION("""COMPUTED_VALUE"""),5.5)</f>
        <v>5.5</v>
      </c>
      <c r="K108" s="8">
        <f>IFERROR(__xludf.DUMMYFUNCTION("""COMPUTED_VALUE"""),-0.0939)</f>
        <v>-0.0939</v>
      </c>
    </row>
    <row r="109" ht="15.75" customHeight="1">
      <c r="C109" s="2" t="str">
        <f>IFERROR(__xludf.DUMMYFUNCTION("""COMPUTED_VALUE"""),"Marruecos [+]")</f>
        <v>Marruecos [+]</v>
      </c>
      <c r="D109" s="2">
        <f>IFERROR(__xludf.DUMMYFUNCTION("""COMPUTED_VALUE"""),2015.0)</f>
        <v>2015</v>
      </c>
      <c r="E109" s="2">
        <f>IFERROR(__xludf.DUMMYFUNCTION("""COMPUTED_VALUE"""),577.0)</f>
        <v>577</v>
      </c>
      <c r="F109" s="6">
        <f>IFERROR(__xludf.DUMMYFUNCTION("""COMPUTED_VALUE"""),1067.0)</f>
        <v>1067</v>
      </c>
      <c r="G109" s="6">
        <f>IFERROR(__xludf.DUMMYFUNCTION("""COMPUTED_VALUE"""),1644.0)</f>
        <v>1644</v>
      </c>
      <c r="H109" s="2">
        <f>IFERROR(__xludf.DUMMYFUNCTION("""COMPUTED_VALUE"""),3.3)</f>
        <v>3.3</v>
      </c>
      <c r="I109" s="7">
        <f>IFERROR(__xludf.DUMMYFUNCTION("""COMPUTED_VALUE"""),6.22)</f>
        <v>6.22</v>
      </c>
      <c r="J109" s="2">
        <f>IFERROR(__xludf.DUMMYFUNCTION("""COMPUTED_VALUE"""),4.82)</f>
        <v>4.82</v>
      </c>
      <c r="K109" s="8">
        <f>IFERROR(__xludf.DUMMYFUNCTION("""COMPUTED_VALUE"""),0.0021)</f>
        <v>0.0021</v>
      </c>
    </row>
    <row r="110" ht="15.75" customHeight="1">
      <c r="C110" s="2" t="str">
        <f>IFERROR(__xludf.DUMMYFUNCTION("""COMPUTED_VALUE"""),"Moldavia [+]")</f>
        <v>Moldavia [+]</v>
      </c>
      <c r="D110" s="2">
        <f>IFERROR(__xludf.DUMMYFUNCTION("""COMPUTED_VALUE"""),2015.0)</f>
        <v>2015</v>
      </c>
      <c r="E110" s="2">
        <f>IFERROR(__xludf.DUMMYFUNCTION("""COMPUTED_VALUE"""),97.0)</f>
        <v>97</v>
      </c>
      <c r="F110" s="2">
        <f>IFERROR(__xludf.DUMMYFUNCTION("""COMPUTED_VALUE"""),504.0)</f>
        <v>504</v>
      </c>
      <c r="G110" s="2">
        <f>IFERROR(__xludf.DUMMYFUNCTION("""COMPUTED_VALUE"""),601.0)</f>
        <v>601</v>
      </c>
      <c r="H110" s="2">
        <f>IFERROR(__xludf.DUMMYFUNCTION("""COMPUTED_VALUE"""),6.6)</f>
        <v>6.6</v>
      </c>
      <c r="I110" s="7">
        <f>IFERROR(__xludf.DUMMYFUNCTION("""COMPUTED_VALUE"""),36.98)</f>
        <v>36.98</v>
      </c>
      <c r="J110" s="2">
        <f>IFERROR(__xludf.DUMMYFUNCTION("""COMPUTED_VALUE"""),16.91)</f>
        <v>16.91</v>
      </c>
      <c r="K110" s="8">
        <f>IFERROR(__xludf.DUMMYFUNCTION("""COMPUTED_VALUE"""),-0.0899)</f>
        <v>-0.0899</v>
      </c>
    </row>
    <row r="111" ht="15.75" customHeight="1">
      <c r="C111" s="2" t="str">
        <f>IFERROR(__xludf.DUMMYFUNCTION("""COMPUTED_VALUE"""),"Montenegro [+]")</f>
        <v>Montenegro [+]</v>
      </c>
      <c r="D111" s="2">
        <f>IFERROR(__xludf.DUMMYFUNCTION("""COMPUTED_VALUE"""),2015.0)</f>
        <v>2015</v>
      </c>
      <c r="E111" s="2">
        <f>IFERROR(__xludf.DUMMYFUNCTION("""COMPUTED_VALUE"""),23.0)</f>
        <v>23</v>
      </c>
      <c r="F111" s="2">
        <f>IFERROR(__xludf.DUMMYFUNCTION("""COMPUTED_VALUE"""),46.0)</f>
        <v>46</v>
      </c>
      <c r="G111" s="2">
        <f>IFERROR(__xludf.DUMMYFUNCTION("""COMPUTED_VALUE"""),69.0)</f>
        <v>69</v>
      </c>
      <c r="H111" s="2">
        <f>IFERROR(__xludf.DUMMYFUNCTION("""COMPUTED_VALUE"""),7.19)</f>
        <v>7.19</v>
      </c>
      <c r="I111" s="7">
        <f>IFERROR(__xludf.DUMMYFUNCTION("""COMPUTED_VALUE"""),15.03)</f>
        <v>15.03</v>
      </c>
      <c r="J111" s="2">
        <f>IFERROR(__xludf.DUMMYFUNCTION("""COMPUTED_VALUE"""),11.07)</f>
        <v>11.07</v>
      </c>
      <c r="K111" s="8">
        <f>IFERROR(__xludf.DUMMYFUNCTION("""COMPUTED_VALUE"""),0.0018)</f>
        <v>0.0018</v>
      </c>
    </row>
    <row r="112" ht="15.75" customHeight="1">
      <c r="C112" s="2" t="str">
        <f>IFERROR(__xludf.DUMMYFUNCTION("""COMPUTED_VALUE"""),"Madagascar [+]")</f>
        <v>Madagascar [+]</v>
      </c>
      <c r="D112" s="2">
        <f>IFERROR(__xludf.DUMMYFUNCTION("""COMPUTED_VALUE"""),2015.0)</f>
        <v>2015</v>
      </c>
      <c r="E112" s="2">
        <f>IFERROR(__xludf.DUMMYFUNCTION("""COMPUTED_VALUE"""),296.0)</f>
        <v>296</v>
      </c>
      <c r="F112" s="2">
        <f>IFERROR(__xludf.DUMMYFUNCTION("""COMPUTED_VALUE"""),830.0)</f>
        <v>830</v>
      </c>
      <c r="G112" s="6">
        <f>IFERROR(__xludf.DUMMYFUNCTION("""COMPUTED_VALUE"""),1126.0)</f>
        <v>1126</v>
      </c>
      <c r="H112" s="2">
        <f>IFERROR(__xludf.DUMMYFUNCTION("""COMPUTED_VALUE"""),2.43)</f>
        <v>2.43</v>
      </c>
      <c r="I112" s="7">
        <f>IFERROR(__xludf.DUMMYFUNCTION("""COMPUTED_VALUE"""),6.87)</f>
        <v>6.87</v>
      </c>
      <c r="J112" s="2">
        <f>IFERROR(__xludf.DUMMYFUNCTION("""COMPUTED_VALUE"""),4.79)</f>
        <v>4.79</v>
      </c>
      <c r="K112" s="8">
        <f>IFERROR(__xludf.DUMMYFUNCTION("""COMPUTED_VALUE"""),-0.0439)</f>
        <v>-0.0439</v>
      </c>
    </row>
    <row r="113" ht="15.75" customHeight="1">
      <c r="C113" s="2" t="str">
        <f>IFERROR(__xludf.DUMMYFUNCTION("""COMPUTED_VALUE"""),"Macedonia del Norte [+]")</f>
        <v>Macedonia del Norte [+]</v>
      </c>
      <c r="D113" s="2">
        <f>IFERROR(__xludf.DUMMYFUNCTION("""COMPUTED_VALUE"""),2010.0)</f>
        <v>2010</v>
      </c>
      <c r="E113" s="2">
        <f>IFERROR(__xludf.DUMMYFUNCTION("""COMPUTED_VALUE"""),35.0)</f>
        <v>35</v>
      </c>
      <c r="F113" s="2">
        <f>IFERROR(__xludf.DUMMYFUNCTION("""COMPUTED_VALUE"""),87.0)</f>
        <v>87</v>
      </c>
      <c r="G113" s="2">
        <f>IFERROR(__xludf.DUMMYFUNCTION("""COMPUTED_VALUE"""),122.0)</f>
        <v>122</v>
      </c>
      <c r="H113" s="2">
        <f>IFERROR(__xludf.DUMMYFUNCTION("""COMPUTED_VALUE"""),3.4)</f>
        <v>3.4</v>
      </c>
      <c r="I113" s="7">
        <f>IFERROR(__xludf.DUMMYFUNCTION("""COMPUTED_VALUE"""),8.4)</f>
        <v>8.4</v>
      </c>
      <c r="J113" s="2">
        <f>IFERROR(__xludf.DUMMYFUNCTION("""COMPUTED_VALUE"""),5.9)</f>
        <v>5.9</v>
      </c>
      <c r="K113" s="8">
        <f>IFERROR(__xludf.DUMMYFUNCTION("""COMPUTED_VALUE"""),-0.2716)</f>
        <v>-0.2716</v>
      </c>
    </row>
    <row r="114" ht="15.75" customHeight="1">
      <c r="C114" s="2" t="str">
        <f>IFERROR(__xludf.DUMMYFUNCTION("""COMPUTED_VALUE"""),"Malí [+]")</f>
        <v>Malí [+]</v>
      </c>
      <c r="D114" s="2">
        <f>IFERROR(__xludf.DUMMYFUNCTION("""COMPUTED_VALUE"""),2015.0)</f>
        <v>2015</v>
      </c>
      <c r="E114" s="2">
        <f>IFERROR(__xludf.DUMMYFUNCTION("""COMPUTED_VALUE"""),332.0)</f>
        <v>332</v>
      </c>
      <c r="F114" s="2">
        <f>IFERROR(__xludf.DUMMYFUNCTION("""COMPUTED_VALUE"""),679.0)</f>
        <v>679</v>
      </c>
      <c r="G114" s="6">
        <f>IFERROR(__xludf.DUMMYFUNCTION("""COMPUTED_VALUE"""),1011.0)</f>
        <v>1011</v>
      </c>
      <c r="H114" s="2">
        <f>IFERROR(__xludf.DUMMYFUNCTION("""COMPUTED_VALUE"""),3.8)</f>
        <v>3.8</v>
      </c>
      <c r="I114" s="7">
        <f>IFERROR(__xludf.DUMMYFUNCTION("""COMPUTED_VALUE"""),7.79)</f>
        <v>7.79</v>
      </c>
      <c r="J114" s="2">
        <f>IFERROR(__xludf.DUMMYFUNCTION("""COMPUTED_VALUE"""),5.8)</f>
        <v>5.8</v>
      </c>
      <c r="K114" s="8">
        <f>IFERROR(__xludf.DUMMYFUNCTION("""COMPUTED_VALUE"""),-0.0203)</f>
        <v>-0.0203</v>
      </c>
    </row>
    <row r="115" ht="15.75" customHeight="1">
      <c r="C115" s="2" t="str">
        <f>IFERROR(__xludf.DUMMYFUNCTION("""COMPUTED_VALUE"""),"Myanmar [+]")</f>
        <v>Myanmar [+]</v>
      </c>
      <c r="D115" s="2">
        <f>IFERROR(__xludf.DUMMYFUNCTION("""COMPUTED_VALUE"""),2015.0)</f>
        <v>2015</v>
      </c>
      <c r="E115" s="2">
        <f>IFERROR(__xludf.DUMMYFUNCTION("""COMPUTED_VALUE"""),893.0)</f>
        <v>893</v>
      </c>
      <c r="F115" s="6">
        <f>IFERROR(__xludf.DUMMYFUNCTION("""COMPUTED_VALUE"""),1429.0)</f>
        <v>1429</v>
      </c>
      <c r="G115" s="6">
        <f>IFERROR(__xludf.DUMMYFUNCTION("""COMPUTED_VALUE"""),2323.0)</f>
        <v>2323</v>
      </c>
      <c r="H115" s="2">
        <f>IFERROR(__xludf.DUMMYFUNCTION("""COMPUTED_VALUE"""),3.27)</f>
        <v>3.27</v>
      </c>
      <c r="I115" s="7">
        <f>IFERROR(__xludf.DUMMYFUNCTION("""COMPUTED_VALUE"""),5.63)</f>
        <v>5.63</v>
      </c>
      <c r="J115" s="2">
        <f>IFERROR(__xludf.DUMMYFUNCTION("""COMPUTED_VALUE"""),4.54)</f>
        <v>4.54</v>
      </c>
      <c r="K115" s="8">
        <f>IFERROR(__xludf.DUMMYFUNCTION("""COMPUTED_VALUE"""),0.0365)</f>
        <v>0.0365</v>
      </c>
    </row>
    <row r="116" ht="15.75" customHeight="1">
      <c r="C116" s="2" t="str">
        <f>IFERROR(__xludf.DUMMYFUNCTION("""COMPUTED_VALUE"""),"Mongolia [+]")</f>
        <v>Mongolia [+]</v>
      </c>
      <c r="D116" s="2">
        <f>IFERROR(__xludf.DUMMYFUNCTION("""COMPUTED_VALUE"""),2015.0)</f>
        <v>2015</v>
      </c>
      <c r="E116" s="2">
        <f>IFERROR(__xludf.DUMMYFUNCTION("""COMPUTED_VALUE"""),136.0)</f>
        <v>136</v>
      </c>
      <c r="F116" s="2">
        <f>IFERROR(__xludf.DUMMYFUNCTION("""COMPUTED_VALUE"""),700.0)</f>
        <v>700</v>
      </c>
      <c r="G116" s="2">
        <f>IFERROR(__xludf.DUMMYFUNCTION("""COMPUTED_VALUE"""),836.0)</f>
        <v>836</v>
      </c>
      <c r="H116" s="2">
        <f>IFERROR(__xludf.DUMMYFUNCTION("""COMPUTED_VALUE"""),9.0)</f>
        <v>9</v>
      </c>
      <c r="I116" s="7">
        <f>IFERROR(__xludf.DUMMYFUNCTION("""COMPUTED_VALUE"""),47.23)</f>
        <v>47.23</v>
      </c>
      <c r="J116" s="2">
        <f>IFERROR(__xludf.DUMMYFUNCTION("""COMPUTED_VALUE"""),27.35)</f>
        <v>27.35</v>
      </c>
      <c r="K116" s="8">
        <f>IFERROR(__xludf.DUMMYFUNCTION("""COMPUTED_VALUE"""),-0.0267)</f>
        <v>-0.0267</v>
      </c>
    </row>
    <row r="117" ht="15.75" customHeight="1">
      <c r="C117" s="2" t="str">
        <f>IFERROR(__xludf.DUMMYFUNCTION("""COMPUTED_VALUE"""),"Mauritania [+]")</f>
        <v>Mauritania [+]</v>
      </c>
      <c r="D117" s="2">
        <f>IFERROR(__xludf.DUMMYFUNCTION("""COMPUTED_VALUE"""),2015.0)</f>
        <v>2015</v>
      </c>
      <c r="E117" s="2">
        <f>IFERROR(__xludf.DUMMYFUNCTION("""COMPUTED_VALUE"""),71.0)</f>
        <v>71</v>
      </c>
      <c r="F117" s="2">
        <f>IFERROR(__xludf.DUMMYFUNCTION("""COMPUTED_VALUE"""),169.0)</f>
        <v>169</v>
      </c>
      <c r="G117" s="2">
        <f>IFERROR(__xludf.DUMMYFUNCTION("""COMPUTED_VALUE"""),240.0)</f>
        <v>240</v>
      </c>
      <c r="H117" s="2">
        <f>IFERROR(__xludf.DUMMYFUNCTION("""COMPUTED_VALUE"""),3.51)</f>
        <v>3.51</v>
      </c>
      <c r="I117" s="7">
        <f>IFERROR(__xludf.DUMMYFUNCTION("""COMPUTED_VALUE"""),8.33)</f>
        <v>8.33</v>
      </c>
      <c r="J117" s="2">
        <f>IFERROR(__xludf.DUMMYFUNCTION("""COMPUTED_VALUE"""),5.92)</f>
        <v>5.92</v>
      </c>
      <c r="K117" s="8">
        <f>IFERROR(__xludf.DUMMYFUNCTION("""COMPUTED_VALUE"""),-0.0736)</f>
        <v>-0.0736</v>
      </c>
    </row>
    <row r="118" ht="15.75" customHeight="1">
      <c r="C118" s="2" t="str">
        <f>IFERROR(__xludf.DUMMYFUNCTION("""COMPUTED_VALUE"""),"Malta [+]")</f>
        <v>Malta [+]</v>
      </c>
      <c r="D118" s="2">
        <f>IFERROR(__xludf.DUMMYFUNCTION("""COMPUTED_VALUE"""),2018.0)</f>
        <v>2018</v>
      </c>
      <c r="E118" s="5">
        <f>IFERROR(__xludf.DUMMYFUNCTION("""COMPUTED_VALUE"""),4.0)</f>
        <v>4</v>
      </c>
      <c r="F118" s="5">
        <f>IFERROR(__xludf.DUMMYFUNCTION("""COMPUTED_VALUE"""),21.0)</f>
        <v>21</v>
      </c>
      <c r="G118" s="2">
        <f>IFERROR(__xludf.DUMMYFUNCTION("""COMPUTED_VALUE"""),25.0)</f>
        <v>25</v>
      </c>
      <c r="H118" s="2">
        <f>IFERROR(__xludf.DUMMYFUNCTION("""COMPUTED_VALUE"""),0.84)</f>
        <v>0.84</v>
      </c>
      <c r="I118" s="7">
        <f>IFERROR(__xludf.DUMMYFUNCTION("""COMPUTED_VALUE"""),8.12)</f>
        <v>8.12</v>
      </c>
      <c r="J118" s="2">
        <f>IFERROR(__xludf.DUMMYFUNCTION("""COMPUTED_VALUE"""),4.54)</f>
        <v>4.54</v>
      </c>
      <c r="K118" s="8">
        <f>IFERROR(__xludf.DUMMYFUNCTION("""COMPUTED_VALUE"""),-0.1498)</f>
        <v>-0.1498</v>
      </c>
    </row>
    <row r="119" ht="15.75" customHeight="1">
      <c r="C119" s="2" t="str">
        <f>IFERROR(__xludf.DUMMYFUNCTION("""COMPUTED_VALUE"""),"Mauricio [+]")</f>
        <v>Mauricio [+]</v>
      </c>
      <c r="D119" s="2">
        <f>IFERROR(__xludf.DUMMYFUNCTION("""COMPUTED_VALUE"""),2015.0)</f>
        <v>2015</v>
      </c>
      <c r="E119" s="5">
        <f>IFERROR(__xludf.DUMMYFUNCTION("""COMPUTED_VALUE"""),24.0)</f>
        <v>24</v>
      </c>
      <c r="F119" s="2">
        <f>IFERROR(__xludf.DUMMYFUNCTION("""COMPUTED_VALUE"""),95.0)</f>
        <v>95</v>
      </c>
      <c r="G119" s="2">
        <f>IFERROR(__xludf.DUMMYFUNCTION("""COMPUTED_VALUE"""),119.0)</f>
        <v>119</v>
      </c>
      <c r="H119" s="2">
        <f>IFERROR(__xludf.DUMMYFUNCTION("""COMPUTED_VALUE"""),3.77)</f>
        <v>3.77</v>
      </c>
      <c r="I119" s="7">
        <f>IFERROR(__xludf.DUMMYFUNCTION("""COMPUTED_VALUE"""),15.16)</f>
        <v>15.16</v>
      </c>
      <c r="J119" s="2">
        <f>IFERROR(__xludf.DUMMYFUNCTION("""COMPUTED_VALUE"""),9.41)</f>
        <v>9.41</v>
      </c>
      <c r="K119" s="8">
        <f>IFERROR(__xludf.DUMMYFUNCTION("""COMPUTED_VALUE"""),-0.0683)</f>
        <v>-0.0683</v>
      </c>
    </row>
    <row r="120" ht="15.75" customHeight="1">
      <c r="C120" s="2" t="str">
        <f>IFERROR(__xludf.DUMMYFUNCTION("""COMPUTED_VALUE"""),"Maldivas [+]")</f>
        <v>Maldivas [+]</v>
      </c>
      <c r="D120" s="2">
        <f>IFERROR(__xludf.DUMMYFUNCTION("""COMPUTED_VALUE"""),2015.0)</f>
        <v>2015</v>
      </c>
      <c r="E120" s="2">
        <f>IFERROR(__xludf.DUMMYFUNCTION("""COMPUTED_VALUE"""),12.0)</f>
        <v>12</v>
      </c>
      <c r="F120" s="2">
        <f>IFERROR(__xludf.DUMMYFUNCTION("""COMPUTED_VALUE"""),19.0)</f>
        <v>19</v>
      </c>
      <c r="G120" s="2">
        <f>IFERROR(__xludf.DUMMYFUNCTION("""COMPUTED_VALUE"""),31.0)</f>
        <v>31</v>
      </c>
      <c r="H120" s="2">
        <f>IFERROR(__xludf.DUMMYFUNCTION("""COMPUTED_VALUE"""),6.47)</f>
        <v>6.47</v>
      </c>
      <c r="I120" s="7">
        <f>IFERROR(__xludf.DUMMYFUNCTION("""COMPUTED_VALUE"""),7.18)</f>
        <v>7.18</v>
      </c>
      <c r="J120" s="2">
        <f>IFERROR(__xludf.DUMMYFUNCTION("""COMPUTED_VALUE"""),6.89)</f>
        <v>6.89</v>
      </c>
      <c r="K120" s="8">
        <f>IFERROR(__xludf.DUMMYFUNCTION("""COMPUTED_VALUE"""),-0.2551)</f>
        <v>-0.2551</v>
      </c>
    </row>
    <row r="121" ht="15.75" customHeight="1">
      <c r="C121" s="2" t="str">
        <f>IFERROR(__xludf.DUMMYFUNCTION("""COMPUTED_VALUE"""),"Malaui [+]")</f>
        <v>Malaui [+]</v>
      </c>
      <c r="D121" s="2">
        <f>IFERROR(__xludf.DUMMYFUNCTION("""COMPUTED_VALUE"""),2015.0)</f>
        <v>2015</v>
      </c>
      <c r="E121" s="2">
        <f>IFERROR(__xludf.DUMMYFUNCTION("""COMPUTED_VALUE"""),218.0)</f>
        <v>218</v>
      </c>
      <c r="F121" s="2">
        <f>IFERROR(__xludf.DUMMYFUNCTION("""COMPUTED_VALUE"""),728.0)</f>
        <v>728</v>
      </c>
      <c r="G121" s="2">
        <f>IFERROR(__xludf.DUMMYFUNCTION("""COMPUTED_VALUE"""),947.0)</f>
        <v>947</v>
      </c>
      <c r="H121" s="2">
        <f>IFERROR(__xludf.DUMMYFUNCTION("""COMPUTED_VALUE"""),2.57)</f>
        <v>2.57</v>
      </c>
      <c r="I121" s="7">
        <f>IFERROR(__xludf.DUMMYFUNCTION("""COMPUTED_VALUE"""),8.83)</f>
        <v>8.83</v>
      </c>
      <c r="J121" s="2">
        <f>IFERROR(__xludf.DUMMYFUNCTION("""COMPUTED_VALUE"""),5.23)</f>
        <v>5.23</v>
      </c>
      <c r="K121" s="8">
        <f>IFERROR(__xludf.DUMMYFUNCTION("""COMPUTED_VALUE"""),0.0155)</f>
        <v>0.0155</v>
      </c>
    </row>
    <row r="122" ht="15.75" customHeight="1">
      <c r="C122" s="2" t="str">
        <f>IFERROR(__xludf.DUMMYFUNCTION("""COMPUTED_VALUE"""),"México [+]")</f>
        <v>México [+]</v>
      </c>
      <c r="D122" s="2">
        <f>IFERROR(__xludf.DUMMYFUNCTION("""COMPUTED_VALUE"""),2018.0)</f>
        <v>2018</v>
      </c>
      <c r="E122" s="6">
        <f>IFERROR(__xludf.DUMMYFUNCTION("""COMPUTED_VALUE"""),1253.0)</f>
        <v>1253</v>
      </c>
      <c r="F122" s="6">
        <f>IFERROR(__xludf.DUMMYFUNCTION("""COMPUTED_VALUE"""),5454.0)</f>
        <v>5454</v>
      </c>
      <c r="G122" s="6">
        <f>IFERROR(__xludf.DUMMYFUNCTION("""COMPUTED_VALUE"""),6808.0)</f>
        <v>6808</v>
      </c>
      <c r="H122" s="2">
        <f>IFERROR(__xludf.DUMMYFUNCTION("""COMPUTED_VALUE"""),2.0)</f>
        <v>2</v>
      </c>
      <c r="I122" s="7">
        <f>IFERROR(__xludf.DUMMYFUNCTION("""COMPUTED_VALUE"""),8.9)</f>
        <v>8.9</v>
      </c>
      <c r="J122" s="2">
        <f>IFERROR(__xludf.DUMMYFUNCTION("""COMPUTED_VALUE"""),5.4)</f>
        <v>5.4</v>
      </c>
      <c r="K122" s="8">
        <f>IFERROR(__xludf.DUMMYFUNCTION("""COMPUTED_VALUE"""),0.0385)</f>
        <v>0.0385</v>
      </c>
    </row>
    <row r="123" ht="15.75" customHeight="1">
      <c r="C123" s="4" t="str">
        <f>IFERROR(__xludf.DUMMYFUNCTION("""COMPUTED_VALUE"""),"Malasia [+]")</f>
        <v>Malasia [+]</v>
      </c>
      <c r="D123" s="4">
        <f>IFERROR(__xludf.DUMMYFUNCTION("""COMPUTED_VALUE"""),2015.0)</f>
        <v>2015</v>
      </c>
      <c r="E123" s="4">
        <f>IFERROR(__xludf.DUMMYFUNCTION("""COMPUTED_VALUE"""),435.0)</f>
        <v>435</v>
      </c>
      <c r="F123" s="9">
        <f>IFERROR(__xludf.DUMMYFUNCTION("""COMPUTED_VALUE"""),1317.0)</f>
        <v>1317</v>
      </c>
      <c r="G123" s="9">
        <f>IFERROR(__xludf.DUMMYFUNCTION("""COMPUTED_VALUE"""),1752.0)</f>
        <v>1752</v>
      </c>
      <c r="H123" s="4">
        <f>IFERROR(__xludf.DUMMYFUNCTION("""COMPUTED_VALUE"""),2.96)</f>
        <v>2.96</v>
      </c>
      <c r="I123" s="4">
        <f>IFERROR(__xludf.DUMMYFUNCTION("""COMPUTED_VALUE"""),8.45)</f>
        <v>8.45</v>
      </c>
      <c r="J123" s="4">
        <f>IFERROR(__xludf.DUMMYFUNCTION("""COMPUTED_VALUE"""),5.62)</f>
        <v>5.62</v>
      </c>
      <c r="K123" s="8">
        <f>IFERROR(__xludf.DUMMYFUNCTION("""COMPUTED_VALUE"""),0.0237)</f>
        <v>0.0237</v>
      </c>
    </row>
    <row r="124" ht="15.75" customHeight="1">
      <c r="C124" s="4" t="str">
        <f>IFERROR(__xludf.DUMMYFUNCTION("""COMPUTED_VALUE"""),"Mozambique [+]")</f>
        <v>Mozambique [+]</v>
      </c>
      <c r="D124" s="4">
        <f>IFERROR(__xludf.DUMMYFUNCTION("""COMPUTED_VALUE"""),2015.0)</f>
        <v>2015</v>
      </c>
      <c r="E124" s="4">
        <f>IFERROR(__xludf.DUMMYFUNCTION("""COMPUTED_VALUE"""),654.0)</f>
        <v>654</v>
      </c>
      <c r="F124" s="9">
        <f>IFERROR(__xludf.DUMMYFUNCTION("""COMPUTED_VALUE"""),1687.0)</f>
        <v>1687</v>
      </c>
      <c r="G124" s="9">
        <f>IFERROR(__xludf.DUMMYFUNCTION("""COMPUTED_VALUE"""),2341.0)</f>
        <v>2341</v>
      </c>
      <c r="H124" s="4">
        <f>IFERROR(__xludf.DUMMYFUNCTION("""COMPUTED_VALUE"""),4.69)</f>
        <v>4.69</v>
      </c>
      <c r="I124" s="4">
        <f>IFERROR(__xludf.DUMMYFUNCTION("""COMPUTED_VALUE"""),12.88)</f>
        <v>12.88</v>
      </c>
      <c r="J124" s="4">
        <f>IFERROR(__xludf.DUMMYFUNCTION("""COMPUTED_VALUE"""),8.66)</f>
        <v>8.66</v>
      </c>
      <c r="K124" s="8">
        <f>IFERROR(__xludf.DUMMYFUNCTION("""COMPUTED_VALUE"""),-0.0069)</f>
        <v>-0.0069</v>
      </c>
    </row>
    <row r="125" ht="15.75" customHeight="1">
      <c r="C125" s="4" t="str">
        <f>IFERROR(__xludf.DUMMYFUNCTION("""COMPUTED_VALUE"""),"Namibia [+]")</f>
        <v>Namibia [+]</v>
      </c>
      <c r="D125" s="4">
        <f>IFERROR(__xludf.DUMMYFUNCTION("""COMPUTED_VALUE"""),2015.0)</f>
        <v>2015</v>
      </c>
      <c r="E125" s="4">
        <f>IFERROR(__xludf.DUMMYFUNCTION("""COMPUTED_VALUE"""),48.0)</f>
        <v>48</v>
      </c>
      <c r="F125" s="4">
        <f>IFERROR(__xludf.DUMMYFUNCTION("""COMPUTED_VALUE"""),141.0)</f>
        <v>141</v>
      </c>
      <c r="G125" s="4">
        <f>IFERROR(__xludf.DUMMYFUNCTION("""COMPUTED_VALUE"""),188.0)</f>
        <v>188</v>
      </c>
      <c r="H125" s="4">
        <f>IFERROR(__xludf.DUMMYFUNCTION("""COMPUTED_VALUE"""),3.98)</f>
        <v>3.98</v>
      </c>
      <c r="I125" s="4">
        <f>IFERROR(__xludf.DUMMYFUNCTION("""COMPUTED_VALUE"""),12.54)</f>
        <v>12.54</v>
      </c>
      <c r="J125" s="4">
        <f>IFERROR(__xludf.DUMMYFUNCTION("""COMPUTED_VALUE"""),8.24)</f>
        <v>8.24</v>
      </c>
      <c r="K125" s="8">
        <f>IFERROR(__xludf.DUMMYFUNCTION("""COMPUTED_VALUE"""),-0.0167)</f>
        <v>-0.0167</v>
      </c>
    </row>
    <row r="126" ht="15.75" customHeight="1">
      <c r="C126" s="4" t="str">
        <f>IFERROR(__xludf.DUMMYFUNCTION("""COMPUTED_VALUE"""),"Níger [+]")</f>
        <v>Níger [+]</v>
      </c>
      <c r="D126" s="4">
        <f>IFERROR(__xludf.DUMMYFUNCTION("""COMPUTED_VALUE"""),2015.0)</f>
        <v>2015</v>
      </c>
      <c r="E126" s="4">
        <f>IFERROR(__xludf.DUMMYFUNCTION("""COMPUTED_VALUE"""),270.0)</f>
        <v>270</v>
      </c>
      <c r="F126" s="4">
        <f>IFERROR(__xludf.DUMMYFUNCTION("""COMPUTED_VALUE"""),552.0)</f>
        <v>552</v>
      </c>
      <c r="G126" s="4">
        <f>IFERROR(__xludf.DUMMYFUNCTION("""COMPUTED_VALUE"""),822.0)</f>
        <v>822</v>
      </c>
      <c r="H126" s="4">
        <f>IFERROR(__xludf.DUMMYFUNCTION("""COMPUTED_VALUE"""),2.71)</f>
        <v>2.71</v>
      </c>
      <c r="I126" s="4">
        <f>IFERROR(__xludf.DUMMYFUNCTION("""COMPUTED_VALUE"""),5.5)</f>
        <v>5.5</v>
      </c>
      <c r="J126" s="4">
        <f>IFERROR(__xludf.DUMMYFUNCTION("""COMPUTED_VALUE"""),4.11)</f>
        <v>4.11</v>
      </c>
      <c r="K126" s="8">
        <f>IFERROR(__xludf.DUMMYFUNCTION("""COMPUTED_VALUE"""),-0.0167)</f>
        <v>-0.0167</v>
      </c>
    </row>
    <row r="127" ht="15.75" customHeight="1">
      <c r="C127" s="4" t="str">
        <f>IFERROR(__xludf.DUMMYFUNCTION("""COMPUTED_VALUE"""),"Nigeria [+]")</f>
        <v>Nigeria [+]</v>
      </c>
      <c r="D127" s="4">
        <f>IFERROR(__xludf.DUMMYFUNCTION("""COMPUTED_VALUE"""),2015.0)</f>
        <v>2015</v>
      </c>
      <c r="E127" s="9">
        <f>IFERROR(__xludf.DUMMYFUNCTION("""COMPUTED_VALUE"""),5477.0)</f>
        <v>5477</v>
      </c>
      <c r="F127" s="9">
        <f>IFERROR(__xludf.DUMMYFUNCTION("""COMPUTED_VALUE"""),12618.0)</f>
        <v>12618</v>
      </c>
      <c r="G127" s="9">
        <f>IFERROR(__xludf.DUMMYFUNCTION("""COMPUTED_VALUE"""),18095.0)</f>
        <v>18095</v>
      </c>
      <c r="H127" s="4">
        <f>IFERROR(__xludf.DUMMYFUNCTION("""COMPUTED_VALUE"""),6.13)</f>
        <v>6.13</v>
      </c>
      <c r="I127" s="4">
        <f>IFERROR(__xludf.DUMMYFUNCTION("""COMPUTED_VALUE"""),13.76)</f>
        <v>13.76</v>
      </c>
      <c r="J127" s="4">
        <f>IFERROR(__xludf.DUMMYFUNCTION("""COMPUTED_VALUE"""),9.99)</f>
        <v>9.99</v>
      </c>
      <c r="K127" s="8">
        <f>IFERROR(__xludf.DUMMYFUNCTION("""COMPUTED_VALUE"""),-0.0089)</f>
        <v>-0.0089</v>
      </c>
    </row>
    <row r="128" ht="15.75" customHeight="1">
      <c r="C128" s="4" t="str">
        <f>IFERROR(__xludf.DUMMYFUNCTION("""COMPUTED_VALUE"""),"Nicaragua [+]")</f>
        <v>Nicaragua [+]</v>
      </c>
      <c r="D128" s="4">
        <f>IFERROR(__xludf.DUMMYFUNCTION("""COMPUTED_VALUE"""),2015.0)</f>
        <v>2015</v>
      </c>
      <c r="E128" s="4">
        <f>IFERROR(__xludf.DUMMYFUNCTION("""COMPUTED_VALUE"""),134.0)</f>
        <v>134</v>
      </c>
      <c r="F128" s="4">
        <f>IFERROR(__xludf.DUMMYFUNCTION("""COMPUTED_VALUE"""),443.0)</f>
        <v>443</v>
      </c>
      <c r="G128" s="4">
        <f>IFERROR(__xludf.DUMMYFUNCTION("""COMPUTED_VALUE"""),577.0)</f>
        <v>577</v>
      </c>
      <c r="H128" s="4">
        <f>IFERROR(__xludf.DUMMYFUNCTION("""COMPUTED_VALUE"""),4.25)</f>
        <v>4.25</v>
      </c>
      <c r="I128" s="4">
        <f>IFERROR(__xludf.DUMMYFUNCTION("""COMPUTED_VALUE"""),14.44)</f>
        <v>14.44</v>
      </c>
      <c r="J128" s="4">
        <f>IFERROR(__xludf.DUMMYFUNCTION("""COMPUTED_VALUE"""),9.18)</f>
        <v>9.18</v>
      </c>
      <c r="K128" s="8">
        <f>IFERROR(__xludf.DUMMYFUNCTION("""COMPUTED_VALUE"""),-0.0192)</f>
        <v>-0.0192</v>
      </c>
    </row>
    <row r="129" ht="15.75" customHeight="1">
      <c r="C129" s="4" t="str">
        <f>IFERROR(__xludf.DUMMYFUNCTION("""COMPUTED_VALUE"""),"Países Bajos [+]")</f>
        <v>Países Bajos [+]</v>
      </c>
      <c r="D129" s="4">
        <f>IFERROR(__xludf.DUMMYFUNCTION("""COMPUTED_VALUE"""),2018.0)</f>
        <v>2018</v>
      </c>
      <c r="E129" s="4">
        <f>IFERROR(__xludf.DUMMYFUNCTION("""COMPUTED_VALUE"""),664.0)</f>
        <v>664</v>
      </c>
      <c r="F129" s="9">
        <f>IFERROR(__xludf.DUMMYFUNCTION("""COMPUTED_VALUE"""),1251.0)</f>
        <v>1251</v>
      </c>
      <c r="G129" s="9">
        <f>IFERROR(__xludf.DUMMYFUNCTION("""COMPUTED_VALUE"""),1915.0)</f>
        <v>1915</v>
      </c>
      <c r="H129" s="4">
        <f>IFERROR(__xludf.DUMMYFUNCTION("""COMPUTED_VALUE"""),7.57)</f>
        <v>7.57</v>
      </c>
      <c r="I129" s="4">
        <f>IFERROR(__xludf.DUMMYFUNCTION("""COMPUTED_VALUE"""),13.88)</f>
        <v>13.88</v>
      </c>
      <c r="J129" s="4">
        <f>IFERROR(__xludf.DUMMYFUNCTION("""COMPUTED_VALUE"""),10.7)</f>
        <v>10.7</v>
      </c>
      <c r="K129" s="8">
        <f>IFERROR(__xludf.DUMMYFUNCTION("""COMPUTED_VALUE"""),-0.0506)</f>
        <v>-0.0506</v>
      </c>
    </row>
    <row r="130" ht="15.75" customHeight="1">
      <c r="C130" s="4" t="str">
        <f>IFERROR(__xludf.DUMMYFUNCTION("""COMPUTED_VALUE"""),"Noruega [+]")</f>
        <v>Noruega [+]</v>
      </c>
      <c r="D130" s="4">
        <f>IFERROR(__xludf.DUMMYFUNCTION("""COMPUTED_VALUE"""),2018.0)</f>
        <v>2018</v>
      </c>
      <c r="E130" s="4">
        <f>IFERROR(__xludf.DUMMYFUNCTION("""COMPUTED_VALUE"""),199.0)</f>
        <v>199</v>
      </c>
      <c r="F130" s="4">
        <f>IFERROR(__xludf.DUMMYFUNCTION("""COMPUTED_VALUE"""),482.0)</f>
        <v>482</v>
      </c>
      <c r="G130" s="4">
        <f>IFERROR(__xludf.DUMMYFUNCTION("""COMPUTED_VALUE"""),681.0)</f>
        <v>681</v>
      </c>
      <c r="H130" s="4">
        <f>IFERROR(__xludf.DUMMYFUNCTION("""COMPUTED_VALUE"""),7.59)</f>
        <v>7.59</v>
      </c>
      <c r="I130" s="4">
        <f>IFERROR(__xludf.DUMMYFUNCTION("""COMPUTED_VALUE"""),17.63)</f>
        <v>17.63</v>
      </c>
      <c r="J130" s="4">
        <f>IFERROR(__xludf.DUMMYFUNCTION("""COMPUTED_VALUE"""),12.71)</f>
        <v>12.71</v>
      </c>
      <c r="K130" s="8">
        <f>IFERROR(__xludf.DUMMYFUNCTION("""COMPUTED_VALUE"""),0.1139)</f>
        <v>0.1139</v>
      </c>
    </row>
    <row r="131" ht="15.75" customHeight="1">
      <c r="C131" s="4" t="str">
        <f>IFERROR(__xludf.DUMMYFUNCTION("""COMPUTED_VALUE"""),"Nepal [+]")</f>
        <v>Nepal [+]</v>
      </c>
      <c r="D131" s="4">
        <f>IFERROR(__xludf.DUMMYFUNCTION("""COMPUTED_VALUE"""),2015.0)</f>
        <v>2015</v>
      </c>
      <c r="E131" s="4">
        <f>IFERROR(__xludf.DUMMYFUNCTION("""COMPUTED_VALUE"""),812.0)</f>
        <v>812</v>
      </c>
      <c r="F131" s="4">
        <f>IFERROR(__xludf.DUMMYFUNCTION("""COMPUTED_VALUE"""),897.0)</f>
        <v>897</v>
      </c>
      <c r="G131" s="9">
        <f>IFERROR(__xludf.DUMMYFUNCTION("""COMPUTED_VALUE"""),1709.0)</f>
        <v>1709</v>
      </c>
      <c r="H131" s="4">
        <f>IFERROR(__xludf.DUMMYFUNCTION("""COMPUTED_VALUE"""),5.55)</f>
        <v>5.55</v>
      </c>
      <c r="I131" s="4">
        <f>IFERROR(__xludf.DUMMYFUNCTION("""COMPUTED_VALUE"""),7.24)</f>
        <v>7.24</v>
      </c>
      <c r="J131" s="4">
        <f>IFERROR(__xludf.DUMMYFUNCTION("""COMPUTED_VALUE"""),6.33)</f>
        <v>6.33</v>
      </c>
      <c r="K131" s="8">
        <f>IFERROR(__xludf.DUMMYFUNCTION("""COMPUTED_VALUE"""),-0.014)</f>
        <v>-0.014</v>
      </c>
    </row>
    <row r="132" ht="15.75" customHeight="1">
      <c r="C132" s="4" t="str">
        <f>IFERROR(__xludf.DUMMYFUNCTION("""COMPUTED_VALUE"""),"Nueva Zelanda [+]")</f>
        <v>Nueva Zelanda [+]</v>
      </c>
      <c r="D132" s="4">
        <f>IFERROR(__xludf.DUMMYFUNCTION("""COMPUTED_VALUE"""),2016.0)</f>
        <v>2016</v>
      </c>
      <c r="E132" s="4">
        <f>IFERROR(__xludf.DUMMYFUNCTION("""COMPUTED_VALUE"""),145.0)</f>
        <v>145</v>
      </c>
      <c r="F132" s="4">
        <f>IFERROR(__xludf.DUMMYFUNCTION("""COMPUTED_VALUE"""),415.0)</f>
        <v>415</v>
      </c>
      <c r="G132" s="4">
        <f>IFERROR(__xludf.DUMMYFUNCTION("""COMPUTED_VALUE"""),560.0)</f>
        <v>560</v>
      </c>
      <c r="H132" s="4">
        <f>IFERROR(__xludf.DUMMYFUNCTION("""COMPUTED_VALUE"""),6.1)</f>
        <v>6.1</v>
      </c>
      <c r="I132" s="4">
        <f>IFERROR(__xludf.DUMMYFUNCTION("""COMPUTED_VALUE"""),17.8)</f>
        <v>17.8</v>
      </c>
      <c r="J132" s="4">
        <f>IFERROR(__xludf.DUMMYFUNCTION("""COMPUTED_VALUE"""),11.9)</f>
        <v>11.9</v>
      </c>
      <c r="K132" s="8">
        <f>IFERROR(__xludf.DUMMYFUNCTION("""COMPUTED_VALUE"""),0.0348)</f>
        <v>0.0348</v>
      </c>
    </row>
    <row r="133" ht="15.75" customHeight="1">
      <c r="C133" s="4" t="str">
        <f>IFERROR(__xludf.DUMMYFUNCTION("""COMPUTED_VALUE"""),"Omán [+]")</f>
        <v>Omán [+]</v>
      </c>
      <c r="D133" s="4">
        <f>IFERROR(__xludf.DUMMYFUNCTION("""COMPUTED_VALUE"""),2015.0)</f>
        <v>2015</v>
      </c>
      <c r="E133" s="4">
        <f>IFERROR(__xludf.DUMMYFUNCTION("""COMPUTED_VALUE"""),17.0)</f>
        <v>17</v>
      </c>
      <c r="F133" s="4">
        <f>IFERROR(__xludf.DUMMYFUNCTION("""COMPUTED_VALUE"""),232.0)</f>
        <v>232</v>
      </c>
      <c r="G133" s="4">
        <f>IFERROR(__xludf.DUMMYFUNCTION("""COMPUTED_VALUE"""),250.0)</f>
        <v>250</v>
      </c>
      <c r="H133" s="4">
        <f>IFERROR(__xludf.DUMMYFUNCTION("""COMPUTED_VALUE"""),1.18)</f>
        <v>1.18</v>
      </c>
      <c r="I133" s="4">
        <f>IFERROR(__xludf.DUMMYFUNCTION("""COMPUTED_VALUE"""),8.35)</f>
        <v>8.35</v>
      </c>
      <c r="J133" s="4">
        <f>IFERROR(__xludf.DUMMYFUNCTION("""COMPUTED_VALUE"""),6.01)</f>
        <v>6.01</v>
      </c>
      <c r="K133" s="8">
        <f>IFERROR(__xludf.DUMMYFUNCTION("""COMPUTED_VALUE"""),0.0017)</f>
        <v>0.0017</v>
      </c>
    </row>
    <row r="134" ht="15.75" customHeight="1">
      <c r="C134" s="4" t="str">
        <f>IFERROR(__xludf.DUMMYFUNCTION("""COMPUTED_VALUE"""),"Panamá [+]")</f>
        <v>Panamá [+]</v>
      </c>
      <c r="D134" s="4">
        <f>IFERROR(__xludf.DUMMYFUNCTION("""COMPUTED_VALUE"""),2015.0)</f>
        <v>2015</v>
      </c>
      <c r="E134" s="4">
        <f>IFERROR(__xludf.DUMMYFUNCTION("""COMPUTED_VALUE"""),21.0)</f>
        <v>21</v>
      </c>
      <c r="F134" s="4">
        <f>IFERROR(__xludf.DUMMYFUNCTION("""COMPUTED_VALUE"""),195.0)</f>
        <v>195</v>
      </c>
      <c r="G134" s="4">
        <f>IFERROR(__xludf.DUMMYFUNCTION("""COMPUTED_VALUE"""),216.0)</f>
        <v>216</v>
      </c>
      <c r="H134" s="4">
        <f>IFERROR(__xludf.DUMMYFUNCTION("""COMPUTED_VALUE"""),1.08)</f>
        <v>1.08</v>
      </c>
      <c r="I134" s="4">
        <f>IFERROR(__xludf.DUMMYFUNCTION("""COMPUTED_VALUE"""),9.79)</f>
        <v>9.79</v>
      </c>
      <c r="J134" s="4">
        <f>IFERROR(__xludf.DUMMYFUNCTION("""COMPUTED_VALUE"""),5.44)</f>
        <v>5.44</v>
      </c>
      <c r="K134" s="8">
        <f>IFERROR(__xludf.DUMMYFUNCTION("""COMPUTED_VALUE"""),-0.1008)</f>
        <v>-0.1008</v>
      </c>
    </row>
    <row r="135" ht="15.75" customHeight="1">
      <c r="C135" s="4" t="str">
        <f>IFERROR(__xludf.DUMMYFUNCTION("""COMPUTED_VALUE"""),"Perú [+]")</f>
        <v>Perú [+]</v>
      </c>
      <c r="D135" s="4">
        <f>IFERROR(__xludf.DUMMYFUNCTION("""COMPUTED_VALUE"""),2018.0)</f>
        <v>2018</v>
      </c>
      <c r="E135" s="4">
        <f>IFERROR(__xludf.DUMMYFUNCTION("""COMPUTED_VALUE"""),156.0)</f>
        <v>156</v>
      </c>
      <c r="F135" s="4">
        <f>IFERROR(__xludf.DUMMYFUNCTION("""COMPUTED_VALUE"""),371.0)</f>
        <v>371</v>
      </c>
      <c r="G135" s="4">
        <f>IFERROR(__xludf.DUMMYFUNCTION("""COMPUTED_VALUE"""),527.0)</f>
        <v>527</v>
      </c>
      <c r="H135" s="4">
        <f>IFERROR(__xludf.DUMMYFUNCTION("""COMPUTED_VALUE"""),1.0)</f>
        <v>1</v>
      </c>
      <c r="I135" s="4">
        <f>IFERROR(__xludf.DUMMYFUNCTION("""COMPUTED_VALUE"""),2.3)</f>
        <v>2.3</v>
      </c>
      <c r="J135" s="4">
        <f>IFERROR(__xludf.DUMMYFUNCTION("""COMPUTED_VALUE"""),1.6)</f>
        <v>1.6</v>
      </c>
      <c r="K135" s="8">
        <f>IFERROR(__xludf.DUMMYFUNCTION("""COMPUTED_VALUE"""),0.3333)</f>
        <v>0.3333</v>
      </c>
    </row>
    <row r="136" ht="15.75" customHeight="1">
      <c r="C136" s="4" t="str">
        <f>IFERROR(__xludf.DUMMYFUNCTION("""COMPUTED_VALUE"""),"Papúa Nueva Guinea [+]")</f>
        <v>Papúa Nueva Guinea [+]</v>
      </c>
      <c r="D136" s="4">
        <f>IFERROR(__xludf.DUMMYFUNCTION("""COMPUTED_VALUE"""),2015.0)</f>
        <v>2015</v>
      </c>
      <c r="E136" s="4">
        <f>IFERROR(__xludf.DUMMYFUNCTION("""COMPUTED_VALUE"""),199.0)</f>
        <v>199</v>
      </c>
      <c r="F136" s="4">
        <f>IFERROR(__xludf.DUMMYFUNCTION("""COMPUTED_VALUE"""),588.0)</f>
        <v>588</v>
      </c>
      <c r="G136" s="4">
        <f>IFERROR(__xludf.DUMMYFUNCTION("""COMPUTED_VALUE"""),787.0)</f>
        <v>787</v>
      </c>
      <c r="H136" s="4">
        <f>IFERROR(__xludf.DUMMYFUNCTION("""COMPUTED_VALUE"""),5.01)</f>
        <v>5.01</v>
      </c>
      <c r="I136" s="4">
        <f>IFERROR(__xludf.DUMMYFUNCTION("""COMPUTED_VALUE"""),14.22)</f>
        <v>14.22</v>
      </c>
      <c r="J136" s="4">
        <f>IFERROR(__xludf.DUMMYFUNCTION("""COMPUTED_VALUE"""),9.94)</f>
        <v>9.94</v>
      </c>
      <c r="K136" s="8">
        <f>IFERROR(__xludf.DUMMYFUNCTION("""COMPUTED_VALUE"""),-0.0178)</f>
        <v>-0.0178</v>
      </c>
    </row>
    <row r="137" ht="15.75" customHeight="1">
      <c r="C137" s="4" t="str">
        <f>IFERROR(__xludf.DUMMYFUNCTION("""COMPUTED_VALUE"""),"Filipinas [+]")</f>
        <v>Filipinas [+]</v>
      </c>
      <c r="D137" s="4">
        <f>IFERROR(__xludf.DUMMYFUNCTION("""COMPUTED_VALUE"""),2015.0)</f>
        <v>2015</v>
      </c>
      <c r="E137" s="4">
        <f>IFERROR(__xludf.DUMMYFUNCTION("""COMPUTED_VALUE"""),837.0)</f>
        <v>837</v>
      </c>
      <c r="F137" s="9">
        <f>IFERROR(__xludf.DUMMYFUNCTION("""COMPUTED_VALUE"""),2563.0)</f>
        <v>2563</v>
      </c>
      <c r="G137" s="9">
        <f>IFERROR(__xludf.DUMMYFUNCTION("""COMPUTED_VALUE"""),3400.0)</f>
        <v>3400</v>
      </c>
      <c r="H137" s="4">
        <f>IFERROR(__xludf.DUMMYFUNCTION("""COMPUTED_VALUE"""),1.65)</f>
        <v>1.65</v>
      </c>
      <c r="I137" s="4">
        <f>IFERROR(__xludf.DUMMYFUNCTION("""COMPUTED_VALUE"""),4.99)</f>
        <v>4.99</v>
      </c>
      <c r="J137" s="4">
        <f>IFERROR(__xludf.DUMMYFUNCTION("""COMPUTED_VALUE"""),3.37)</f>
        <v>3.37</v>
      </c>
      <c r="K137" s="8">
        <f>IFERROR(__xludf.DUMMYFUNCTION("""COMPUTED_VALUE"""),-0.0344)</f>
        <v>-0.0344</v>
      </c>
    </row>
    <row r="138" ht="15.75" customHeight="1">
      <c r="C138" s="4" t="str">
        <f>IFERROR(__xludf.DUMMYFUNCTION("""COMPUTED_VALUE"""),"Pakistán [+]")</f>
        <v>Pakistán [+]</v>
      </c>
      <c r="D138" s="4">
        <f>IFERROR(__xludf.DUMMYFUNCTION("""COMPUTED_VALUE"""),2015.0)</f>
        <v>2015</v>
      </c>
      <c r="E138" s="9">
        <f>IFERROR(__xludf.DUMMYFUNCTION("""COMPUTED_VALUE"""),1828.0)</f>
        <v>1828</v>
      </c>
      <c r="F138" s="9">
        <f>IFERROR(__xludf.DUMMYFUNCTION("""COMPUTED_VALUE"""),2086.0)</f>
        <v>2086</v>
      </c>
      <c r="G138" s="9">
        <f>IFERROR(__xludf.DUMMYFUNCTION("""COMPUTED_VALUE"""),3914.0)</f>
        <v>3914</v>
      </c>
      <c r="H138" s="4">
        <f>IFERROR(__xludf.DUMMYFUNCTION("""COMPUTED_VALUE"""),1.89)</f>
        <v>1.89</v>
      </c>
      <c r="I138" s="4">
        <f>IFERROR(__xludf.DUMMYFUNCTION("""COMPUTED_VALUE"""),2.03)</f>
        <v>2.03</v>
      </c>
      <c r="J138" s="4">
        <f>IFERROR(__xludf.DUMMYFUNCTION("""COMPUTED_VALUE"""),1.99)</f>
        <v>1.99</v>
      </c>
      <c r="K138" s="8">
        <f>IFERROR(__xludf.DUMMYFUNCTION("""COMPUTED_VALUE"""),0.0051)</f>
        <v>0.0051</v>
      </c>
    </row>
    <row r="139" ht="15.75" customHeight="1">
      <c r="C139" s="4" t="str">
        <f>IFERROR(__xludf.DUMMYFUNCTION("""COMPUTED_VALUE"""),"Polonia [+]")</f>
        <v>Polonia [+]</v>
      </c>
      <c r="D139" s="4">
        <f>IFERROR(__xludf.DUMMYFUNCTION("""COMPUTED_VALUE"""),2018.0)</f>
        <v>2018</v>
      </c>
      <c r="E139" s="4">
        <f>IFERROR(__xludf.DUMMYFUNCTION("""COMPUTED_VALUE"""),571.0)</f>
        <v>571</v>
      </c>
      <c r="F139" s="9">
        <f>IFERROR(__xludf.DUMMYFUNCTION("""COMPUTED_VALUE"""),3891.0)</f>
        <v>3891</v>
      </c>
      <c r="G139" s="9">
        <f>IFERROR(__xludf.DUMMYFUNCTION("""COMPUTED_VALUE"""),4462.0)</f>
        <v>4462</v>
      </c>
      <c r="H139" s="4">
        <f>IFERROR(__xludf.DUMMYFUNCTION("""COMPUTED_VALUE"""),2.96)</f>
        <v>2.96</v>
      </c>
      <c r="I139" s="4">
        <f>IFERROR(__xludf.DUMMYFUNCTION("""COMPUTED_VALUE"""),21.31)</f>
        <v>21.31</v>
      </c>
      <c r="J139" s="4">
        <f>IFERROR(__xludf.DUMMYFUNCTION("""COMPUTED_VALUE"""),11.84)</f>
        <v>11.84</v>
      </c>
      <c r="K139" s="8">
        <f>IFERROR(__xludf.DUMMYFUNCTION("""COMPUTED_VALUE"""),-0.0092)</f>
        <v>-0.0092</v>
      </c>
    </row>
    <row r="140" ht="15.75" customHeight="1">
      <c r="C140" s="4" t="str">
        <f>IFERROR(__xludf.DUMMYFUNCTION("""COMPUTED_VALUE"""),"Paraguay [+]")</f>
        <v>Paraguay [+]</v>
      </c>
      <c r="D140" s="4">
        <f>IFERROR(__xludf.DUMMYFUNCTION("""COMPUTED_VALUE"""),2015.0)</f>
        <v>2015</v>
      </c>
      <c r="E140" s="4">
        <f>IFERROR(__xludf.DUMMYFUNCTION("""COMPUTED_VALUE"""),210.0)</f>
        <v>210</v>
      </c>
      <c r="F140" s="4">
        <f>IFERROR(__xludf.DUMMYFUNCTION("""COMPUTED_VALUE"""),470.0)</f>
        <v>470</v>
      </c>
      <c r="G140" s="4">
        <f>IFERROR(__xludf.DUMMYFUNCTION("""COMPUTED_VALUE"""),680.0)</f>
        <v>680</v>
      </c>
      <c r="H140" s="4">
        <f>IFERROR(__xludf.DUMMYFUNCTION("""COMPUTED_VALUE"""),6.4)</f>
        <v>6.4</v>
      </c>
      <c r="I140" s="4">
        <f>IFERROR(__xludf.DUMMYFUNCTION("""COMPUTED_VALUE"""),13.81)</f>
        <v>13.81</v>
      </c>
      <c r="J140" s="4">
        <f>IFERROR(__xludf.DUMMYFUNCTION("""COMPUTED_VALUE"""),10.07)</f>
        <v>10.07</v>
      </c>
      <c r="K140" s="8">
        <f>IFERROR(__xludf.DUMMYFUNCTION("""COMPUTED_VALUE"""),0.001)</f>
        <v>0.001</v>
      </c>
    </row>
    <row r="141" ht="15.75" customHeight="1">
      <c r="C141" s="4" t="str">
        <f>IFERROR(__xludf.DUMMYFUNCTION("""COMPUTED_VALUE"""),"Catar [+]")</f>
        <v>Catar [+]</v>
      </c>
      <c r="D141" s="4">
        <f>IFERROR(__xludf.DUMMYFUNCTION("""COMPUTED_VALUE"""),2015.0)</f>
        <v>2015</v>
      </c>
      <c r="E141" s="4">
        <f>IFERROR(__xludf.DUMMYFUNCTION("""COMPUTED_VALUE"""),6.0)</f>
        <v>6</v>
      </c>
      <c r="F141" s="4">
        <f>IFERROR(__xludf.DUMMYFUNCTION("""COMPUTED_VALUE"""),137.0)</f>
        <v>137</v>
      </c>
      <c r="G141" s="4">
        <f>IFERROR(__xludf.DUMMYFUNCTION("""COMPUTED_VALUE"""),143.0)</f>
        <v>143</v>
      </c>
      <c r="H141" s="4">
        <f>IFERROR(__xludf.DUMMYFUNCTION("""COMPUTED_VALUE"""),0.94)</f>
        <v>0.94</v>
      </c>
      <c r="I141" s="4">
        <f>IFERROR(__xludf.DUMMYFUNCTION("""COMPUTED_VALUE"""),7.03)</f>
        <v>7.03</v>
      </c>
      <c r="J141" s="4">
        <f>IFERROR(__xludf.DUMMYFUNCTION("""COMPUTED_VALUE"""),5.86)</f>
        <v>5.86</v>
      </c>
      <c r="K141" s="8">
        <f>IFERROR(__xludf.DUMMYFUNCTION("""COMPUTED_VALUE"""),-0.0594)</f>
        <v>-0.0594</v>
      </c>
    </row>
    <row r="142" ht="15.75" customHeight="1">
      <c r="C142" s="4" t="str">
        <f>IFERROR(__xludf.DUMMYFUNCTION("""COMPUTED_VALUE"""),"Rumanía [+]")</f>
        <v>Rumanía [+]</v>
      </c>
      <c r="D142" s="4">
        <f>IFERROR(__xludf.DUMMYFUNCTION("""COMPUTED_VALUE"""),2018.0)</f>
        <v>2018</v>
      </c>
      <c r="E142" s="4">
        <f>IFERROR(__xludf.DUMMYFUNCTION("""COMPUTED_VALUE"""),321.0)</f>
        <v>321</v>
      </c>
      <c r="F142" s="9">
        <f>IFERROR(__xludf.DUMMYFUNCTION("""COMPUTED_VALUE"""),1622.0)</f>
        <v>1622</v>
      </c>
      <c r="G142" s="9">
        <f>IFERROR(__xludf.DUMMYFUNCTION("""COMPUTED_VALUE"""),1943.0)</f>
        <v>1943</v>
      </c>
      <c r="H142" s="4">
        <f>IFERROR(__xludf.DUMMYFUNCTION("""COMPUTED_VALUE"""),3.25)</f>
        <v>3.25</v>
      </c>
      <c r="I142" s="4">
        <f>IFERROR(__xludf.DUMMYFUNCTION("""COMPUTED_VALUE"""),17.24)</f>
        <v>17.24</v>
      </c>
      <c r="J142" s="4">
        <f>IFERROR(__xludf.DUMMYFUNCTION("""COMPUTED_VALUE"""),10.09)</f>
        <v>10.09</v>
      </c>
      <c r="K142" s="8">
        <f>IFERROR(__xludf.DUMMYFUNCTION("""COMPUTED_VALUE"""),0.008)</f>
        <v>0.008</v>
      </c>
    </row>
    <row r="143" ht="15.75" customHeight="1">
      <c r="C143" s="4" t="str">
        <f>IFERROR(__xludf.DUMMYFUNCTION("""COMPUTED_VALUE"""),"Serbia [+]")</f>
        <v>Serbia [+]</v>
      </c>
      <c r="D143" s="4">
        <f>IFERROR(__xludf.DUMMYFUNCTION("""COMPUTED_VALUE"""),2018.0)</f>
        <v>2018</v>
      </c>
      <c r="E143" s="4">
        <f>IFERROR(__xludf.DUMMYFUNCTION("""COMPUTED_VALUE"""),229.0)</f>
        <v>229</v>
      </c>
      <c r="F143" s="4">
        <f>IFERROR(__xludf.DUMMYFUNCTION("""COMPUTED_VALUE"""),720.0)</f>
        <v>720</v>
      </c>
      <c r="G143" s="4">
        <f>IFERROR(__xludf.DUMMYFUNCTION("""COMPUTED_VALUE"""),949.0)</f>
        <v>949</v>
      </c>
      <c r="H143" s="4">
        <f>IFERROR(__xludf.DUMMYFUNCTION("""COMPUTED_VALUE"""),6.4)</f>
        <v>6.4</v>
      </c>
      <c r="I143" s="4">
        <f>IFERROR(__xludf.DUMMYFUNCTION("""COMPUTED_VALUE"""),21.2)</f>
        <v>21.2</v>
      </c>
      <c r="J143" s="4">
        <f>IFERROR(__xludf.DUMMYFUNCTION("""COMPUTED_VALUE"""),13.61)</f>
        <v>13.61</v>
      </c>
      <c r="K143" s="8">
        <f>IFERROR(__xludf.DUMMYFUNCTION("""COMPUTED_VALUE"""),-0.0509)</f>
        <v>-0.0509</v>
      </c>
    </row>
    <row r="144" ht="15.75" customHeight="1">
      <c r="C144" s="4" t="str">
        <f>IFERROR(__xludf.DUMMYFUNCTION("""COMPUTED_VALUE"""),"Rusia [+]")</f>
        <v>Rusia [+]</v>
      </c>
      <c r="D144" s="4">
        <f>IFERROR(__xludf.DUMMYFUNCTION("""COMPUTED_VALUE"""),2015.0)</f>
        <v>2015</v>
      </c>
      <c r="E144" s="9">
        <f>IFERROR(__xludf.DUMMYFUNCTION("""COMPUTED_VALUE"""),4575.0)</f>
        <v>4575</v>
      </c>
      <c r="F144" s="9">
        <f>IFERROR(__xludf.DUMMYFUNCTION("""COMPUTED_VALUE"""),20901.0)</f>
        <v>20901</v>
      </c>
      <c r="G144" s="9">
        <f>IFERROR(__xludf.DUMMYFUNCTION("""COMPUTED_VALUE"""),25476.0)</f>
        <v>25476</v>
      </c>
      <c r="H144" s="4">
        <f>IFERROR(__xludf.DUMMYFUNCTION("""COMPUTED_VALUE"""),5.8)</f>
        <v>5.8</v>
      </c>
      <c r="I144" s="4">
        <f>IFERROR(__xludf.DUMMYFUNCTION("""COMPUTED_VALUE"""),30.8)</f>
        <v>30.8</v>
      </c>
      <c r="J144" s="4">
        <f>IFERROR(__xludf.DUMMYFUNCTION("""COMPUTED_VALUE"""),17.4)</f>
        <v>17.4</v>
      </c>
      <c r="K144" s="8">
        <f>IFERROR(__xludf.DUMMYFUNCTION("""COMPUTED_VALUE"""),-0.0595)</f>
        <v>-0.0595</v>
      </c>
    </row>
    <row r="145" ht="15.75" customHeight="1">
      <c r="C145" s="4" t="str">
        <f>IFERROR(__xludf.DUMMYFUNCTION("""COMPUTED_VALUE"""),"Ruanda [+]")</f>
        <v>Ruanda [+]</v>
      </c>
      <c r="D145" s="4">
        <f>IFERROR(__xludf.DUMMYFUNCTION("""COMPUTED_VALUE"""),2015.0)</f>
        <v>2015</v>
      </c>
      <c r="E145" s="4">
        <f>IFERROR(__xludf.DUMMYFUNCTION("""COMPUTED_VALUE"""),129.0)</f>
        <v>129</v>
      </c>
      <c r="F145" s="4">
        <f>IFERROR(__xludf.DUMMYFUNCTION("""COMPUTED_VALUE"""),863.0)</f>
        <v>863</v>
      </c>
      <c r="G145" s="4">
        <f>IFERROR(__xludf.DUMMYFUNCTION("""COMPUTED_VALUE"""),992.0)</f>
        <v>992</v>
      </c>
      <c r="H145" s="4">
        <f>IFERROR(__xludf.DUMMYFUNCTION("""COMPUTED_VALUE"""),2.23)</f>
        <v>2.23</v>
      </c>
      <c r="I145" s="4">
        <f>IFERROR(__xludf.DUMMYFUNCTION("""COMPUTED_VALUE"""),15.46)</f>
        <v>15.46</v>
      </c>
      <c r="J145" s="4">
        <f>IFERROR(__xludf.DUMMYFUNCTION("""COMPUTED_VALUE"""),8.73)</f>
        <v>8.73</v>
      </c>
      <c r="K145" s="8">
        <f>IFERROR(__xludf.DUMMYFUNCTION("""COMPUTED_VALUE"""),-0.0091)</f>
        <v>-0.0091</v>
      </c>
    </row>
    <row r="146" ht="15.75" customHeight="1">
      <c r="C146" s="4" t="str">
        <f>IFERROR(__xludf.DUMMYFUNCTION("""COMPUTED_VALUE"""),"Arabia Saudita [+]")</f>
        <v>Arabia Saudita [+]</v>
      </c>
      <c r="D146" s="4">
        <f>IFERROR(__xludf.DUMMYFUNCTION("""COMPUTED_VALUE"""),2015.0)</f>
        <v>2015</v>
      </c>
      <c r="E146" s="4">
        <f>IFERROR(__xludf.DUMMYFUNCTION("""COMPUTED_VALUE"""),262.0)</f>
        <v>262</v>
      </c>
      <c r="F146" s="4">
        <f>IFERROR(__xludf.DUMMYFUNCTION("""COMPUTED_VALUE"""),796.0)</f>
        <v>796</v>
      </c>
      <c r="G146" s="9">
        <f>IFERROR(__xludf.DUMMYFUNCTION("""COMPUTED_VALUE"""),1057.0)</f>
        <v>1057</v>
      </c>
      <c r="H146" s="4">
        <f>IFERROR(__xludf.DUMMYFUNCTION("""COMPUTED_VALUE"""),1.91)</f>
        <v>1.91</v>
      </c>
      <c r="I146" s="4">
        <f>IFERROR(__xludf.DUMMYFUNCTION("""COMPUTED_VALUE"""),4.41)</f>
        <v>4.41</v>
      </c>
      <c r="J146" s="4">
        <f>IFERROR(__xludf.DUMMYFUNCTION("""COMPUTED_VALUE"""),3.4)</f>
        <v>3.4</v>
      </c>
      <c r="K146" s="8">
        <f>IFERROR(__xludf.DUMMYFUNCTION("""COMPUTED_VALUE"""),-0.0258)</f>
        <v>-0.0258</v>
      </c>
    </row>
    <row r="147" ht="15.75" customHeight="1">
      <c r="C147" s="4" t="str">
        <f>IFERROR(__xludf.DUMMYFUNCTION("""COMPUTED_VALUE"""),"Islas Salomón [+]")</f>
        <v>Islas Salomón [+]</v>
      </c>
      <c r="D147" s="4">
        <f>IFERROR(__xludf.DUMMYFUNCTION("""COMPUTED_VALUE"""),2015.0)</f>
        <v>2015</v>
      </c>
      <c r="E147" s="4">
        <f>IFERROR(__xludf.DUMMYFUNCTION("""COMPUTED_VALUE"""),13.0)</f>
        <v>13</v>
      </c>
      <c r="F147" s="4">
        <f>IFERROR(__xludf.DUMMYFUNCTION("""COMPUTED_VALUE"""),34.0)</f>
        <v>34</v>
      </c>
      <c r="G147" s="4">
        <f>IFERROR(__xludf.DUMMYFUNCTION("""COMPUTED_VALUE"""),46.0)</f>
        <v>46</v>
      </c>
      <c r="H147" s="4">
        <f>IFERROR(__xludf.DUMMYFUNCTION("""COMPUTED_VALUE"""),4.25)</f>
        <v>4.25</v>
      </c>
      <c r="I147" s="4">
        <f>IFERROR(__xludf.DUMMYFUNCTION("""COMPUTED_VALUE"""),10.94)</f>
        <v>10.94</v>
      </c>
      <c r="J147" s="4">
        <f>IFERROR(__xludf.DUMMYFUNCTION("""COMPUTED_VALUE"""),7.66)</f>
        <v>7.66</v>
      </c>
      <c r="K147" s="8">
        <f>IFERROR(__xludf.DUMMYFUNCTION("""COMPUTED_VALUE"""),-0.0279)</f>
        <v>-0.0279</v>
      </c>
    </row>
    <row r="148" ht="15.75" customHeight="1">
      <c r="C148" s="4" t="str">
        <f>IFERROR(__xludf.DUMMYFUNCTION("""COMPUTED_VALUE"""),"Seychelles [+]")</f>
        <v>Seychelles [+]</v>
      </c>
      <c r="D148" s="4">
        <f>IFERROR(__xludf.DUMMYFUNCTION("""COMPUTED_VALUE"""),2015.0)</f>
        <v>2015</v>
      </c>
      <c r="E148" s="4">
        <f>IFERROR(__xludf.DUMMYFUNCTION("""COMPUTED_VALUE"""),1.0)</f>
        <v>1</v>
      </c>
      <c r="F148" s="4">
        <f>IFERROR(__xludf.DUMMYFUNCTION("""COMPUTED_VALUE"""),8.0)</f>
        <v>8</v>
      </c>
      <c r="G148" s="4">
        <f>IFERROR(__xludf.DUMMYFUNCTION("""COMPUTED_VALUE"""),9.0)</f>
        <v>9</v>
      </c>
      <c r="H148" s="4">
        <f>IFERROR(__xludf.DUMMYFUNCTION("""COMPUTED_VALUE"""),2.15)</f>
        <v>2.15</v>
      </c>
      <c r="I148" s="4">
        <f>IFERROR(__xludf.DUMMYFUNCTION("""COMPUTED_VALUE"""),16.62)</f>
        <v>16.62</v>
      </c>
      <c r="J148" s="4">
        <f>IFERROR(__xludf.DUMMYFUNCTION("""COMPUTED_VALUE"""),9.64)</f>
        <v>9.64</v>
      </c>
      <c r="K148" s="8">
        <f>IFERROR(__xludf.DUMMYFUNCTION("""COMPUTED_VALUE"""),-0.0223)</f>
        <v>-0.0223</v>
      </c>
    </row>
    <row r="149" ht="15.75" customHeight="1">
      <c r="C149" s="4" t="str">
        <f>IFERROR(__xludf.DUMMYFUNCTION("""COMPUTED_VALUE"""),"Sudán [+]")</f>
        <v>Sudán [+]</v>
      </c>
      <c r="D149" s="4">
        <f>IFERROR(__xludf.DUMMYFUNCTION("""COMPUTED_VALUE"""),2015.0)</f>
        <v>2015</v>
      </c>
      <c r="E149" s="9">
        <f>IFERROR(__xludf.DUMMYFUNCTION("""COMPUTED_VALUE"""),1149.0)</f>
        <v>1149</v>
      </c>
      <c r="F149" s="9">
        <f>IFERROR(__xludf.DUMMYFUNCTION("""COMPUTED_VALUE"""),2960.0)</f>
        <v>2960</v>
      </c>
      <c r="G149" s="9">
        <f>IFERROR(__xludf.DUMMYFUNCTION("""COMPUTED_VALUE"""),4109.0)</f>
        <v>4109</v>
      </c>
      <c r="H149" s="4">
        <f>IFERROR(__xludf.DUMMYFUNCTION("""COMPUTED_VALUE"""),5.9)</f>
        <v>5.9</v>
      </c>
      <c r="I149" s="4">
        <f>IFERROR(__xludf.DUMMYFUNCTION("""COMPUTED_VALUE"""),15.24)</f>
        <v>15.24</v>
      </c>
      <c r="J149" s="4">
        <f>IFERROR(__xludf.DUMMYFUNCTION("""COMPUTED_VALUE"""),10.56)</f>
        <v>10.56</v>
      </c>
      <c r="K149" s="8">
        <f>IFERROR(__xludf.DUMMYFUNCTION("""COMPUTED_VALUE"""),-0.0085)</f>
        <v>-0.0085</v>
      </c>
    </row>
    <row r="150" ht="15.75" customHeight="1">
      <c r="C150" s="4" t="str">
        <f>IFERROR(__xludf.DUMMYFUNCTION("""COMPUTED_VALUE"""),"Suecia [+]")</f>
        <v>Suecia [+]</v>
      </c>
      <c r="D150" s="4">
        <f>IFERROR(__xludf.DUMMYFUNCTION("""COMPUTED_VALUE"""),2018.0)</f>
        <v>2018</v>
      </c>
      <c r="E150" s="4">
        <f>IFERROR(__xludf.DUMMYFUNCTION("""COMPUTED_VALUE"""),383.0)</f>
        <v>383</v>
      </c>
      <c r="F150" s="4">
        <f>IFERROR(__xludf.DUMMYFUNCTION("""COMPUTED_VALUE"""),890.0)</f>
        <v>890</v>
      </c>
      <c r="G150" s="9">
        <f>IFERROR(__xludf.DUMMYFUNCTION("""COMPUTED_VALUE"""),1289.0)</f>
        <v>1289</v>
      </c>
      <c r="H150" s="4">
        <f>IFERROR(__xludf.DUMMYFUNCTION("""COMPUTED_VALUE"""),7.58)</f>
        <v>7.58</v>
      </c>
      <c r="I150" s="4">
        <f>IFERROR(__xludf.DUMMYFUNCTION("""COMPUTED_VALUE"""),17.29)</f>
        <v>17.29</v>
      </c>
      <c r="J150" s="4">
        <f>IFERROR(__xludf.DUMMYFUNCTION("""COMPUTED_VALUE"""),12.46)</f>
        <v>12.46</v>
      </c>
      <c r="K150" s="8">
        <f>IFERROR(__xludf.DUMMYFUNCTION("""COMPUTED_VALUE"""),0.0497)</f>
        <v>0.0497</v>
      </c>
    </row>
    <row r="151" ht="15.75" customHeight="1">
      <c r="C151" s="4" t="str">
        <f>IFERROR(__xludf.DUMMYFUNCTION("""COMPUTED_VALUE"""),"Singapur [+]")</f>
        <v>Singapur [+]</v>
      </c>
      <c r="D151" s="4">
        <f>IFERROR(__xludf.DUMMYFUNCTION("""COMPUTED_VALUE"""),2015.0)</f>
        <v>2015</v>
      </c>
      <c r="E151" s="4">
        <f>IFERROR(__xludf.DUMMYFUNCTION("""COMPUTED_VALUE"""),180.0)</f>
        <v>180</v>
      </c>
      <c r="F151" s="4">
        <f>IFERROR(__xludf.DUMMYFUNCTION("""COMPUTED_VALUE"""),375.0)</f>
        <v>375</v>
      </c>
      <c r="G151" s="4">
        <f>IFERROR(__xludf.DUMMYFUNCTION("""COMPUTED_VALUE"""),555.0)</f>
        <v>555</v>
      </c>
      <c r="H151" s="4">
        <f>IFERROR(__xludf.DUMMYFUNCTION("""COMPUTED_VALUE"""),6.83)</f>
        <v>6.83</v>
      </c>
      <c r="I151" s="4">
        <f>IFERROR(__xludf.DUMMYFUNCTION("""COMPUTED_VALUE"""),12.94)</f>
        <v>12.94</v>
      </c>
      <c r="J151" s="4">
        <f>IFERROR(__xludf.DUMMYFUNCTION("""COMPUTED_VALUE"""),10.03)</f>
        <v>10.03</v>
      </c>
      <c r="K151" s="8">
        <f>IFERROR(__xludf.DUMMYFUNCTION("""COMPUTED_VALUE"""),-0.15)</f>
        <v>-0.15</v>
      </c>
    </row>
    <row r="152" ht="15.75" customHeight="1">
      <c r="C152" s="4" t="str">
        <f>IFERROR(__xludf.DUMMYFUNCTION("""COMPUTED_VALUE"""),"Eslovenia [+]")</f>
        <v>Eslovenia [+]</v>
      </c>
      <c r="D152" s="4">
        <f>IFERROR(__xludf.DUMMYFUNCTION("""COMPUTED_VALUE"""),2018.0)</f>
        <v>2018</v>
      </c>
      <c r="E152" s="4">
        <f>IFERROR(__xludf.DUMMYFUNCTION("""COMPUTED_VALUE"""),81.0)</f>
        <v>81</v>
      </c>
      <c r="F152" s="4">
        <f>IFERROR(__xludf.DUMMYFUNCTION("""COMPUTED_VALUE"""),278.0)</f>
        <v>278</v>
      </c>
      <c r="G152" s="4">
        <f>IFERROR(__xludf.DUMMYFUNCTION("""COMPUTED_VALUE"""),359.0)</f>
        <v>359</v>
      </c>
      <c r="H152" s="4">
        <f>IFERROR(__xludf.DUMMYFUNCTION("""COMPUTED_VALUE"""),7.78)</f>
        <v>7.78</v>
      </c>
      <c r="I152" s="4">
        <f>IFERROR(__xludf.DUMMYFUNCTION("""COMPUTED_VALUE"""),26.92)</f>
        <v>26.92</v>
      </c>
      <c r="J152" s="4">
        <f>IFERROR(__xludf.DUMMYFUNCTION("""COMPUTED_VALUE"""),17.31)</f>
        <v>17.31</v>
      </c>
      <c r="K152" s="8">
        <f>IFERROR(__xludf.DUMMYFUNCTION("""COMPUTED_VALUE"""),-0.1401)</f>
        <v>-0.1401</v>
      </c>
    </row>
    <row r="153" ht="15.75" customHeight="1">
      <c r="C153" s="4" t="str">
        <f>IFERROR(__xludf.DUMMYFUNCTION("""COMPUTED_VALUE"""),"Eslovaquia [+]")</f>
        <v>Eslovaquia [+]</v>
      </c>
      <c r="D153" s="4">
        <f>IFERROR(__xludf.DUMMYFUNCTION("""COMPUTED_VALUE"""),2018.0)</f>
        <v>2018</v>
      </c>
      <c r="E153" s="4">
        <f>IFERROR(__xludf.DUMMYFUNCTION("""COMPUTED_VALUE"""),75.0)</f>
        <v>75</v>
      </c>
      <c r="F153" s="4">
        <f>IFERROR(__xludf.DUMMYFUNCTION("""COMPUTED_VALUE"""),341.0)</f>
        <v>341</v>
      </c>
      <c r="G153" s="4">
        <f>IFERROR(__xludf.DUMMYFUNCTION("""COMPUTED_VALUE"""),416.0)</f>
        <v>416</v>
      </c>
      <c r="H153" s="4">
        <f>IFERROR(__xludf.DUMMYFUNCTION("""COMPUTED_VALUE"""),2.73)</f>
        <v>2.73</v>
      </c>
      <c r="I153" s="4">
        <f>IFERROR(__xludf.DUMMYFUNCTION("""COMPUTED_VALUE"""),13.13)</f>
        <v>13.13</v>
      </c>
      <c r="J153" s="4">
        <f>IFERROR(__xludf.DUMMYFUNCTION("""COMPUTED_VALUE"""),7.8)</f>
        <v>7.8</v>
      </c>
      <c r="K153" s="8">
        <f>IFERROR(__xludf.DUMMYFUNCTION("""COMPUTED_VALUE"""),0.0909)</f>
        <v>0.0909</v>
      </c>
    </row>
    <row r="154" ht="15.75" customHeight="1">
      <c r="C154" s="4" t="str">
        <f>IFERROR(__xludf.DUMMYFUNCTION("""COMPUTED_VALUE"""),"Sierra Leona [+]")</f>
        <v>Sierra Leona [+]</v>
      </c>
      <c r="D154" s="4">
        <f>IFERROR(__xludf.DUMMYFUNCTION("""COMPUTED_VALUE"""),2015.0)</f>
        <v>2015</v>
      </c>
      <c r="E154" s="4">
        <f>IFERROR(__xludf.DUMMYFUNCTION("""COMPUTED_VALUE"""),320.0)</f>
        <v>320</v>
      </c>
      <c r="F154" s="4">
        <f>IFERROR(__xludf.DUMMYFUNCTION("""COMPUTED_VALUE"""),670.0)</f>
        <v>670</v>
      </c>
      <c r="G154" s="4">
        <f>IFERROR(__xludf.DUMMYFUNCTION("""COMPUTED_VALUE"""),990.0)</f>
        <v>990</v>
      </c>
      <c r="H154" s="4">
        <f>IFERROR(__xludf.DUMMYFUNCTION("""COMPUTED_VALUE"""),8.9)</f>
        <v>8.9</v>
      </c>
      <c r="I154" s="4">
        <f>IFERROR(__xludf.DUMMYFUNCTION("""COMPUTED_VALUE"""),18.75)</f>
        <v>18.75</v>
      </c>
      <c r="J154" s="4">
        <f>IFERROR(__xludf.DUMMYFUNCTION("""COMPUTED_VALUE"""),13.81)</f>
        <v>13.81</v>
      </c>
      <c r="K154" s="8">
        <f>IFERROR(__xludf.DUMMYFUNCTION("""COMPUTED_VALUE"""),0.0237)</f>
        <v>0.0237</v>
      </c>
    </row>
    <row r="155" ht="15.75" customHeight="1">
      <c r="C155" s="4" t="str">
        <f>IFERROR(__xludf.DUMMYFUNCTION("""COMPUTED_VALUE"""),"Senegal [+]")</f>
        <v>Senegal [+]</v>
      </c>
      <c r="D155" s="4">
        <f>IFERROR(__xludf.DUMMYFUNCTION("""COMPUTED_VALUE"""),2015.0)</f>
        <v>2015</v>
      </c>
      <c r="E155" s="4">
        <f>IFERROR(__xludf.DUMMYFUNCTION("""COMPUTED_VALUE"""),229.0)</f>
        <v>229</v>
      </c>
      <c r="F155" s="4">
        <f>IFERROR(__xludf.DUMMYFUNCTION("""COMPUTED_VALUE"""),689.0)</f>
        <v>689</v>
      </c>
      <c r="G155" s="4">
        <f>IFERROR(__xludf.DUMMYFUNCTION("""COMPUTED_VALUE"""),918.0)</f>
        <v>918</v>
      </c>
      <c r="H155" s="4">
        <f>IFERROR(__xludf.DUMMYFUNCTION("""COMPUTED_VALUE"""),3.06)</f>
        <v>3.06</v>
      </c>
      <c r="I155" s="4">
        <f>IFERROR(__xludf.DUMMYFUNCTION("""COMPUTED_VALUE"""),9.72)</f>
        <v>9.72</v>
      </c>
      <c r="J155" s="4">
        <f>IFERROR(__xludf.DUMMYFUNCTION("""COMPUTED_VALUE"""),6.3)</f>
        <v>6.3</v>
      </c>
      <c r="K155" s="8">
        <f>IFERROR(__xludf.DUMMYFUNCTION("""COMPUTED_VALUE"""),-0.0156)</f>
        <v>-0.0156</v>
      </c>
    </row>
    <row r="156" ht="15.75" customHeight="1">
      <c r="C156" s="4" t="str">
        <f>IFERROR(__xludf.DUMMYFUNCTION("""COMPUTED_VALUE"""),"Somalia [+]")</f>
        <v>Somalia [+]</v>
      </c>
      <c r="D156" s="4">
        <f>IFERROR(__xludf.DUMMYFUNCTION("""COMPUTED_VALUE"""),2015.0)</f>
        <v>2015</v>
      </c>
      <c r="E156" s="4">
        <f>IFERROR(__xludf.DUMMYFUNCTION("""COMPUTED_VALUE"""),164.0)</f>
        <v>164</v>
      </c>
      <c r="F156" s="4">
        <f>IFERROR(__xludf.DUMMYFUNCTION("""COMPUTED_VALUE"""),414.0)</f>
        <v>414</v>
      </c>
      <c r="G156" s="4">
        <f>IFERROR(__xludf.DUMMYFUNCTION("""COMPUTED_VALUE"""),578.0)</f>
        <v>578</v>
      </c>
      <c r="H156" s="4">
        <f>IFERROR(__xludf.DUMMYFUNCTION("""COMPUTED_VALUE"""),2.37)</f>
        <v>2.37</v>
      </c>
      <c r="I156" s="4">
        <f>IFERROR(__xludf.DUMMYFUNCTION("""COMPUTED_VALUE"""),6.01)</f>
        <v>6.01</v>
      </c>
      <c r="J156" s="4">
        <f>IFERROR(__xludf.DUMMYFUNCTION("""COMPUTED_VALUE"""),4.19)</f>
        <v>4.19</v>
      </c>
      <c r="K156" s="8">
        <f>IFERROR(__xludf.DUMMYFUNCTION("""COMPUTED_VALUE"""),0.0121)</f>
        <v>0.0121</v>
      </c>
    </row>
    <row r="157" ht="15.75" customHeight="1">
      <c r="C157" s="4" t="str">
        <f>IFERROR(__xludf.DUMMYFUNCTION("""COMPUTED_VALUE"""),"Surinam [+]")</f>
        <v>Surinam [+]</v>
      </c>
      <c r="D157" s="4">
        <f>IFERROR(__xludf.DUMMYFUNCTION("""COMPUTED_VALUE"""),2015.0)</f>
        <v>2015</v>
      </c>
      <c r="E157" s="4">
        <f>IFERROR(__xludf.DUMMYFUNCTION("""COMPUTED_VALUE"""),34.0)</f>
        <v>34</v>
      </c>
      <c r="F157" s="4">
        <f>IFERROR(__xludf.DUMMYFUNCTION("""COMPUTED_VALUE"""),110.0)</f>
        <v>110</v>
      </c>
      <c r="G157" s="4">
        <f>IFERROR(__xludf.DUMMYFUNCTION("""COMPUTED_VALUE"""),145.0)</f>
        <v>145</v>
      </c>
      <c r="H157" s="4">
        <f>IFERROR(__xludf.DUMMYFUNCTION("""COMPUTED_VALUE"""),12.38)</f>
        <v>12.38</v>
      </c>
      <c r="I157" s="4">
        <f>IFERROR(__xludf.DUMMYFUNCTION("""COMPUTED_VALUE"""),39.17)</f>
        <v>39.17</v>
      </c>
      <c r="J157" s="4">
        <f>IFERROR(__xludf.DUMMYFUNCTION("""COMPUTED_VALUE"""),25.5)</f>
        <v>25.5</v>
      </c>
      <c r="K157" s="8">
        <f>IFERROR(__xludf.DUMMYFUNCTION("""COMPUTED_VALUE"""),0.0216)</f>
        <v>0.0216</v>
      </c>
    </row>
    <row r="158" ht="15.75" customHeight="1">
      <c r="C158" s="4" t="str">
        <f>IFERROR(__xludf.DUMMYFUNCTION("""COMPUTED_VALUE"""),"Sudán del Sur [+]")</f>
        <v>Sudán del Sur [+]</v>
      </c>
      <c r="D158" s="4">
        <f>IFERROR(__xludf.DUMMYFUNCTION("""COMPUTED_VALUE"""),2015.0)</f>
        <v>2015</v>
      </c>
      <c r="E158" s="4">
        <f>IFERROR(__xludf.DUMMYFUNCTION("""COMPUTED_VALUE"""),225.0)</f>
        <v>225</v>
      </c>
      <c r="F158" s="4">
        <f>IFERROR(__xludf.DUMMYFUNCTION("""COMPUTED_VALUE"""),559.0)</f>
        <v>559</v>
      </c>
      <c r="G158" s="4">
        <f>IFERROR(__xludf.DUMMYFUNCTION("""COMPUTED_VALUE"""),784.0)</f>
        <v>784</v>
      </c>
      <c r="H158" s="4">
        <f>IFERROR(__xludf.DUMMYFUNCTION("""COMPUTED_VALUE"""),4.21)</f>
        <v>4.21</v>
      </c>
      <c r="I158" s="4">
        <f>IFERROR(__xludf.DUMMYFUNCTION("""COMPUTED_VALUE"""),10.42)</f>
        <v>10.42</v>
      </c>
      <c r="J158" s="4">
        <f>IFERROR(__xludf.DUMMYFUNCTION("""COMPUTED_VALUE"""),7.31)</f>
        <v>7.31</v>
      </c>
      <c r="K158" s="8">
        <f>IFERROR(__xludf.DUMMYFUNCTION("""COMPUTED_VALUE"""),0.0153)</f>
        <v>0.0153</v>
      </c>
    </row>
    <row r="159" ht="15.75" customHeight="1">
      <c r="C159" s="4" t="str">
        <f>IFERROR(__xludf.DUMMYFUNCTION("""COMPUTED_VALUE"""),"Santo Tomé y Príncipe [+]")</f>
        <v>Santo Tomé y Príncipe [+]</v>
      </c>
      <c r="D159" s="4">
        <f>IFERROR(__xludf.DUMMYFUNCTION("""COMPUTED_VALUE"""),2015.0)</f>
        <v>2015</v>
      </c>
      <c r="E159" s="4">
        <f>IFERROR(__xludf.DUMMYFUNCTION("""COMPUTED_VALUE"""),1.0)</f>
        <v>1</v>
      </c>
      <c r="F159" s="4">
        <f>IFERROR(__xludf.DUMMYFUNCTION("""COMPUTED_VALUE"""),3.0)</f>
        <v>3</v>
      </c>
      <c r="G159" s="4">
        <f>IFERROR(__xludf.DUMMYFUNCTION("""COMPUTED_VALUE"""),4.0)</f>
        <v>4</v>
      </c>
      <c r="H159" s="4">
        <f>IFERROR(__xludf.DUMMYFUNCTION("""COMPUTED_VALUE"""),1.21)</f>
        <v>1.21</v>
      </c>
      <c r="I159" s="4">
        <f>IFERROR(__xludf.DUMMYFUNCTION("""COMPUTED_VALUE"""),2.55)</f>
        <v>2.55</v>
      </c>
      <c r="J159" s="4">
        <f>IFERROR(__xludf.DUMMYFUNCTION("""COMPUTED_VALUE"""),1.88)</f>
        <v>1.88</v>
      </c>
      <c r="K159" s="4">
        <f>IFERROR(__xludf.DUMMYFUNCTION("""COMPUTED_VALUE"""),0.0)</f>
        <v>0</v>
      </c>
    </row>
    <row r="160" ht="15.75" customHeight="1">
      <c r="C160" s="4" t="str">
        <f>IFERROR(__xludf.DUMMYFUNCTION("""COMPUTED_VALUE"""),"El Salvador [+]")</f>
        <v>El Salvador [+]</v>
      </c>
      <c r="D160" s="4">
        <f>IFERROR(__xludf.DUMMYFUNCTION("""COMPUTED_VALUE"""),2015.0)</f>
        <v>2015</v>
      </c>
      <c r="E160" s="4">
        <f>IFERROR(__xludf.DUMMYFUNCTION("""COMPUTED_VALUE"""),151.0)</f>
        <v>151</v>
      </c>
      <c r="F160" s="4">
        <f>IFERROR(__xludf.DUMMYFUNCTION("""COMPUTED_VALUE"""),527.0)</f>
        <v>527</v>
      </c>
      <c r="G160" s="4">
        <f>IFERROR(__xludf.DUMMYFUNCTION("""COMPUTED_VALUE"""),678.0)</f>
        <v>678</v>
      </c>
      <c r="H160" s="4">
        <f>IFERROR(__xludf.DUMMYFUNCTION("""COMPUTED_VALUE"""),4.51)</f>
        <v>4.51</v>
      </c>
      <c r="I160" s="4">
        <f>IFERROR(__xludf.DUMMYFUNCTION("""COMPUTED_VALUE"""),17.72)</f>
        <v>17.72</v>
      </c>
      <c r="J160" s="4">
        <f>IFERROR(__xludf.DUMMYFUNCTION("""COMPUTED_VALUE"""),10.72)</f>
        <v>10.72</v>
      </c>
      <c r="K160" s="8">
        <f>IFERROR(__xludf.DUMMYFUNCTION("""COMPUTED_VALUE"""),-0.0281)</f>
        <v>-0.0281</v>
      </c>
    </row>
    <row r="161" ht="15.75" customHeight="1">
      <c r="C161" s="4" t="str">
        <f>IFERROR(__xludf.DUMMYFUNCTION("""COMPUTED_VALUE"""),"Siria [+]")</f>
        <v>Siria [+]</v>
      </c>
      <c r="D161" s="4">
        <f>IFERROR(__xludf.DUMMYFUNCTION("""COMPUTED_VALUE"""),2015.0)</f>
        <v>2015</v>
      </c>
      <c r="E161" s="4">
        <f>IFERROR(__xludf.DUMMYFUNCTION("""COMPUTED_VALUE"""),90.0)</f>
        <v>90</v>
      </c>
      <c r="F161" s="4">
        <f>IFERROR(__xludf.DUMMYFUNCTION("""COMPUTED_VALUE"""),406.0)</f>
        <v>406</v>
      </c>
      <c r="G161" s="4">
        <f>IFERROR(__xludf.DUMMYFUNCTION("""COMPUTED_VALUE"""),495.0)</f>
        <v>495</v>
      </c>
      <c r="H161" s="4">
        <f>IFERROR(__xludf.DUMMYFUNCTION("""COMPUTED_VALUE"""),1.01)</f>
        <v>1.01</v>
      </c>
      <c r="I161" s="4">
        <f>IFERROR(__xludf.DUMMYFUNCTION("""COMPUTED_VALUE"""),4.47)</f>
        <v>4.47</v>
      </c>
      <c r="J161" s="4">
        <f>IFERROR(__xludf.DUMMYFUNCTION("""COMPUTED_VALUE"""),2.75)</f>
        <v>2.75</v>
      </c>
      <c r="K161" s="8">
        <f>IFERROR(__xludf.DUMMYFUNCTION("""COMPUTED_VALUE"""),0.0377)</f>
        <v>0.0377</v>
      </c>
    </row>
    <row r="162" ht="15.75" customHeight="1">
      <c r="C162" s="4" t="str">
        <f>IFERROR(__xludf.DUMMYFUNCTION("""COMPUTED_VALUE"""),"Eswatini [+]")</f>
        <v>Eswatini [+]</v>
      </c>
      <c r="D162" s="4">
        <f>IFERROR(__xludf.DUMMYFUNCTION("""COMPUTED_VALUE"""),2015.0)</f>
        <v>2015</v>
      </c>
      <c r="E162" s="4">
        <f>IFERROR(__xludf.DUMMYFUNCTION("""COMPUTED_VALUE"""),49.0)</f>
        <v>49</v>
      </c>
      <c r="F162" s="4">
        <f>IFERROR(__xludf.DUMMYFUNCTION("""COMPUTED_VALUE"""),140.0)</f>
        <v>140</v>
      </c>
      <c r="G162" s="4">
        <f>IFERROR(__xludf.DUMMYFUNCTION("""COMPUTED_VALUE"""),189.0)</f>
        <v>189</v>
      </c>
      <c r="H162" s="4">
        <f>IFERROR(__xludf.DUMMYFUNCTION("""COMPUTED_VALUE"""),8.53)</f>
        <v>8.53</v>
      </c>
      <c r="I162" s="4">
        <f>IFERROR(__xludf.DUMMYFUNCTION("""COMPUTED_VALUE"""),26.3)</f>
        <v>26.3</v>
      </c>
      <c r="J162" s="4">
        <f>IFERROR(__xludf.DUMMYFUNCTION("""COMPUTED_VALUE"""),17.51)</f>
        <v>17.51</v>
      </c>
      <c r="K162" s="8">
        <f>IFERROR(__xludf.DUMMYFUNCTION("""COMPUTED_VALUE"""),0.0092)</f>
        <v>0.0092</v>
      </c>
    </row>
    <row r="163" ht="15.75" customHeight="1">
      <c r="C163" s="4" t="str">
        <f>IFERROR(__xludf.DUMMYFUNCTION("""COMPUTED_VALUE"""),"Chad [+]")</f>
        <v>Chad [+]</v>
      </c>
      <c r="D163" s="4">
        <f>IFERROR(__xludf.DUMMYFUNCTION("""COMPUTED_VALUE"""),2015.0)</f>
        <v>2015</v>
      </c>
      <c r="E163" s="4">
        <f>IFERROR(__xludf.DUMMYFUNCTION("""COMPUTED_VALUE"""),321.0)</f>
        <v>321</v>
      </c>
      <c r="F163" s="4">
        <f>IFERROR(__xludf.DUMMYFUNCTION("""COMPUTED_VALUE"""),907.0)</f>
        <v>907</v>
      </c>
      <c r="G163" s="9">
        <f>IFERROR(__xludf.DUMMYFUNCTION("""COMPUTED_VALUE"""),1228.0)</f>
        <v>1228</v>
      </c>
      <c r="H163" s="4">
        <f>IFERROR(__xludf.DUMMYFUNCTION("""COMPUTED_VALUE"""),4.54)</f>
        <v>4.54</v>
      </c>
      <c r="I163" s="4">
        <f>IFERROR(__xludf.DUMMYFUNCTION("""COMPUTED_VALUE"""),12.88)</f>
        <v>12.88</v>
      </c>
      <c r="J163" s="4">
        <f>IFERROR(__xludf.DUMMYFUNCTION("""COMPUTED_VALUE"""),8.7)</f>
        <v>8.7</v>
      </c>
      <c r="K163" s="8">
        <f>IFERROR(__xludf.DUMMYFUNCTION("""COMPUTED_VALUE"""),0.0187)</f>
        <v>0.0187</v>
      </c>
    </row>
    <row r="164" ht="15.75" customHeight="1">
      <c r="C164" s="4" t="str">
        <f>IFERROR(__xludf.DUMMYFUNCTION("""COMPUTED_VALUE"""),"Togo [+]")</f>
        <v>Togo [+]</v>
      </c>
      <c r="D164" s="4">
        <f>IFERROR(__xludf.DUMMYFUNCTION("""COMPUTED_VALUE"""),2015.0)</f>
        <v>2015</v>
      </c>
      <c r="E164" s="4">
        <f>IFERROR(__xludf.DUMMYFUNCTION("""COMPUTED_VALUE"""),199.0)</f>
        <v>199</v>
      </c>
      <c r="F164" s="4">
        <f>IFERROR(__xludf.DUMMYFUNCTION("""COMPUTED_VALUE"""),498.0)</f>
        <v>498</v>
      </c>
      <c r="G164" s="4">
        <f>IFERROR(__xludf.DUMMYFUNCTION("""COMPUTED_VALUE"""),696.0)</f>
        <v>696</v>
      </c>
      <c r="H164" s="4">
        <f>IFERROR(__xludf.DUMMYFUNCTION("""COMPUTED_VALUE"""),5.4)</f>
        <v>5.4</v>
      </c>
      <c r="I164" s="4">
        <f>IFERROR(__xludf.DUMMYFUNCTION("""COMPUTED_VALUE"""),13.67)</f>
        <v>13.67</v>
      </c>
      <c r="J164" s="4">
        <f>IFERROR(__xludf.DUMMYFUNCTION("""COMPUTED_VALUE"""),9.51)</f>
        <v>9.51</v>
      </c>
      <c r="K164" s="8">
        <f>IFERROR(__xludf.DUMMYFUNCTION("""COMPUTED_VALUE"""),0.0096)</f>
        <v>0.0096</v>
      </c>
    </row>
    <row r="165" ht="15.75" customHeight="1">
      <c r="C165" s="4" t="str">
        <f>IFERROR(__xludf.DUMMYFUNCTION("""COMPUTED_VALUE"""),"Tailandia [+]")</f>
        <v>Tailandia [+]</v>
      </c>
      <c r="D165" s="4">
        <f>IFERROR(__xludf.DUMMYFUNCTION("""COMPUTED_VALUE"""),2015.0)</f>
        <v>2015</v>
      </c>
      <c r="E165" s="9">
        <f>IFERROR(__xludf.DUMMYFUNCTION("""COMPUTED_VALUE"""),3289.0)</f>
        <v>3289</v>
      </c>
      <c r="F165" s="9">
        <f>IFERROR(__xludf.DUMMYFUNCTION("""COMPUTED_VALUE"""),7575.0)</f>
        <v>7575</v>
      </c>
      <c r="G165" s="9">
        <f>IFERROR(__xludf.DUMMYFUNCTION("""COMPUTED_VALUE"""),10863.0)</f>
        <v>10863</v>
      </c>
      <c r="H165" s="4">
        <f>IFERROR(__xludf.DUMMYFUNCTION("""COMPUTED_VALUE"""),9.35)</f>
        <v>9.35</v>
      </c>
      <c r="I165" s="4">
        <f>IFERROR(__xludf.DUMMYFUNCTION("""COMPUTED_VALUE"""),22.57)</f>
        <v>22.57</v>
      </c>
      <c r="J165" s="4">
        <f>IFERROR(__xludf.DUMMYFUNCTION("""COMPUTED_VALUE"""),15.81)</f>
        <v>15.81</v>
      </c>
      <c r="K165" s="8">
        <f>IFERROR(__xludf.DUMMYFUNCTION("""COMPUTED_VALUE"""),-0.0143)</f>
        <v>-0.0143</v>
      </c>
    </row>
    <row r="166" ht="15.75" customHeight="1">
      <c r="C166" s="4" t="str">
        <f>IFERROR(__xludf.DUMMYFUNCTION("""COMPUTED_VALUE"""),"Tayikistán [+]")</f>
        <v>Tayikistán [+]</v>
      </c>
      <c r="D166" s="4">
        <f>IFERROR(__xludf.DUMMYFUNCTION("""COMPUTED_VALUE"""),2015.0)</f>
        <v>2015</v>
      </c>
      <c r="E166" s="4">
        <f>IFERROR(__xludf.DUMMYFUNCTION("""COMPUTED_VALUE"""),90.0)</f>
        <v>90</v>
      </c>
      <c r="F166" s="4">
        <f>IFERROR(__xludf.DUMMYFUNCTION("""COMPUTED_VALUE"""),248.0)</f>
        <v>248</v>
      </c>
      <c r="G166" s="4">
        <f>IFERROR(__xludf.DUMMYFUNCTION("""COMPUTED_VALUE"""),338.0)</f>
        <v>338</v>
      </c>
      <c r="H166" s="4">
        <f>IFERROR(__xludf.DUMMYFUNCTION("""COMPUTED_VALUE"""),2.16)</f>
        <v>2.16</v>
      </c>
      <c r="I166" s="4">
        <f>IFERROR(__xludf.DUMMYFUNCTION("""COMPUTED_VALUE"""),5.8)</f>
        <v>5.8</v>
      </c>
      <c r="J166" s="4">
        <f>IFERROR(__xludf.DUMMYFUNCTION("""COMPUTED_VALUE"""),4.0)</f>
        <v>4</v>
      </c>
      <c r="K166" s="8">
        <f>IFERROR(__xludf.DUMMYFUNCTION("""COMPUTED_VALUE"""),0.0204)</f>
        <v>0.0204</v>
      </c>
    </row>
    <row r="167" ht="15.75" customHeight="1">
      <c r="C167" s="4" t="str">
        <f>IFERROR(__xludf.DUMMYFUNCTION("""COMPUTED_VALUE"""),"Timor Oriental [+]")</f>
        <v>Timor Oriental [+]</v>
      </c>
      <c r="D167" s="4">
        <f>IFERROR(__xludf.DUMMYFUNCTION("""COMPUTED_VALUE"""),2015.0)</f>
        <v>2015</v>
      </c>
      <c r="E167" s="4">
        <f>IFERROR(__xludf.DUMMYFUNCTION("""COMPUTED_VALUE"""),27.0)</f>
        <v>27</v>
      </c>
      <c r="F167" s="4">
        <f>IFERROR(__xludf.DUMMYFUNCTION("""COMPUTED_VALUE"""),57.0)</f>
        <v>57</v>
      </c>
      <c r="G167" s="4">
        <f>IFERROR(__xludf.DUMMYFUNCTION("""COMPUTED_VALUE"""),84.0)</f>
        <v>84</v>
      </c>
      <c r="H167" s="4">
        <f>IFERROR(__xludf.DUMMYFUNCTION("""COMPUTED_VALUE"""),4.49)</f>
        <v>4.49</v>
      </c>
      <c r="I167" s="4">
        <f>IFERROR(__xludf.DUMMYFUNCTION("""COMPUTED_VALUE"""),9.47)</f>
        <v>9.47</v>
      </c>
      <c r="J167" s="4">
        <f>IFERROR(__xludf.DUMMYFUNCTION("""COMPUTED_VALUE"""),7.01)</f>
        <v>7.01</v>
      </c>
      <c r="K167" s="8">
        <f>IFERROR(__xludf.DUMMYFUNCTION("""COMPUTED_VALUE"""),-0.0715)</f>
        <v>-0.0715</v>
      </c>
    </row>
    <row r="168" ht="15.75" customHeight="1">
      <c r="C168" s="4" t="str">
        <f>IFERROR(__xludf.DUMMYFUNCTION("""COMPUTED_VALUE"""),"Turkmenistán [+]")</f>
        <v>Turkmenistán [+]</v>
      </c>
      <c r="D168" s="4">
        <f>IFERROR(__xludf.DUMMYFUNCTION("""COMPUTED_VALUE"""),2015.0)</f>
        <v>2015</v>
      </c>
      <c r="E168" s="4">
        <f>IFERROR(__xludf.DUMMYFUNCTION("""COMPUTED_VALUE"""),138.0)</f>
        <v>138</v>
      </c>
      <c r="F168" s="4">
        <f>IFERROR(__xludf.DUMMYFUNCTION("""COMPUTED_VALUE"""),401.0)</f>
        <v>401</v>
      </c>
      <c r="G168" s="4">
        <f>IFERROR(__xludf.DUMMYFUNCTION("""COMPUTED_VALUE"""),539.0)</f>
        <v>539</v>
      </c>
      <c r="H168" s="4">
        <f>IFERROR(__xludf.DUMMYFUNCTION("""COMPUTED_VALUE"""),4.9)</f>
        <v>4.9</v>
      </c>
      <c r="I168" s="4">
        <f>IFERROR(__xludf.DUMMYFUNCTION("""COMPUTED_VALUE"""),14.64)</f>
        <v>14.64</v>
      </c>
      <c r="J168" s="4">
        <f>IFERROR(__xludf.DUMMYFUNCTION("""COMPUTED_VALUE"""),9.69)</f>
        <v>9.69</v>
      </c>
      <c r="K168" s="8">
        <f>IFERROR(__xludf.DUMMYFUNCTION("""COMPUTED_VALUE"""),-0.0062)</f>
        <v>-0.0062</v>
      </c>
    </row>
    <row r="169" ht="15.75" customHeight="1">
      <c r="C169" s="4" t="str">
        <f>IFERROR(__xludf.DUMMYFUNCTION("""COMPUTED_VALUE"""),"Túnez [+]")</f>
        <v>Túnez [+]</v>
      </c>
      <c r="D169" s="4">
        <f>IFERROR(__xludf.DUMMYFUNCTION("""COMPUTED_VALUE"""),2015.0)</f>
        <v>2015</v>
      </c>
      <c r="E169" s="4">
        <f>IFERROR(__xludf.DUMMYFUNCTION("""COMPUTED_VALUE"""),250.0)</f>
        <v>250</v>
      </c>
      <c r="F169" s="4">
        <f>IFERROR(__xludf.DUMMYFUNCTION("""COMPUTED_VALUE"""),364.0)</f>
        <v>364</v>
      </c>
      <c r="G169" s="4">
        <f>IFERROR(__xludf.DUMMYFUNCTION("""COMPUTED_VALUE"""),614.0)</f>
        <v>614</v>
      </c>
      <c r="H169" s="4">
        <f>IFERROR(__xludf.DUMMYFUNCTION("""COMPUTED_VALUE"""),4.43)</f>
        <v>4.43</v>
      </c>
      <c r="I169" s="4">
        <f>IFERROR(__xludf.DUMMYFUNCTION("""COMPUTED_VALUE"""),6.57)</f>
        <v>6.57</v>
      </c>
      <c r="J169" s="4">
        <f>IFERROR(__xludf.DUMMYFUNCTION("""COMPUTED_VALUE"""),5.44)</f>
        <v>5.44</v>
      </c>
      <c r="K169" s="8">
        <f>IFERROR(__xludf.DUMMYFUNCTION("""COMPUTED_VALUE"""),-0.0216)</f>
        <v>-0.0216</v>
      </c>
    </row>
    <row r="170" ht="15.75" customHeight="1">
      <c r="C170" s="4" t="str">
        <f>IFERROR(__xludf.DUMMYFUNCTION("""COMPUTED_VALUE"""),"Tonga [+]")</f>
        <v>Tonga [+]</v>
      </c>
      <c r="D170" s="4">
        <f>IFERROR(__xludf.DUMMYFUNCTION("""COMPUTED_VALUE"""),2015.0)</f>
        <v>2015</v>
      </c>
      <c r="E170" s="4">
        <f>IFERROR(__xludf.DUMMYFUNCTION("""COMPUTED_VALUE"""),2.0)</f>
        <v>2</v>
      </c>
      <c r="F170" s="4">
        <f>IFERROR(__xludf.DUMMYFUNCTION("""COMPUTED_VALUE"""),2.0)</f>
        <v>2</v>
      </c>
      <c r="G170" s="4">
        <f>IFERROR(__xludf.DUMMYFUNCTION("""COMPUTED_VALUE"""),4.0)</f>
        <v>4</v>
      </c>
      <c r="H170" s="4">
        <f>IFERROR(__xludf.DUMMYFUNCTION("""COMPUTED_VALUE"""),3.09)</f>
        <v>3.09</v>
      </c>
      <c r="I170" s="4">
        <f>IFERROR(__xludf.DUMMYFUNCTION("""COMPUTED_VALUE"""),4.28)</f>
        <v>4.28</v>
      </c>
      <c r="J170" s="4">
        <f>IFERROR(__xludf.DUMMYFUNCTION("""COMPUTED_VALUE"""),3.64)</f>
        <v>3.64</v>
      </c>
      <c r="K170" s="8">
        <f>IFERROR(__xludf.DUMMYFUNCTION("""COMPUTED_VALUE"""),-0.0055)</f>
        <v>-0.0055</v>
      </c>
    </row>
    <row r="171" ht="15.75" customHeight="1">
      <c r="C171" s="4" t="str">
        <f>IFERROR(__xludf.DUMMYFUNCTION("""COMPUTED_VALUE"""),"Türkiye [+]")</f>
        <v>Türkiye [+]</v>
      </c>
      <c r="D171" s="4">
        <f>IFERROR(__xludf.DUMMYFUNCTION("""COMPUTED_VALUE"""),2018.0)</f>
        <v>2018</v>
      </c>
      <c r="E171" s="4">
        <f>IFERROR(__xludf.DUMMYFUNCTION("""COMPUTED_VALUE"""),813.0)</f>
        <v>813</v>
      </c>
      <c r="F171" s="9">
        <f>IFERROR(__xludf.DUMMYFUNCTION("""COMPUTED_VALUE"""),2526.0)</f>
        <v>2526</v>
      </c>
      <c r="G171" s="9">
        <f>IFERROR(__xludf.DUMMYFUNCTION("""COMPUTED_VALUE"""),3339.0)</f>
        <v>3339</v>
      </c>
      <c r="H171" s="4">
        <f>IFERROR(__xludf.DUMMYFUNCTION("""COMPUTED_VALUE"""),2.01)</f>
        <v>2.01</v>
      </c>
      <c r="I171" s="4">
        <f>IFERROR(__xludf.DUMMYFUNCTION("""COMPUTED_VALUE"""),6.19)</f>
        <v>6.19</v>
      </c>
      <c r="J171" s="4">
        <f>IFERROR(__xludf.DUMMYFUNCTION("""COMPUTED_VALUE"""),4.1)</f>
        <v>4.1</v>
      </c>
      <c r="K171" s="8">
        <f>IFERROR(__xludf.DUMMYFUNCTION("""COMPUTED_VALUE"""),0.2312)</f>
        <v>0.2312</v>
      </c>
    </row>
    <row r="172" ht="15.75" customHeight="1">
      <c r="C172" s="4" t="str">
        <f>IFERROR(__xludf.DUMMYFUNCTION("""COMPUTED_VALUE"""),"Trinidad y Tobago [+]")</f>
        <v>Trinidad y Tobago [+]</v>
      </c>
      <c r="D172" s="4">
        <f>IFERROR(__xludf.DUMMYFUNCTION("""COMPUTED_VALUE"""),2015.0)</f>
        <v>2015</v>
      </c>
      <c r="E172" s="4">
        <f>IFERROR(__xludf.DUMMYFUNCTION("""COMPUTED_VALUE"""),33.0)</f>
        <v>33</v>
      </c>
      <c r="F172" s="4">
        <f>IFERROR(__xludf.DUMMYFUNCTION("""COMPUTED_VALUE"""),165.0)</f>
        <v>165</v>
      </c>
      <c r="G172" s="4">
        <f>IFERROR(__xludf.DUMMYFUNCTION("""COMPUTED_VALUE"""),198.0)</f>
        <v>198</v>
      </c>
      <c r="H172" s="4">
        <f>IFERROR(__xludf.DUMMYFUNCTION("""COMPUTED_VALUE"""),4.78)</f>
        <v>4.78</v>
      </c>
      <c r="I172" s="4">
        <f>IFERROR(__xludf.DUMMYFUNCTION("""COMPUTED_VALUE"""),24.31)</f>
        <v>24.31</v>
      </c>
      <c r="J172" s="4">
        <f>IFERROR(__xludf.DUMMYFUNCTION("""COMPUTED_VALUE"""),14.44)</f>
        <v>14.44</v>
      </c>
      <c r="K172" s="8">
        <f>IFERROR(__xludf.DUMMYFUNCTION("""COMPUTED_VALUE"""),0.0056)</f>
        <v>0.0056</v>
      </c>
    </row>
    <row r="173" ht="15.75" customHeight="1">
      <c r="C173" s="4" t="str">
        <f>IFERROR(__xludf.DUMMYFUNCTION("""COMPUTED_VALUE"""),"Tanzania [+]")</f>
        <v>Tanzania [+]</v>
      </c>
      <c r="D173" s="4">
        <f>IFERROR(__xludf.DUMMYFUNCTION("""COMPUTED_VALUE"""),2015.0)</f>
        <v>2015</v>
      </c>
      <c r="E173" s="4">
        <f>IFERROR(__xludf.DUMMYFUNCTION("""COMPUTED_VALUE"""),965.0)</f>
        <v>965</v>
      </c>
      <c r="F173" s="9">
        <f>IFERROR(__xludf.DUMMYFUNCTION("""COMPUTED_VALUE"""),2769.0)</f>
        <v>2769</v>
      </c>
      <c r="G173" s="9">
        <f>IFERROR(__xludf.DUMMYFUNCTION("""COMPUTED_VALUE"""),3735.0)</f>
        <v>3735</v>
      </c>
      <c r="H173" s="4">
        <f>IFERROR(__xludf.DUMMYFUNCTION("""COMPUTED_VALUE"""),3.74)</f>
        <v>3.74</v>
      </c>
      <c r="I173" s="4">
        <f>IFERROR(__xludf.DUMMYFUNCTION("""COMPUTED_VALUE"""),10.78)</f>
        <v>10.78</v>
      </c>
      <c r="J173" s="4">
        <f>IFERROR(__xludf.DUMMYFUNCTION("""COMPUTED_VALUE"""),7.25)</f>
        <v>7.25</v>
      </c>
      <c r="K173" s="8">
        <f>IFERROR(__xludf.DUMMYFUNCTION("""COMPUTED_VALUE"""),0.0042)</f>
        <v>0.0042</v>
      </c>
    </row>
    <row r="174" ht="15.75" customHeight="1">
      <c r="C174" s="4" t="str">
        <f>IFERROR(__xludf.DUMMYFUNCTION("""COMPUTED_VALUE"""),"Ucrania [+]")</f>
        <v>Ucrania [+]</v>
      </c>
      <c r="D174" s="4">
        <f>IFERROR(__xludf.DUMMYFUNCTION("""COMPUTED_VALUE"""),2015.0)</f>
        <v>2015</v>
      </c>
      <c r="E174" s="9">
        <f>IFERROR(__xludf.DUMMYFUNCTION("""COMPUTED_VALUE"""),1960.0)</f>
        <v>1960</v>
      </c>
      <c r="F174" s="9">
        <f>IFERROR(__xludf.DUMMYFUNCTION("""COMPUTED_VALUE"""),7064.0)</f>
        <v>7064</v>
      </c>
      <c r="G174" s="9">
        <f>IFERROR(__xludf.DUMMYFUNCTION("""COMPUTED_VALUE"""),9024.0)</f>
        <v>9024</v>
      </c>
      <c r="H174" s="4">
        <f>IFERROR(__xludf.DUMMYFUNCTION("""COMPUTED_VALUE"""),8.57)</f>
        <v>8.57</v>
      </c>
      <c r="I174" s="4">
        <f>IFERROR(__xludf.DUMMYFUNCTION("""COMPUTED_VALUE"""),35.82)</f>
        <v>35.82</v>
      </c>
      <c r="J174" s="4">
        <f>IFERROR(__xludf.DUMMYFUNCTION("""COMPUTED_VALUE"""),21.19)</f>
        <v>21.19</v>
      </c>
      <c r="K174" s="8">
        <f>IFERROR(__xludf.DUMMYFUNCTION("""COMPUTED_VALUE"""),0.0262)</f>
        <v>0.0262</v>
      </c>
    </row>
    <row r="175" ht="15.75" customHeight="1">
      <c r="C175" s="4" t="str">
        <f>IFERROR(__xludf.DUMMYFUNCTION("""COMPUTED_VALUE"""),"Uganda [+]")</f>
        <v>Uganda [+]</v>
      </c>
      <c r="D175" s="4">
        <f>IFERROR(__xludf.DUMMYFUNCTION("""COMPUTED_VALUE"""),2015.0)</f>
        <v>2015</v>
      </c>
      <c r="E175" s="4">
        <f>IFERROR(__xludf.DUMMYFUNCTION("""COMPUTED_VALUE"""),868.0)</f>
        <v>868</v>
      </c>
      <c r="F175" s="9">
        <f>IFERROR(__xludf.DUMMYFUNCTION("""COMPUTED_VALUE"""),1923.0)</f>
        <v>1923</v>
      </c>
      <c r="G175" s="9">
        <f>IFERROR(__xludf.DUMMYFUNCTION("""COMPUTED_VALUE"""),2791.0)</f>
        <v>2791</v>
      </c>
      <c r="H175" s="4">
        <f>IFERROR(__xludf.DUMMYFUNCTION("""COMPUTED_VALUE"""),4.46)</f>
        <v>4.46</v>
      </c>
      <c r="I175" s="4">
        <f>IFERROR(__xludf.DUMMYFUNCTION("""COMPUTED_VALUE"""),10.24)</f>
        <v>10.24</v>
      </c>
      <c r="J175" s="4">
        <f>IFERROR(__xludf.DUMMYFUNCTION("""COMPUTED_VALUE"""),7.86)</f>
        <v>7.86</v>
      </c>
      <c r="K175" s="8">
        <f>IFERROR(__xludf.DUMMYFUNCTION("""COMPUTED_VALUE"""),0.0064)</f>
        <v>0.0064</v>
      </c>
    </row>
    <row r="176" ht="15.75" customHeight="1">
      <c r="C176" s="4" t="str">
        <f>IFERROR(__xludf.DUMMYFUNCTION("""COMPUTED_VALUE"""),"Uruguay [+]")</f>
        <v>Uruguay [+]</v>
      </c>
      <c r="D176" s="4">
        <f>IFERROR(__xludf.DUMMYFUNCTION("""COMPUTED_VALUE"""),2015.0)</f>
        <v>2015</v>
      </c>
      <c r="E176" s="4">
        <f>IFERROR(__xludf.DUMMYFUNCTION("""COMPUTED_VALUE"""),129.0)</f>
        <v>129</v>
      </c>
      <c r="F176" s="4">
        <f>IFERROR(__xludf.DUMMYFUNCTION("""COMPUTED_VALUE"""),454.0)</f>
        <v>454</v>
      </c>
      <c r="G176" s="4">
        <f>IFERROR(__xludf.DUMMYFUNCTION("""COMPUTED_VALUE"""),583.0)</f>
        <v>583</v>
      </c>
      <c r="H176" s="4">
        <f>IFERROR(__xludf.DUMMYFUNCTION("""COMPUTED_VALUE"""),7.3)</f>
        <v>7.3</v>
      </c>
      <c r="I176" s="4">
        <f>IFERROR(__xludf.DUMMYFUNCTION("""COMPUTED_VALUE"""),27.57)</f>
        <v>27.57</v>
      </c>
      <c r="J176" s="4">
        <f>IFERROR(__xludf.DUMMYFUNCTION("""COMPUTED_VALUE"""),16.8)</f>
        <v>16.8</v>
      </c>
      <c r="K176" s="8">
        <f>IFERROR(__xludf.DUMMYFUNCTION("""COMPUTED_VALUE"""),-0.021)</f>
        <v>-0.021</v>
      </c>
    </row>
    <row r="177" ht="15.75" customHeight="1">
      <c r="C177" s="4" t="str">
        <f>IFERROR(__xludf.DUMMYFUNCTION("""COMPUTED_VALUE"""),"Uzbekistán [+]")</f>
        <v>Uzbekistán [+]</v>
      </c>
      <c r="D177" s="4">
        <f>IFERROR(__xludf.DUMMYFUNCTION("""COMPUTED_VALUE"""),2015.0)</f>
        <v>2015</v>
      </c>
      <c r="E177" s="4">
        <f>IFERROR(__xludf.DUMMYFUNCTION("""COMPUTED_VALUE"""),835.0)</f>
        <v>835</v>
      </c>
      <c r="F177" s="9">
        <f>IFERROR(__xludf.DUMMYFUNCTION("""COMPUTED_VALUE"""),1957.0)</f>
        <v>1957</v>
      </c>
      <c r="G177" s="9">
        <f>IFERROR(__xludf.DUMMYFUNCTION("""COMPUTED_VALUE"""),2793.0)</f>
        <v>2793</v>
      </c>
      <c r="H177" s="4">
        <f>IFERROR(__xludf.DUMMYFUNCTION("""COMPUTED_VALUE"""),5.32)</f>
        <v>5.32</v>
      </c>
      <c r="I177" s="4">
        <f>IFERROR(__xludf.DUMMYFUNCTION("""COMPUTED_VALUE"""),12.55)</f>
        <v>12.55</v>
      </c>
      <c r="J177" s="4">
        <f>IFERROR(__xludf.DUMMYFUNCTION("""COMPUTED_VALUE"""),9.0)</f>
        <v>9</v>
      </c>
      <c r="K177" s="8">
        <f>IFERROR(__xludf.DUMMYFUNCTION("""COMPUTED_VALUE"""),-0.0731)</f>
        <v>-0.0731</v>
      </c>
    </row>
    <row r="178" ht="15.75" customHeight="1">
      <c r="C178" s="4" t="str">
        <f>IFERROR(__xludf.DUMMYFUNCTION("""COMPUTED_VALUE"""),"San Vicente y las Granadinas [+]")</f>
        <v>San Vicente y las Granadinas [+]</v>
      </c>
      <c r="D178" s="4">
        <f>IFERROR(__xludf.DUMMYFUNCTION("""COMPUTED_VALUE"""),2015.0)</f>
        <v>2015</v>
      </c>
      <c r="E178" s="4">
        <f>IFERROR(__xludf.DUMMYFUNCTION("""COMPUTED_VALUE"""),0.0)</f>
        <v>0</v>
      </c>
      <c r="F178" s="4">
        <f>IFERROR(__xludf.DUMMYFUNCTION("""COMPUTED_VALUE"""),3.0)</f>
        <v>3</v>
      </c>
      <c r="G178" s="4">
        <f>IFERROR(__xludf.DUMMYFUNCTION("""COMPUTED_VALUE"""),3.0)</f>
        <v>3</v>
      </c>
      <c r="H178" s="4">
        <f>IFERROR(__xludf.DUMMYFUNCTION("""COMPUTED_VALUE"""),0.44)</f>
        <v>0.44</v>
      </c>
      <c r="I178" s="4">
        <f>IFERROR(__xludf.DUMMYFUNCTION("""COMPUTED_VALUE"""),4.84)</f>
        <v>4.84</v>
      </c>
      <c r="J178" s="4">
        <f>IFERROR(__xludf.DUMMYFUNCTION("""COMPUTED_VALUE"""),2.66)</f>
        <v>2.66</v>
      </c>
      <c r="K178" s="8">
        <f>IFERROR(__xludf.DUMMYFUNCTION("""COMPUTED_VALUE"""),1.2735)</f>
        <v>1.2735</v>
      </c>
    </row>
    <row r="179" ht="15.75" customHeight="1">
      <c r="C179" s="4" t="str">
        <f>IFERROR(__xludf.DUMMYFUNCTION("""COMPUTED_VALUE"""),"Venezuela [+]")</f>
        <v>Venezuela [+]</v>
      </c>
      <c r="D179" s="4">
        <f>IFERROR(__xludf.DUMMYFUNCTION("""COMPUTED_VALUE"""),2015.0)</f>
        <v>2015</v>
      </c>
      <c r="E179" s="4">
        <f>IFERROR(__xludf.DUMMYFUNCTION("""COMPUTED_VALUE"""),162.0)</f>
        <v>162</v>
      </c>
      <c r="F179" s="4">
        <f>IFERROR(__xludf.DUMMYFUNCTION("""COMPUTED_VALUE"""),762.0)</f>
        <v>762</v>
      </c>
      <c r="G179" s="4">
        <f>IFERROR(__xludf.DUMMYFUNCTION("""COMPUTED_VALUE"""),924.0)</f>
        <v>924</v>
      </c>
      <c r="H179" s="4">
        <f>IFERROR(__xludf.DUMMYFUNCTION("""COMPUTED_VALUE"""),1.07)</f>
        <v>1.07</v>
      </c>
      <c r="I179" s="4">
        <f>IFERROR(__xludf.DUMMYFUNCTION("""COMPUTED_VALUE"""),5.1)</f>
        <v>5.1</v>
      </c>
      <c r="J179" s="4">
        <f>IFERROR(__xludf.DUMMYFUNCTION("""COMPUTED_VALUE"""),3.07)</f>
        <v>3.07</v>
      </c>
      <c r="K179" s="8">
        <f>IFERROR(__xludf.DUMMYFUNCTION("""COMPUTED_VALUE"""),0.0033)</f>
        <v>0.0033</v>
      </c>
    </row>
    <row r="180" ht="15.75" customHeight="1">
      <c r="C180" s="4" t="str">
        <f>IFERROR(__xludf.DUMMYFUNCTION("""COMPUTED_VALUE"""),"Viet Nam [+]")</f>
        <v>Viet Nam [+]</v>
      </c>
      <c r="D180" s="4">
        <f>IFERROR(__xludf.DUMMYFUNCTION("""COMPUTED_VALUE"""),2015.0)</f>
        <v>2015</v>
      </c>
      <c r="E180" s="9">
        <f>IFERROR(__xludf.DUMMYFUNCTION("""COMPUTED_VALUE"""),1749.0)</f>
        <v>1749</v>
      </c>
      <c r="F180" s="9">
        <f>IFERROR(__xludf.DUMMYFUNCTION("""COMPUTED_VALUE"""),5160.0)</f>
        <v>5160</v>
      </c>
      <c r="G180" s="9">
        <f>IFERROR(__xludf.DUMMYFUNCTION("""COMPUTED_VALUE"""),6910.0)</f>
        <v>6910</v>
      </c>
      <c r="H180" s="4">
        <f>IFERROR(__xludf.DUMMYFUNCTION("""COMPUTED_VALUE"""),3.76)</f>
        <v>3.76</v>
      </c>
      <c r="I180" s="4">
        <f>IFERROR(__xludf.DUMMYFUNCTION("""COMPUTED_VALUE"""),11.17)</f>
        <v>11.17</v>
      </c>
      <c r="J180" s="4">
        <f>IFERROR(__xludf.DUMMYFUNCTION("""COMPUTED_VALUE"""),7.53)</f>
        <v>7.53</v>
      </c>
      <c r="K180" s="8">
        <f>IFERROR(__xludf.DUMMYFUNCTION("""COMPUTED_VALUE"""),0.0203)</f>
        <v>0.0203</v>
      </c>
    </row>
    <row r="181" ht="15.75" customHeight="1">
      <c r="C181" s="4" t="str">
        <f>IFERROR(__xludf.DUMMYFUNCTION("""COMPUTED_VALUE"""),"Vanuatu [+]")</f>
        <v>Vanuatu [+]</v>
      </c>
      <c r="D181" s="4">
        <f>IFERROR(__xludf.DUMMYFUNCTION("""COMPUTED_VALUE"""),2015.0)</f>
        <v>2015</v>
      </c>
      <c r="E181" s="4">
        <f>IFERROR(__xludf.DUMMYFUNCTION("""COMPUTED_VALUE"""),4.0)</f>
        <v>4</v>
      </c>
      <c r="F181" s="4">
        <f>IFERROR(__xludf.DUMMYFUNCTION("""COMPUTED_VALUE"""),12.0)</f>
        <v>12</v>
      </c>
      <c r="G181" s="4">
        <f>IFERROR(__xludf.DUMMYFUNCTION("""COMPUTED_VALUE"""),15.0)</f>
        <v>15</v>
      </c>
      <c r="H181" s="4">
        <f>IFERROR(__xludf.DUMMYFUNCTION("""COMPUTED_VALUE"""),2.73)</f>
        <v>2.73</v>
      </c>
      <c r="I181" s="4">
        <f>IFERROR(__xludf.DUMMYFUNCTION("""COMPUTED_VALUE"""),8.48)</f>
        <v>8.48</v>
      </c>
      <c r="J181" s="4">
        <f>IFERROR(__xludf.DUMMYFUNCTION("""COMPUTED_VALUE"""),5.69)</f>
        <v>5.69</v>
      </c>
      <c r="K181" s="8">
        <f>IFERROR(__xludf.DUMMYFUNCTION("""COMPUTED_VALUE"""),-0.0156)</f>
        <v>-0.0156</v>
      </c>
    </row>
    <row r="182" ht="15.75" customHeight="1">
      <c r="C182" s="4" t="str">
        <f>IFERROR(__xludf.DUMMYFUNCTION("""COMPUTED_VALUE"""),"Samoa [+]")</f>
        <v>Samoa [+]</v>
      </c>
      <c r="D182" s="4">
        <f>IFERROR(__xludf.DUMMYFUNCTION("""COMPUTED_VALUE"""),2015.0)</f>
        <v>2015</v>
      </c>
      <c r="E182" s="4">
        <f>IFERROR(__xludf.DUMMYFUNCTION("""COMPUTED_VALUE"""),2.0)</f>
        <v>2</v>
      </c>
      <c r="F182" s="4">
        <f>IFERROR(__xludf.DUMMYFUNCTION("""COMPUTED_VALUE"""),9.0)</f>
        <v>9</v>
      </c>
      <c r="G182" s="4">
        <f>IFERROR(__xludf.DUMMYFUNCTION("""COMPUTED_VALUE"""),11.0)</f>
        <v>11</v>
      </c>
      <c r="H182" s="4">
        <f>IFERROR(__xludf.DUMMYFUNCTION("""COMPUTED_VALUE"""),2.39)</f>
        <v>2.39</v>
      </c>
      <c r="I182" s="4">
        <f>IFERROR(__xludf.DUMMYFUNCTION("""COMPUTED_VALUE"""),8.82)</f>
        <v>8.82</v>
      </c>
      <c r="J182" s="4">
        <f>IFERROR(__xludf.DUMMYFUNCTION("""COMPUTED_VALUE"""),5.7)</f>
        <v>5.7</v>
      </c>
      <c r="K182" s="8">
        <f>IFERROR(__xludf.DUMMYFUNCTION("""COMPUTED_VALUE"""),-0.0206)</f>
        <v>-0.0206</v>
      </c>
    </row>
    <row r="183" ht="15.75" customHeight="1">
      <c r="C183" s="4" t="str">
        <f>IFERROR(__xludf.DUMMYFUNCTION("""COMPUTED_VALUE"""),"Yemen [+]")</f>
        <v>Yemen [+]</v>
      </c>
      <c r="D183" s="4">
        <f>IFERROR(__xludf.DUMMYFUNCTION("""COMPUTED_VALUE"""),2015.0)</f>
        <v>2015</v>
      </c>
      <c r="E183" s="4">
        <f>IFERROR(__xludf.DUMMYFUNCTION("""COMPUTED_VALUE"""),767.0)</f>
        <v>767</v>
      </c>
      <c r="F183" s="9">
        <f>IFERROR(__xludf.DUMMYFUNCTION("""COMPUTED_VALUE"""),1436.0)</f>
        <v>1436</v>
      </c>
      <c r="G183" s="9">
        <f>IFERROR(__xludf.DUMMYFUNCTION("""COMPUTED_VALUE"""),2204.0)</f>
        <v>2204</v>
      </c>
      <c r="H183" s="4">
        <f>IFERROR(__xludf.DUMMYFUNCTION("""COMPUTED_VALUE"""),5.84)</f>
        <v>5.84</v>
      </c>
      <c r="I183" s="4">
        <f>IFERROR(__xludf.DUMMYFUNCTION("""COMPUTED_VALUE"""),10.75)</f>
        <v>10.75</v>
      </c>
      <c r="J183" s="4">
        <f>IFERROR(__xludf.DUMMYFUNCTION("""COMPUTED_VALUE"""),8.19)</f>
        <v>8.19</v>
      </c>
      <c r="K183" s="8">
        <f>IFERROR(__xludf.DUMMYFUNCTION("""COMPUTED_VALUE"""),-0.0036)</f>
        <v>-0.0036</v>
      </c>
    </row>
    <row r="184" ht="15.75" customHeight="1">
      <c r="C184" s="4" t="str">
        <f>IFERROR(__xludf.DUMMYFUNCTION("""COMPUTED_VALUE"""),"Sudáfrica [+]")</f>
        <v>Sudáfrica [+]</v>
      </c>
      <c r="D184" s="4">
        <f>IFERROR(__xludf.DUMMYFUNCTION("""COMPUTED_VALUE"""),2018.0)</f>
        <v>2018</v>
      </c>
      <c r="E184" s="4">
        <f>IFERROR(__xludf.DUMMYFUNCTION("""COMPUTED_VALUE"""),82.0)</f>
        <v>82</v>
      </c>
      <c r="F184" s="4">
        <f>IFERROR(__xludf.DUMMYFUNCTION("""COMPUTED_VALUE"""),232.0)</f>
        <v>232</v>
      </c>
      <c r="G184" s="4">
        <f>IFERROR(__xludf.DUMMYFUNCTION("""COMPUTED_VALUE"""),314.0)</f>
        <v>314</v>
      </c>
      <c r="H184" s="4">
        <f>IFERROR(__xludf.DUMMYFUNCTION("""COMPUTED_VALUE"""),0.3)</f>
        <v>0.3</v>
      </c>
      <c r="I184" s="4">
        <f>IFERROR(__xludf.DUMMYFUNCTION("""COMPUTED_VALUE"""),0.8)</f>
        <v>0.8</v>
      </c>
      <c r="J184" s="4">
        <f>IFERROR(__xludf.DUMMYFUNCTION("""COMPUTED_VALUE"""),0.5)</f>
        <v>0.5</v>
      </c>
      <c r="K184" s="8">
        <f>IFERROR(__xludf.DUMMYFUNCTION("""COMPUTED_VALUE"""),-0.2857)</f>
        <v>-0.2857</v>
      </c>
    </row>
    <row r="185" ht="15.75" customHeight="1">
      <c r="C185" s="4" t="str">
        <f>IFERROR(__xludf.DUMMYFUNCTION("""COMPUTED_VALUE"""),"Zambia [+]")</f>
        <v>Zambia [+]</v>
      </c>
      <c r="D185" s="4">
        <f>IFERROR(__xludf.DUMMYFUNCTION("""COMPUTED_VALUE"""),2015.0)</f>
        <v>2015</v>
      </c>
      <c r="E185" s="4">
        <f>IFERROR(__xludf.DUMMYFUNCTION("""COMPUTED_VALUE"""),239.0)</f>
        <v>239</v>
      </c>
      <c r="F185" s="4">
        <f>IFERROR(__xludf.DUMMYFUNCTION("""COMPUTED_VALUE"""),799.0)</f>
        <v>799</v>
      </c>
      <c r="G185" s="9">
        <f>IFERROR(__xludf.DUMMYFUNCTION("""COMPUTED_VALUE"""),1038.0)</f>
        <v>1038</v>
      </c>
      <c r="H185" s="4">
        <f>IFERROR(__xludf.DUMMYFUNCTION("""COMPUTED_VALUE"""),2.98)</f>
        <v>2.98</v>
      </c>
      <c r="I185" s="4">
        <f>IFERROR(__xludf.DUMMYFUNCTION("""COMPUTED_VALUE"""),10.17)</f>
        <v>10.17</v>
      </c>
      <c r="J185" s="4">
        <f>IFERROR(__xludf.DUMMYFUNCTION("""COMPUTED_VALUE"""),6.4)</f>
        <v>6.4</v>
      </c>
      <c r="K185" s="8">
        <f>IFERROR(__xludf.DUMMYFUNCTION("""COMPUTED_VALUE"""),-0.0154)</f>
        <v>-0.0154</v>
      </c>
    </row>
    <row r="186" ht="15.75" customHeight="1">
      <c r="C186" s="4" t="str">
        <f>IFERROR(__xludf.DUMMYFUNCTION("""COMPUTED_VALUE"""),"Zimbabue [+]")</f>
        <v>Zimbabue [+]</v>
      </c>
      <c r="D186" s="4">
        <f>IFERROR(__xludf.DUMMYFUNCTION("""COMPUTED_VALUE"""),2015.0)</f>
        <v>2015</v>
      </c>
      <c r="E186" s="4">
        <f>IFERROR(__xludf.DUMMYFUNCTION("""COMPUTED_VALUE"""),439.0)</f>
        <v>439</v>
      </c>
      <c r="F186" s="9">
        <f>IFERROR(__xludf.DUMMYFUNCTION("""COMPUTED_VALUE"""),1202.0)</f>
        <v>1202</v>
      </c>
      <c r="G186" s="9">
        <f>IFERROR(__xludf.DUMMYFUNCTION("""COMPUTED_VALUE"""),1641.0)</f>
        <v>1641</v>
      </c>
      <c r="H186" s="4">
        <f>IFERROR(__xludf.DUMMYFUNCTION("""COMPUTED_VALUE"""),6.06)</f>
        <v>6.06</v>
      </c>
      <c r="I186" s="4">
        <f>IFERROR(__xludf.DUMMYFUNCTION("""COMPUTED_VALUE"""),18.29)</f>
        <v>18.29</v>
      </c>
      <c r="J186" s="4">
        <f>IFERROR(__xludf.DUMMYFUNCTION("""COMPUTED_VALUE"""),11.71)</f>
        <v>11.71</v>
      </c>
      <c r="K186" s="8">
        <f>IFERROR(__xludf.DUMMYFUNCTION("""COMPUTED_VALUE"""),-0.0126)</f>
        <v>-0.0126</v>
      </c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0" t="s">
        <v>2</v>
      </c>
      <c r="B1" s="2" t="str">
        <f>SUBSTITUTE(C1,"[+]","")</f>
        <v/>
      </c>
    </row>
    <row r="2" ht="15.75" customHeight="1">
      <c r="B2" s="3"/>
      <c r="C2" s="2" t="str">
        <f>IFERROR(__xludf.DUMMYFUNCTION("IMPORTXML(A1, ""//table[1]/thead/tr"")"),"Países")</f>
        <v>Países</v>
      </c>
      <c r="D2" s="2" t="str">
        <f>IFERROR(__xludf.DUMMYFUNCTION("""COMPUTED_VALUE"""),"Fecha")</f>
        <v>Fecha</v>
      </c>
      <c r="E2" s="2" t="str">
        <f>IFERROR(__xludf.DUMMYFUNCTION("""COMPUTED_VALUE"""),"Suicidios mujeres")</f>
        <v>Suicidios mujeres</v>
      </c>
      <c r="F2" s="2" t="str">
        <f>IFERROR(__xludf.DUMMYFUNCTION("""COMPUTED_VALUE"""),"Suicidios hombres")</f>
        <v>Suicidios hombres</v>
      </c>
      <c r="G2" s="2" t="str">
        <f>IFERROR(__xludf.DUMMYFUNCTION("""COMPUTED_VALUE"""),"Suicidios ")</f>
        <v>Suicidios </v>
      </c>
      <c r="H2" s="2" t="str">
        <f>IFERROR(__xludf.DUMMYFUNCTION("""COMPUTED_VALUE"""),"Suicidios tasa femenina")</f>
        <v>Suicidios tasa femenina</v>
      </c>
      <c r="I2" s="2" t="str">
        <f>IFERROR(__xludf.DUMMYFUNCTION("""COMPUTED_VALUE"""),"Suicidios tasa masculina")</f>
        <v>Suicidios tasa masculina</v>
      </c>
      <c r="J2" s="4" t="str">
        <f>IFERROR(__xludf.DUMMYFUNCTION("""COMPUTED_VALUE"""),"Suicidios por 100.000")</f>
        <v>Suicidios por 100.000</v>
      </c>
      <c r="K2" s="4" t="str">
        <f>IFERROR(__xludf.DUMMYFUNCTION("""COMPUTED_VALUE"""),"Var.")</f>
        <v>Var.</v>
      </c>
    </row>
    <row r="3" ht="15.75" customHeight="1">
      <c r="C3" s="2" t="str">
        <f>IFERROR(__xludf.DUMMYFUNCTION("IMPORTXML(A1, ""//table[1]/tbody/tr"")"),"España [+]")</f>
        <v>España [+]</v>
      </c>
      <c r="D3" s="5">
        <f>IFERROR(__xludf.DUMMYFUNCTION("""COMPUTED_VALUE"""),2016.0)</f>
        <v>2016</v>
      </c>
      <c r="E3" s="2">
        <f>IFERROR(__xludf.DUMMYFUNCTION("""COMPUTED_VALUE"""),907.0)</f>
        <v>907</v>
      </c>
      <c r="F3" s="6">
        <f>IFERROR(__xludf.DUMMYFUNCTION("""COMPUTED_VALUE"""),2662.0)</f>
        <v>2662</v>
      </c>
      <c r="G3" s="6">
        <f>IFERROR(__xludf.DUMMYFUNCTION("""COMPUTED_VALUE"""),3569.0)</f>
        <v>3569</v>
      </c>
      <c r="H3" s="7">
        <f>IFERROR(__xludf.DUMMYFUNCTION("""COMPUTED_VALUE"""),3.81)</f>
        <v>3.81</v>
      </c>
      <c r="I3" s="2">
        <f>IFERROR(__xludf.DUMMYFUNCTION("""COMPUTED_VALUE"""),11.58)</f>
        <v>11.58</v>
      </c>
      <c r="J3" s="4">
        <f>IFERROR(__xludf.DUMMYFUNCTION("""COMPUTED_VALUE"""),7.63)</f>
        <v>7.63</v>
      </c>
      <c r="K3" s="8">
        <f>IFERROR(__xludf.DUMMYFUNCTION("""COMPUTED_VALUE"""),-0.0169)</f>
        <v>-0.0169</v>
      </c>
    </row>
    <row r="4" ht="15.75" customHeight="1">
      <c r="C4" s="2" t="str">
        <f>IFERROR(__xludf.DUMMYFUNCTION("""COMPUTED_VALUE"""),"Alemania [+]")</f>
        <v>Alemania [+]</v>
      </c>
      <c r="D4" s="5">
        <f>IFERROR(__xludf.DUMMYFUNCTION("""COMPUTED_VALUE"""),2016.0)</f>
        <v>2016</v>
      </c>
      <c r="E4" s="6">
        <f>IFERROR(__xludf.DUMMYFUNCTION("""COMPUTED_VALUE"""),2471.0)</f>
        <v>2471</v>
      </c>
      <c r="F4" s="6">
        <f>IFERROR(__xludf.DUMMYFUNCTION("""COMPUTED_VALUE"""),7436.0)</f>
        <v>7436</v>
      </c>
      <c r="G4" s="6">
        <f>IFERROR(__xludf.DUMMYFUNCTION("""COMPUTED_VALUE"""),9907.0)</f>
        <v>9907</v>
      </c>
      <c r="H4" s="7">
        <f>IFERROR(__xludf.DUMMYFUNCTION("""COMPUTED_VALUE"""),5.94)</f>
        <v>5.94</v>
      </c>
      <c r="I4" s="2">
        <f>IFERROR(__xludf.DUMMYFUNCTION("""COMPUTED_VALUE"""),18.32)</f>
        <v>18.32</v>
      </c>
      <c r="J4" s="4">
        <f>IFERROR(__xludf.DUMMYFUNCTION("""COMPUTED_VALUE"""),12.04)</f>
        <v>12.04</v>
      </c>
      <c r="K4" s="8">
        <f>IFERROR(__xludf.DUMMYFUNCTION("""COMPUTED_VALUE"""),-0.0306)</f>
        <v>-0.0306</v>
      </c>
    </row>
    <row r="5" ht="15.75" customHeight="1">
      <c r="C5" s="2" t="str">
        <f>IFERROR(__xludf.DUMMYFUNCTION("""COMPUTED_VALUE"""),"Reino Unido [+]")</f>
        <v>Reino Unido [+]</v>
      </c>
      <c r="D5" s="5">
        <f>IFERROR(__xludf.DUMMYFUNCTION("""COMPUTED_VALUE"""),2016.0)</f>
        <v>2016</v>
      </c>
      <c r="E5" s="6">
        <f>IFERROR(__xludf.DUMMYFUNCTION("""COMPUTED_VALUE"""),1090.0)</f>
        <v>1090</v>
      </c>
      <c r="F5" s="6">
        <f>IFERROR(__xludf.DUMMYFUNCTION("""COMPUTED_VALUE"""),3555.0)</f>
        <v>3555</v>
      </c>
      <c r="G5" s="6">
        <f>IFERROR(__xludf.DUMMYFUNCTION("""COMPUTED_VALUE"""),4645.0)</f>
        <v>4645</v>
      </c>
      <c r="H5" s="7">
        <f>IFERROR(__xludf.DUMMYFUNCTION("""COMPUTED_VALUE"""),3.28)</f>
        <v>3.28</v>
      </c>
      <c r="I5" s="2">
        <f>IFERROR(__xludf.DUMMYFUNCTION("""COMPUTED_VALUE"""),10.98)</f>
        <v>10.98</v>
      </c>
      <c r="J5" s="4">
        <f>IFERROR(__xludf.DUMMYFUNCTION("""COMPUTED_VALUE"""),7.07)</f>
        <v>7.07</v>
      </c>
      <c r="K5" s="8">
        <f>IFERROR(__xludf.DUMMYFUNCTION("""COMPUTED_VALUE"""),-0.0181)</f>
        <v>-0.0181</v>
      </c>
    </row>
    <row r="6" ht="15.75" customHeight="1">
      <c r="C6" s="2" t="str">
        <f>IFERROR(__xludf.DUMMYFUNCTION("""COMPUTED_VALUE"""),"Francia [+]")</f>
        <v>Francia [+]</v>
      </c>
      <c r="D6" s="5">
        <f>IFERROR(__xludf.DUMMYFUNCTION("""COMPUTED_VALUE"""),2016.0)</f>
        <v>2016</v>
      </c>
      <c r="E6" s="6">
        <f>IFERROR(__xludf.DUMMYFUNCTION("""COMPUTED_VALUE"""),2020.0)</f>
        <v>2020</v>
      </c>
      <c r="F6" s="6">
        <f>IFERROR(__xludf.DUMMYFUNCTION("""COMPUTED_VALUE"""),6583.0)</f>
        <v>6583</v>
      </c>
      <c r="G6" s="6">
        <f>IFERROR(__xludf.DUMMYFUNCTION("""COMPUTED_VALUE"""),8603.0)</f>
        <v>8603</v>
      </c>
      <c r="H6" s="7">
        <f>IFERROR(__xludf.DUMMYFUNCTION("""COMPUTED_VALUE"""),5.86)</f>
        <v>5.86</v>
      </c>
      <c r="I6" s="2">
        <f>IFERROR(__xludf.DUMMYFUNCTION("""COMPUTED_VALUE"""),20.41)</f>
        <v>20.41</v>
      </c>
      <c r="J6" s="4">
        <f>IFERROR(__xludf.DUMMYFUNCTION("""COMPUTED_VALUE"""),12.9)</f>
        <v>12.9</v>
      </c>
      <c r="K6" s="8">
        <f>IFERROR(__xludf.DUMMYFUNCTION("""COMPUTED_VALUE"""),-0.0605)</f>
        <v>-0.0605</v>
      </c>
    </row>
    <row r="7" ht="15.75" customHeight="1">
      <c r="C7" s="2" t="str">
        <f>IFERROR(__xludf.DUMMYFUNCTION("""COMPUTED_VALUE"""),"Italia [+]")</f>
        <v>Italia [+]</v>
      </c>
      <c r="D7" s="5">
        <f>IFERROR(__xludf.DUMMYFUNCTION("""COMPUTED_VALUE"""),2016.0)</f>
        <v>2016</v>
      </c>
      <c r="E7" s="2">
        <f>IFERROR(__xludf.DUMMYFUNCTION("""COMPUTED_VALUE"""),830.0)</f>
        <v>830</v>
      </c>
      <c r="F7" s="6">
        <f>IFERROR(__xludf.DUMMYFUNCTION("""COMPUTED_VALUE"""),3038.0)</f>
        <v>3038</v>
      </c>
      <c r="G7" s="6">
        <f>IFERROR(__xludf.DUMMYFUNCTION("""COMPUTED_VALUE"""),3868.0)</f>
        <v>3868</v>
      </c>
      <c r="H7" s="7">
        <f>IFERROR(__xludf.DUMMYFUNCTION("""COMPUTED_VALUE"""),2.62)</f>
        <v>2.62</v>
      </c>
      <c r="I7" s="2">
        <f>IFERROR(__xludf.DUMMYFUNCTION("""COMPUTED_VALUE"""),10.14)</f>
        <v>10.14</v>
      </c>
      <c r="J7" s="4">
        <f>IFERROR(__xludf.DUMMYFUNCTION("""COMPUTED_VALUE"""),6.27)</f>
        <v>6.27</v>
      </c>
      <c r="K7" s="8">
        <f>IFERROR(__xludf.DUMMYFUNCTION("""COMPUTED_VALUE"""),-0.0294)</f>
        <v>-0.0294</v>
      </c>
    </row>
    <row r="8" ht="15.75" customHeight="1">
      <c r="C8" s="2" t="str">
        <f>IFERROR(__xludf.DUMMYFUNCTION("""COMPUTED_VALUE"""),"Portugal [+]")</f>
        <v>Portugal [+]</v>
      </c>
      <c r="D8" s="5">
        <f>IFERROR(__xludf.DUMMYFUNCTION("""COMPUTED_VALUE"""),2016.0)</f>
        <v>2016</v>
      </c>
      <c r="E8" s="2">
        <f>IFERROR(__xludf.DUMMYFUNCTION("""COMPUTED_VALUE"""),231.0)</f>
        <v>231</v>
      </c>
      <c r="F8" s="6">
        <f>IFERROR(__xludf.DUMMYFUNCTION("""COMPUTED_VALUE"""),750.0)</f>
        <v>750</v>
      </c>
      <c r="G8" s="2">
        <f>IFERROR(__xludf.DUMMYFUNCTION("""COMPUTED_VALUE"""),981.0)</f>
        <v>981</v>
      </c>
      <c r="H8" s="7">
        <f>IFERROR(__xludf.DUMMYFUNCTION("""COMPUTED_VALUE"""),4.21)</f>
        <v>4.21</v>
      </c>
      <c r="I8" s="2">
        <f>IFERROR(__xludf.DUMMYFUNCTION("""COMPUTED_VALUE"""),15.29)</f>
        <v>15.29</v>
      </c>
      <c r="J8" s="4">
        <f>IFERROR(__xludf.DUMMYFUNCTION("""COMPUTED_VALUE"""),9.46)</f>
        <v>9.46</v>
      </c>
      <c r="K8" s="8">
        <f>IFERROR(__xludf.DUMMYFUNCTION("""COMPUTED_VALUE"""),-0.1329)</f>
        <v>-0.1329</v>
      </c>
    </row>
    <row r="9" ht="15.75" customHeight="1">
      <c r="C9" s="2" t="str">
        <f>IFERROR(__xludf.DUMMYFUNCTION("""COMPUTED_VALUE"""),"Estados Unidos [+]")</f>
        <v>Estados Unidos [+]</v>
      </c>
      <c r="D9" s="2">
        <f>IFERROR(__xludf.DUMMYFUNCTION("""COMPUTED_VALUE"""),2016.0)</f>
        <v>2016</v>
      </c>
      <c r="E9" s="6">
        <f>IFERROR(__xludf.DUMMYFUNCTION("""COMPUTED_VALUE"""),10220.0)</f>
        <v>10220</v>
      </c>
      <c r="F9" s="6">
        <f>IFERROR(__xludf.DUMMYFUNCTION("""COMPUTED_VALUE"""),34656.0)</f>
        <v>34656</v>
      </c>
      <c r="G9" s="6">
        <f>IFERROR(__xludf.DUMMYFUNCTION("""COMPUTED_VALUE"""),44876.0)</f>
        <v>44876</v>
      </c>
      <c r="H9" s="7">
        <f>IFERROR(__xludf.DUMMYFUNCTION("""COMPUTED_VALUE"""),6.2)</f>
        <v>6.2</v>
      </c>
      <c r="I9" s="2">
        <f>IFERROR(__xludf.DUMMYFUNCTION("""COMPUTED_VALUE"""),21.8)</f>
        <v>21.8</v>
      </c>
      <c r="J9" s="4">
        <f>IFERROR(__xludf.DUMMYFUNCTION("""COMPUTED_VALUE"""),13.9)</f>
        <v>13.9</v>
      </c>
      <c r="K9" s="8">
        <f>IFERROR(__xludf.DUMMYFUNCTION("""COMPUTED_VALUE"""),0.0072)</f>
        <v>0.0072</v>
      </c>
    </row>
    <row r="10" ht="15.75" customHeight="1">
      <c r="C10" s="2" t="str">
        <f>IFERROR(__xludf.DUMMYFUNCTION("""COMPUTED_VALUE"""),"Japón [+]")</f>
        <v>Japón [+]</v>
      </c>
      <c r="D10" s="2">
        <f>IFERROR(__xludf.DUMMYFUNCTION("""COMPUTED_VALUE"""),2016.0)</f>
        <v>2016</v>
      </c>
      <c r="E10" s="6">
        <f>IFERROR(__xludf.DUMMYFUNCTION("""COMPUTED_VALUE"""),6378.0)</f>
        <v>6378</v>
      </c>
      <c r="F10" s="6">
        <f>IFERROR(__xludf.DUMMYFUNCTION("""COMPUTED_VALUE"""),14639.0)</f>
        <v>14639</v>
      </c>
      <c r="G10" s="6">
        <f>IFERROR(__xludf.DUMMYFUNCTION("""COMPUTED_VALUE"""),21017.0)</f>
        <v>21017</v>
      </c>
      <c r="H10" s="7">
        <f>IFERROR(__xludf.DUMMYFUNCTION("""COMPUTED_VALUE"""),9.8)</f>
        <v>9.8</v>
      </c>
      <c r="I10" s="2">
        <f>IFERROR(__xludf.DUMMYFUNCTION("""COMPUTED_VALUE"""),23.7)</f>
        <v>23.7</v>
      </c>
      <c r="J10" s="4">
        <f>IFERROR(__xludf.DUMMYFUNCTION("""COMPUTED_VALUE"""),16.6)</f>
        <v>16.6</v>
      </c>
      <c r="K10" s="8">
        <f>IFERROR(__xludf.DUMMYFUNCTION("""COMPUTED_VALUE"""),-0.0879)</f>
        <v>-0.0879</v>
      </c>
    </row>
    <row r="11" ht="15.75" customHeight="1">
      <c r="C11" s="2" t="str">
        <f>IFERROR(__xludf.DUMMYFUNCTION("""COMPUTED_VALUE"""),"China [+]")</f>
        <v>China [+]</v>
      </c>
      <c r="D11" s="2">
        <f>IFERROR(__xludf.DUMMYFUNCTION("""COMPUTED_VALUE"""),2015.0)</f>
        <v>2015</v>
      </c>
      <c r="E11" s="6">
        <f>IFERROR(__xludf.DUMMYFUNCTION("""COMPUTED_VALUE"""),76844.0)</f>
        <v>76844</v>
      </c>
      <c r="F11" s="6">
        <f>IFERROR(__xludf.DUMMYFUNCTION("""COMPUTED_VALUE"""),61779.0)</f>
        <v>61779</v>
      </c>
      <c r="G11" s="6">
        <f>IFERROR(__xludf.DUMMYFUNCTION("""COMPUTED_VALUE"""),138622.0)</f>
        <v>138622</v>
      </c>
      <c r="H11" s="7">
        <f>IFERROR(__xludf.DUMMYFUNCTION("""COMPUTED_VALUE"""),11.45)</f>
        <v>11.45</v>
      </c>
      <c r="I11" s="2">
        <f>IFERROR(__xludf.DUMMYFUNCTION("""COMPUTED_VALUE"""),8.72)</f>
        <v>8.72</v>
      </c>
      <c r="J11" s="4">
        <f>IFERROR(__xludf.DUMMYFUNCTION("""COMPUTED_VALUE"""),10.02)</f>
        <v>10.02</v>
      </c>
      <c r="K11" s="8">
        <f>IFERROR(__xludf.DUMMYFUNCTION("""COMPUTED_VALUE"""),0.005)</f>
        <v>0.005</v>
      </c>
    </row>
    <row r="12" ht="15.75" customHeight="1">
      <c r="C12" s="2" t="str">
        <f>IFERROR(__xludf.DUMMYFUNCTION("""COMPUTED_VALUE"""),"Emiratos Árabes Unidos [+]")</f>
        <v>Emiratos Árabes Unidos [+]</v>
      </c>
      <c r="D12" s="2">
        <f>IFERROR(__xludf.DUMMYFUNCTION("""COMPUTED_VALUE"""),2015.0)</f>
        <v>2015</v>
      </c>
      <c r="E12" s="2">
        <f>IFERROR(__xludf.DUMMYFUNCTION("""COMPUTED_VALUE"""),19.0)</f>
        <v>19</v>
      </c>
      <c r="F12" s="6">
        <f>IFERROR(__xludf.DUMMYFUNCTION("""COMPUTED_VALUE"""),242.0)</f>
        <v>242</v>
      </c>
      <c r="G12" s="2">
        <f>IFERROR(__xludf.DUMMYFUNCTION("""COMPUTED_VALUE"""),261.0)</f>
        <v>261</v>
      </c>
      <c r="H12" s="7">
        <f>IFERROR(__xludf.DUMMYFUNCTION("""COMPUTED_VALUE"""),0.7)</f>
        <v>0.7</v>
      </c>
      <c r="I12" s="2">
        <f>IFERROR(__xludf.DUMMYFUNCTION("""COMPUTED_VALUE"""),3.71)</f>
        <v>3.71</v>
      </c>
      <c r="J12" s="4">
        <f>IFERROR(__xludf.DUMMYFUNCTION("""COMPUTED_VALUE"""),2.92)</f>
        <v>2.92</v>
      </c>
      <c r="K12" s="8">
        <f>IFERROR(__xludf.DUMMYFUNCTION("""COMPUTED_VALUE"""),-0.0299)</f>
        <v>-0.0299</v>
      </c>
    </row>
    <row r="13" ht="15.75" customHeight="1">
      <c r="C13" s="2" t="str">
        <f>IFERROR(__xludf.DUMMYFUNCTION("""COMPUTED_VALUE"""),"Afganistán [+]")</f>
        <v>Afganistán [+]</v>
      </c>
      <c r="D13" s="2">
        <f>IFERROR(__xludf.DUMMYFUNCTION("""COMPUTED_VALUE"""),2015.0)</f>
        <v>2015</v>
      </c>
      <c r="E13" s="2">
        <f>IFERROR(__xludf.DUMMYFUNCTION("""COMPUTED_VALUE"""),401.0)</f>
        <v>401</v>
      </c>
      <c r="F13" s="6">
        <f>IFERROR(__xludf.DUMMYFUNCTION("""COMPUTED_VALUE"""),1395.0)</f>
        <v>1395</v>
      </c>
      <c r="G13" s="6">
        <f>IFERROR(__xludf.DUMMYFUNCTION("""COMPUTED_VALUE"""),1796.0)</f>
        <v>1796</v>
      </c>
      <c r="H13" s="7">
        <f>IFERROR(__xludf.DUMMYFUNCTION("""COMPUTED_VALUE"""),2.4)</f>
        <v>2.4</v>
      </c>
      <c r="I13" s="2">
        <f>IFERROR(__xludf.DUMMYFUNCTION("""COMPUTED_VALUE"""),7.89)</f>
        <v>7.89</v>
      </c>
      <c r="J13" s="4">
        <f>IFERROR(__xludf.DUMMYFUNCTION("""COMPUTED_VALUE"""),6.32)</f>
        <v>6.32</v>
      </c>
      <c r="K13" s="8">
        <f>IFERROR(__xludf.DUMMYFUNCTION("""COMPUTED_VALUE"""),0.0227)</f>
        <v>0.0227</v>
      </c>
    </row>
    <row r="14" ht="15.75" customHeight="1">
      <c r="C14" s="2" t="str">
        <f>IFERROR(__xludf.DUMMYFUNCTION("""COMPUTED_VALUE"""),"Antigua y Barbuda [+]")</f>
        <v>Antigua y Barbuda [+]</v>
      </c>
      <c r="D14" s="5">
        <f>IFERROR(__xludf.DUMMYFUNCTION("""COMPUTED_VALUE"""),2015.0)</f>
        <v>2015</v>
      </c>
      <c r="E14" s="2">
        <f>IFERROR(__xludf.DUMMYFUNCTION("""COMPUTED_VALUE"""),0.0)</f>
        <v>0</v>
      </c>
      <c r="F14" s="6">
        <f>IFERROR(__xludf.DUMMYFUNCTION("""COMPUTED_VALUE"""),0.0)</f>
        <v>0</v>
      </c>
      <c r="G14" s="2">
        <f>IFERROR(__xludf.DUMMYFUNCTION("""COMPUTED_VALUE"""),0.0)</f>
        <v>0</v>
      </c>
      <c r="H14" s="7">
        <f>IFERROR(__xludf.DUMMYFUNCTION("""COMPUTED_VALUE"""),0.0)</f>
        <v>0</v>
      </c>
      <c r="I14" s="2">
        <f>IFERROR(__xludf.DUMMYFUNCTION("""COMPUTED_VALUE"""),0.0)</f>
        <v>0</v>
      </c>
      <c r="J14" s="4">
        <f>IFERROR(__xludf.DUMMYFUNCTION("""COMPUTED_VALUE"""),0.0)</f>
        <v>0</v>
      </c>
      <c r="K14" s="8">
        <f>IFERROR(__xludf.DUMMYFUNCTION("""COMPUTED_VALUE"""),-1.0)</f>
        <v>-1</v>
      </c>
    </row>
    <row r="15" ht="15.75" customHeight="1">
      <c r="C15" s="2" t="str">
        <f>IFERROR(__xludf.DUMMYFUNCTION("""COMPUTED_VALUE"""),"Albania [+]")</f>
        <v>Albania [+]</v>
      </c>
      <c r="D15" s="2">
        <f>IFERROR(__xludf.DUMMYFUNCTION("""COMPUTED_VALUE"""),2010.0)</f>
        <v>2010</v>
      </c>
      <c r="E15" s="2">
        <f>IFERROR(__xludf.DUMMYFUNCTION("""COMPUTED_VALUE"""),35.0)</f>
        <v>35</v>
      </c>
      <c r="F15" s="2">
        <f>IFERROR(__xludf.DUMMYFUNCTION("""COMPUTED_VALUE"""),61.0)</f>
        <v>61</v>
      </c>
      <c r="G15" s="2">
        <f>IFERROR(__xludf.DUMMYFUNCTION("""COMPUTED_VALUE"""),96.0)</f>
        <v>96</v>
      </c>
      <c r="H15" s="7">
        <f>IFERROR(__xludf.DUMMYFUNCTION("""COMPUTED_VALUE"""),2.41)</f>
        <v>2.41</v>
      </c>
      <c r="I15" s="2">
        <f>IFERROR(__xludf.DUMMYFUNCTION("""COMPUTED_VALUE"""),4.19)</f>
        <v>4.19</v>
      </c>
      <c r="J15" s="4">
        <f>IFERROR(__xludf.DUMMYFUNCTION("""COMPUTED_VALUE"""),3.3)</f>
        <v>3.3</v>
      </c>
      <c r="K15" s="8">
        <f>IFERROR(__xludf.DUMMYFUNCTION("""COMPUTED_VALUE"""),-0.2979)</f>
        <v>-0.2979</v>
      </c>
    </row>
    <row r="16" ht="15.75" customHeight="1">
      <c r="C16" s="2" t="str">
        <f>IFERROR(__xludf.DUMMYFUNCTION("""COMPUTED_VALUE"""),"Armenia [+]")</f>
        <v>Armenia [+]</v>
      </c>
      <c r="D16" s="5">
        <f>IFERROR(__xludf.DUMMYFUNCTION("""COMPUTED_VALUE"""),2015.0)</f>
        <v>2015</v>
      </c>
      <c r="E16" s="2">
        <f>IFERROR(__xludf.DUMMYFUNCTION("""COMPUTED_VALUE"""),38.0)</f>
        <v>38</v>
      </c>
      <c r="F16" s="6">
        <f>IFERROR(__xludf.DUMMYFUNCTION("""COMPUTED_VALUE"""),124.0)</f>
        <v>124</v>
      </c>
      <c r="G16" s="2">
        <f>IFERROR(__xludf.DUMMYFUNCTION("""COMPUTED_VALUE"""),162.0)</f>
        <v>162</v>
      </c>
      <c r="H16" s="7">
        <f>IFERROR(__xludf.DUMMYFUNCTION("""COMPUTED_VALUE"""),2.42)</f>
        <v>2.42</v>
      </c>
      <c r="I16" s="2">
        <f>IFERROR(__xludf.DUMMYFUNCTION("""COMPUTED_VALUE"""),8.65)</f>
        <v>8.65</v>
      </c>
      <c r="J16" s="4">
        <f>IFERROR(__xludf.DUMMYFUNCTION("""COMPUTED_VALUE"""),5.39)</f>
        <v>5.39</v>
      </c>
      <c r="K16" s="8">
        <f>IFERROR(__xludf.DUMMYFUNCTION("""COMPUTED_VALUE"""),-0.0019)</f>
        <v>-0.0019</v>
      </c>
    </row>
    <row r="17" ht="15.75" customHeight="1">
      <c r="C17" s="2" t="str">
        <f>IFERROR(__xludf.DUMMYFUNCTION("""COMPUTED_VALUE"""),"Angola [+]")</f>
        <v>Angola [+]</v>
      </c>
      <c r="D17" s="2">
        <f>IFERROR(__xludf.DUMMYFUNCTION("""COMPUTED_VALUE"""),2015.0)</f>
        <v>2015</v>
      </c>
      <c r="E17" s="6">
        <f>IFERROR(__xludf.DUMMYFUNCTION("""COMPUTED_VALUE"""),1461.0)</f>
        <v>1461</v>
      </c>
      <c r="F17" s="6">
        <f>IFERROR(__xludf.DUMMYFUNCTION("""COMPUTED_VALUE"""),3663.0)</f>
        <v>3663</v>
      </c>
      <c r="G17" s="6">
        <f>IFERROR(__xludf.DUMMYFUNCTION("""COMPUTED_VALUE"""),5124.0)</f>
        <v>5124</v>
      </c>
      <c r="H17" s="7">
        <f>IFERROR(__xludf.DUMMYFUNCTION("""COMPUTED_VALUE"""),10.37)</f>
        <v>10.37</v>
      </c>
      <c r="I17" s="2">
        <f>IFERROR(__xludf.DUMMYFUNCTION("""COMPUTED_VALUE"""),26.56)</f>
        <v>26.56</v>
      </c>
      <c r="J17" s="4">
        <f>IFERROR(__xludf.DUMMYFUNCTION("""COMPUTED_VALUE"""),19.21)</f>
        <v>19.21</v>
      </c>
      <c r="K17" s="8">
        <f>IFERROR(__xludf.DUMMYFUNCTION("""COMPUTED_VALUE"""),0.0021)</f>
        <v>0.0021</v>
      </c>
    </row>
    <row r="18" ht="15.75" customHeight="1">
      <c r="C18" s="2" t="str">
        <f>IFERROR(__xludf.DUMMYFUNCTION("""COMPUTED_VALUE"""),"Argentina [+]")</f>
        <v>Argentina [+]</v>
      </c>
      <c r="D18" s="5">
        <f>IFERROR(__xludf.DUMMYFUNCTION("""COMPUTED_VALUE"""),2016.0)</f>
        <v>2016</v>
      </c>
      <c r="E18" s="2">
        <f>IFERROR(__xludf.DUMMYFUNCTION("""COMPUTED_VALUE"""),569.0)</f>
        <v>569</v>
      </c>
      <c r="F18" s="6">
        <f>IFERROR(__xludf.DUMMYFUNCTION("""COMPUTED_VALUE"""),2477.0)</f>
        <v>2477</v>
      </c>
      <c r="G18" s="6">
        <f>IFERROR(__xludf.DUMMYFUNCTION("""COMPUTED_VALUE"""),3046.0)</f>
        <v>3046</v>
      </c>
      <c r="H18" s="7">
        <f>IFERROR(__xludf.DUMMYFUNCTION("""COMPUTED_VALUE"""),2.6)</f>
        <v>2.6</v>
      </c>
      <c r="I18" s="2">
        <f>IFERROR(__xludf.DUMMYFUNCTION("""COMPUTED_VALUE"""),11.6)</f>
        <v>11.6</v>
      </c>
      <c r="J18" s="4">
        <f>IFERROR(__xludf.DUMMYFUNCTION("""COMPUTED_VALUE"""),7.0)</f>
        <v>7</v>
      </c>
      <c r="K18" s="8">
        <f>IFERROR(__xludf.DUMMYFUNCTION("""COMPUTED_VALUE"""),-0.0278)</f>
        <v>-0.0278</v>
      </c>
    </row>
    <row r="19" ht="15.75" customHeight="1">
      <c r="C19" s="2" t="str">
        <f>IFERROR(__xludf.DUMMYFUNCTION("""COMPUTED_VALUE"""),"Austria [+]")</f>
        <v>Austria [+]</v>
      </c>
      <c r="D19" s="2">
        <f>IFERROR(__xludf.DUMMYFUNCTION("""COMPUTED_VALUE"""),2016.0)</f>
        <v>2016</v>
      </c>
      <c r="E19" s="2">
        <f>IFERROR(__xludf.DUMMYFUNCTION("""COMPUTED_VALUE"""),299.0)</f>
        <v>299</v>
      </c>
      <c r="F19" s="2">
        <f>IFERROR(__xludf.DUMMYFUNCTION("""COMPUTED_VALUE"""),933.0)</f>
        <v>933</v>
      </c>
      <c r="G19" s="6">
        <f>IFERROR(__xludf.DUMMYFUNCTION("""COMPUTED_VALUE"""),1232.0)</f>
        <v>1232</v>
      </c>
      <c r="H19" s="7">
        <f>IFERROR(__xludf.DUMMYFUNCTION("""COMPUTED_VALUE"""),6.64)</f>
        <v>6.64</v>
      </c>
      <c r="I19" s="2">
        <f>IFERROR(__xludf.DUMMYFUNCTION("""COMPUTED_VALUE"""),21.32)</f>
        <v>21.32</v>
      </c>
      <c r="J19" s="4">
        <f>IFERROR(__xludf.DUMMYFUNCTION("""COMPUTED_VALUE"""),13.85)</f>
        <v>13.85</v>
      </c>
      <c r="K19" s="8">
        <f>IFERROR(__xludf.DUMMYFUNCTION("""COMPUTED_VALUE"""),-0.0546)</f>
        <v>-0.0546</v>
      </c>
    </row>
    <row r="20" ht="15.75" customHeight="1">
      <c r="C20" s="2" t="str">
        <f>IFERROR(__xludf.DUMMYFUNCTION("""COMPUTED_VALUE"""),"Australia [+]")</f>
        <v>Australia [+]</v>
      </c>
      <c r="D20" s="5">
        <f>IFERROR(__xludf.DUMMYFUNCTION("""COMPUTED_VALUE"""),2016.0)</f>
        <v>2016</v>
      </c>
      <c r="E20" s="2">
        <f>IFERROR(__xludf.DUMMYFUNCTION("""COMPUTED_VALUE"""),736.0)</f>
        <v>736</v>
      </c>
      <c r="F20" s="6">
        <f>IFERROR(__xludf.DUMMYFUNCTION("""COMPUTED_VALUE"""),2169.0)</f>
        <v>2169</v>
      </c>
      <c r="G20" s="6">
        <f>IFERROR(__xludf.DUMMYFUNCTION("""COMPUTED_VALUE"""),2905.0)</f>
        <v>2905</v>
      </c>
      <c r="H20" s="7">
        <f>IFERROR(__xludf.DUMMYFUNCTION("""COMPUTED_VALUE"""),6.0)</f>
        <v>6</v>
      </c>
      <c r="I20" s="2">
        <f>IFERROR(__xludf.DUMMYFUNCTION("""COMPUTED_VALUE"""),18.1)</f>
        <v>18.1</v>
      </c>
      <c r="J20" s="4">
        <f>IFERROR(__xludf.DUMMYFUNCTION("""COMPUTED_VALUE"""),12.0)</f>
        <v>12</v>
      </c>
      <c r="K20" s="8">
        <f>IFERROR(__xludf.DUMMYFUNCTION("""COMPUTED_VALUE"""),-0.0769)</f>
        <v>-0.0769</v>
      </c>
    </row>
    <row r="21" ht="15.75" customHeight="1">
      <c r="C21" s="2" t="str">
        <f>IFERROR(__xludf.DUMMYFUNCTION("""COMPUTED_VALUE"""),"Azerbaiyán [+]")</f>
        <v>Azerbaiyán [+]</v>
      </c>
      <c r="D21" s="2">
        <f>IFERROR(__xludf.DUMMYFUNCTION("""COMPUTED_VALUE"""),2015.0)</f>
        <v>2015</v>
      </c>
      <c r="E21" s="2">
        <f>IFERROR(__xludf.DUMMYFUNCTION("""COMPUTED_VALUE"""),60.0)</f>
        <v>60</v>
      </c>
      <c r="F21" s="2">
        <f>IFERROR(__xludf.DUMMYFUNCTION("""COMPUTED_VALUE"""),259.0)</f>
        <v>259</v>
      </c>
      <c r="G21" s="2">
        <f>IFERROR(__xludf.DUMMYFUNCTION("""COMPUTED_VALUE"""),319.0)</f>
        <v>319</v>
      </c>
      <c r="H21" s="7">
        <f>IFERROR(__xludf.DUMMYFUNCTION("""COMPUTED_VALUE"""),1.23)</f>
        <v>1.23</v>
      </c>
      <c r="I21" s="2">
        <f>IFERROR(__xludf.DUMMYFUNCTION("""COMPUTED_VALUE"""),5.36)</f>
        <v>5.36</v>
      </c>
      <c r="J21" s="4">
        <f>IFERROR(__xludf.DUMMYFUNCTION("""COMPUTED_VALUE"""),3.28)</f>
        <v>3.28</v>
      </c>
      <c r="K21" s="8">
        <f>IFERROR(__xludf.DUMMYFUNCTION("""COMPUTED_VALUE"""),-0.003)</f>
        <v>-0.003</v>
      </c>
    </row>
    <row r="22" ht="15.75" customHeight="1">
      <c r="C22" s="2" t="str">
        <f>IFERROR(__xludf.DUMMYFUNCTION("""COMPUTED_VALUE"""),"Bosnia y Herzegovina [+]")</f>
        <v>Bosnia y Herzegovina [+]</v>
      </c>
      <c r="D22" s="2">
        <f>IFERROR(__xludf.DUMMYFUNCTION("""COMPUTED_VALUE"""),2015.0)</f>
        <v>2015</v>
      </c>
      <c r="E22" s="2">
        <f>IFERROR(__xludf.DUMMYFUNCTION("""COMPUTED_VALUE"""),52.0)</f>
        <v>52</v>
      </c>
      <c r="F22" s="2">
        <f>IFERROR(__xludf.DUMMYFUNCTION("""COMPUTED_VALUE"""),176.0)</f>
        <v>176</v>
      </c>
      <c r="G22" s="2">
        <f>IFERROR(__xludf.DUMMYFUNCTION("""COMPUTED_VALUE"""),228.0)</f>
        <v>228</v>
      </c>
      <c r="H22" s="7">
        <f>IFERROR(__xludf.DUMMYFUNCTION("""COMPUTED_VALUE"""),2.99)</f>
        <v>2.99</v>
      </c>
      <c r="I22" s="2">
        <f>IFERROR(__xludf.DUMMYFUNCTION("""COMPUTED_VALUE"""),10.44)</f>
        <v>10.44</v>
      </c>
      <c r="J22" s="4">
        <f>IFERROR(__xludf.DUMMYFUNCTION("""COMPUTED_VALUE"""),6.48)</f>
        <v>6.48</v>
      </c>
      <c r="K22" s="8">
        <f>IFERROR(__xludf.DUMMYFUNCTION("""COMPUTED_VALUE"""),0.0891)</f>
        <v>0.0891</v>
      </c>
    </row>
    <row r="23" ht="15.75" customHeight="1">
      <c r="C23" s="2" t="str">
        <f>IFERROR(__xludf.DUMMYFUNCTION("""COMPUTED_VALUE"""),"Barbados [+]")</f>
        <v>Barbados [+]</v>
      </c>
      <c r="D23" s="2">
        <f>IFERROR(__xludf.DUMMYFUNCTION("""COMPUTED_VALUE"""),2015.0)</f>
        <v>2015</v>
      </c>
      <c r="E23" s="2">
        <f>IFERROR(__xludf.DUMMYFUNCTION("""COMPUTED_VALUE"""),0.0)</f>
        <v>0</v>
      </c>
      <c r="F23" s="2">
        <f>IFERROR(__xludf.DUMMYFUNCTION("""COMPUTED_VALUE"""),1.0)</f>
        <v>1</v>
      </c>
      <c r="G23" s="2">
        <f>IFERROR(__xludf.DUMMYFUNCTION("""COMPUTED_VALUE"""),1.0)</f>
        <v>1</v>
      </c>
      <c r="H23" s="7">
        <f>IFERROR(__xludf.DUMMYFUNCTION("""COMPUTED_VALUE"""),0.27)</f>
        <v>0.27</v>
      </c>
      <c r="I23" s="2">
        <f>IFERROR(__xludf.DUMMYFUNCTION("""COMPUTED_VALUE"""),0.58)</f>
        <v>0.58</v>
      </c>
      <c r="J23" s="4">
        <f>IFERROR(__xludf.DUMMYFUNCTION("""COMPUTED_VALUE"""),0.42)</f>
        <v>0.42</v>
      </c>
      <c r="K23" s="8">
        <f>IFERROR(__xludf.DUMMYFUNCTION("""COMPUTED_VALUE"""),-0.0455)</f>
        <v>-0.0455</v>
      </c>
    </row>
    <row r="24" ht="15.75" customHeight="1">
      <c r="C24" s="2" t="str">
        <f>IFERROR(__xludf.DUMMYFUNCTION("""COMPUTED_VALUE"""),"Bangladés [+]")</f>
        <v>Bangladés [+]</v>
      </c>
      <c r="D24" s="2">
        <f>IFERROR(__xludf.DUMMYFUNCTION("""COMPUTED_VALUE"""),2015.0)</f>
        <v>2015</v>
      </c>
      <c r="E24" s="6">
        <f>IFERROR(__xludf.DUMMYFUNCTION("""COMPUTED_VALUE"""),5176.0)</f>
        <v>5176</v>
      </c>
      <c r="F24" s="6">
        <f>IFERROR(__xludf.DUMMYFUNCTION("""COMPUTED_VALUE"""),3703.0)</f>
        <v>3703</v>
      </c>
      <c r="G24" s="6">
        <f>IFERROR(__xludf.DUMMYFUNCTION("""COMPUTED_VALUE"""),8879.0)</f>
        <v>8879</v>
      </c>
      <c r="H24" s="7">
        <f>IFERROR(__xludf.DUMMYFUNCTION("""COMPUTED_VALUE"""),6.72)</f>
        <v>6.72</v>
      </c>
      <c r="I24" s="2">
        <f>IFERROR(__xludf.DUMMYFUNCTION("""COMPUTED_VALUE"""),4.67)</f>
        <v>4.67</v>
      </c>
      <c r="J24" s="4">
        <f>IFERROR(__xludf.DUMMYFUNCTION("""COMPUTED_VALUE"""),5.68)</f>
        <v>5.68</v>
      </c>
      <c r="K24" s="8">
        <f>IFERROR(__xludf.DUMMYFUNCTION("""COMPUTED_VALUE"""),-0.0224)</f>
        <v>-0.0224</v>
      </c>
    </row>
    <row r="25" ht="15.75" customHeight="1">
      <c r="C25" s="2" t="str">
        <f>IFERROR(__xludf.DUMMYFUNCTION("""COMPUTED_VALUE"""),"Bélgica [+]")</f>
        <v>Bélgica [+]</v>
      </c>
      <c r="D25" s="2">
        <f>IFERROR(__xludf.DUMMYFUNCTION("""COMPUTED_VALUE"""),2016.0)</f>
        <v>2016</v>
      </c>
      <c r="E25" s="2">
        <f>IFERROR(__xludf.DUMMYFUNCTION("""COMPUTED_VALUE"""),553.0)</f>
        <v>553</v>
      </c>
      <c r="F25" s="6">
        <f>IFERROR(__xludf.DUMMYFUNCTION("""COMPUTED_VALUE"""),1393.0)</f>
        <v>1393</v>
      </c>
      <c r="G25" s="6">
        <f>IFERROR(__xludf.DUMMYFUNCTION("""COMPUTED_VALUE"""),1946.0)</f>
        <v>1946</v>
      </c>
      <c r="H25" s="7">
        <f>IFERROR(__xludf.DUMMYFUNCTION("""COMPUTED_VALUE"""),9.53)</f>
        <v>9.53</v>
      </c>
      <c r="I25" s="2">
        <f>IFERROR(__xludf.DUMMYFUNCTION("""COMPUTED_VALUE"""),24.56)</f>
        <v>24.56</v>
      </c>
      <c r="J25" s="4">
        <f>IFERROR(__xludf.DUMMYFUNCTION("""COMPUTED_VALUE"""),16.93)</f>
        <v>16.93</v>
      </c>
      <c r="K25" s="8">
        <f>IFERROR(__xludf.DUMMYFUNCTION("""COMPUTED_VALUE"""),0.0168)</f>
        <v>0.0168</v>
      </c>
    </row>
    <row r="26" ht="15.75" customHeight="1">
      <c r="C26" s="2" t="str">
        <f>IFERROR(__xludf.DUMMYFUNCTION("""COMPUTED_VALUE"""),"Burkina Faso [+]")</f>
        <v>Burkina Faso [+]</v>
      </c>
      <c r="D26" s="2">
        <f>IFERROR(__xludf.DUMMYFUNCTION("""COMPUTED_VALUE"""),2015.0)</f>
        <v>2015</v>
      </c>
      <c r="E26" s="2">
        <f>IFERROR(__xludf.DUMMYFUNCTION("""COMPUTED_VALUE"""),576.0)</f>
        <v>576</v>
      </c>
      <c r="F26" s="6">
        <f>IFERROR(__xludf.DUMMYFUNCTION("""COMPUTED_VALUE"""),1094.0)</f>
        <v>1094</v>
      </c>
      <c r="G26" s="6">
        <f>IFERROR(__xludf.DUMMYFUNCTION("""COMPUTED_VALUE"""),1671.0)</f>
        <v>1671</v>
      </c>
      <c r="H26" s="7">
        <f>IFERROR(__xludf.DUMMYFUNCTION("""COMPUTED_VALUE"""),6.34)</f>
        <v>6.34</v>
      </c>
      <c r="I26" s="2">
        <f>IFERROR(__xludf.DUMMYFUNCTION("""COMPUTED_VALUE"""),12.14)</f>
        <v>12.14</v>
      </c>
      <c r="J26" s="4">
        <f>IFERROR(__xludf.DUMMYFUNCTION("""COMPUTED_VALUE"""),9.23)</f>
        <v>9.23</v>
      </c>
      <c r="K26" s="8">
        <f>IFERROR(__xludf.DUMMYFUNCTION("""COMPUTED_VALUE"""),-0.0043)</f>
        <v>-0.0043</v>
      </c>
    </row>
    <row r="27" ht="15.75" customHeight="1">
      <c r="C27" s="2" t="str">
        <f>IFERROR(__xludf.DUMMYFUNCTION("""COMPUTED_VALUE"""),"Bulgaria [+]")</f>
        <v>Bulgaria [+]</v>
      </c>
      <c r="D27" s="2">
        <f>IFERROR(__xludf.DUMMYFUNCTION("""COMPUTED_VALUE"""),2016.0)</f>
        <v>2016</v>
      </c>
      <c r="E27" s="2">
        <f>IFERROR(__xludf.DUMMYFUNCTION("""COMPUTED_VALUE"""),157.0)</f>
        <v>157</v>
      </c>
      <c r="F27" s="2">
        <f>IFERROR(__xludf.DUMMYFUNCTION("""COMPUTED_VALUE"""),507.0)</f>
        <v>507</v>
      </c>
      <c r="G27" s="2">
        <f>IFERROR(__xludf.DUMMYFUNCTION("""COMPUTED_VALUE"""),664.0)</f>
        <v>664</v>
      </c>
      <c r="H27" s="7">
        <f>IFERROR(__xludf.DUMMYFUNCTION("""COMPUTED_VALUE"""),4.31)</f>
        <v>4.31</v>
      </c>
      <c r="I27" s="2">
        <f>IFERROR(__xludf.DUMMYFUNCTION("""COMPUTED_VALUE"""),14.7)</f>
        <v>14.7</v>
      </c>
      <c r="J27" s="4">
        <f>IFERROR(__xludf.DUMMYFUNCTION("""COMPUTED_VALUE"""),9.36)</f>
        <v>9.36</v>
      </c>
      <c r="K27" s="8">
        <f>IFERROR(__xludf.DUMMYFUNCTION("""COMPUTED_VALUE"""),-0.0209)</f>
        <v>-0.0209</v>
      </c>
    </row>
    <row r="28" ht="15.75" customHeight="1">
      <c r="C28" s="2" t="str">
        <f>IFERROR(__xludf.DUMMYFUNCTION("""COMPUTED_VALUE"""),"Baréin [+]")</f>
        <v>Baréin [+]</v>
      </c>
      <c r="D28" s="2">
        <f>IFERROR(__xludf.DUMMYFUNCTION("""COMPUTED_VALUE"""),2015.0)</f>
        <v>2015</v>
      </c>
      <c r="E28" s="2">
        <f>IFERROR(__xludf.DUMMYFUNCTION("""COMPUTED_VALUE"""),13.0)</f>
        <v>13</v>
      </c>
      <c r="F28" s="2">
        <f>IFERROR(__xludf.DUMMYFUNCTION("""COMPUTED_VALUE"""),77.0)</f>
        <v>77</v>
      </c>
      <c r="G28" s="2">
        <f>IFERROR(__xludf.DUMMYFUNCTION("""COMPUTED_VALUE"""),90.0)</f>
        <v>90</v>
      </c>
      <c r="H28" s="7">
        <f>IFERROR(__xludf.DUMMYFUNCTION("""COMPUTED_VALUE"""),2.4)</f>
        <v>2.4</v>
      </c>
      <c r="I28" s="2">
        <f>IFERROR(__xludf.DUMMYFUNCTION("""COMPUTED_VALUE"""),9.14)</f>
        <v>9.14</v>
      </c>
      <c r="J28" s="4">
        <f>IFERROR(__xludf.DUMMYFUNCTION("""COMPUTED_VALUE"""),6.57)</f>
        <v>6.57</v>
      </c>
      <c r="K28" s="8">
        <f>IFERROR(__xludf.DUMMYFUNCTION("""COMPUTED_VALUE"""),-0.0223)</f>
        <v>-0.0223</v>
      </c>
    </row>
    <row r="29" ht="15.75" customHeight="1">
      <c r="C29" s="2" t="str">
        <f>IFERROR(__xludf.DUMMYFUNCTION("""COMPUTED_VALUE"""),"Burundi [+]")</f>
        <v>Burundi [+]</v>
      </c>
      <c r="D29" s="2">
        <f>IFERROR(__xludf.DUMMYFUNCTION("""COMPUTED_VALUE"""),2015.0)</f>
        <v>2015</v>
      </c>
      <c r="E29" s="2">
        <f>IFERROR(__xludf.DUMMYFUNCTION("""COMPUTED_VALUE"""),223.0)</f>
        <v>223</v>
      </c>
      <c r="F29" s="2">
        <f>IFERROR(__xludf.DUMMYFUNCTION("""COMPUTED_VALUE"""),676.0)</f>
        <v>676</v>
      </c>
      <c r="G29" s="2">
        <f>IFERROR(__xludf.DUMMYFUNCTION("""COMPUTED_VALUE"""),899.0)</f>
        <v>899</v>
      </c>
      <c r="H29" s="7">
        <f>IFERROR(__xludf.DUMMYFUNCTION("""COMPUTED_VALUE"""),4.34)</f>
        <v>4.34</v>
      </c>
      <c r="I29" s="2">
        <f>IFERROR(__xludf.DUMMYFUNCTION("""COMPUTED_VALUE"""),13.45)</f>
        <v>13.45</v>
      </c>
      <c r="J29" s="4">
        <f>IFERROR(__xludf.DUMMYFUNCTION("""COMPUTED_VALUE"""),8.81)</f>
        <v>8.81</v>
      </c>
      <c r="K29" s="8">
        <f>IFERROR(__xludf.DUMMYFUNCTION("""COMPUTED_VALUE"""),-0.0178)</f>
        <v>-0.0178</v>
      </c>
    </row>
    <row r="30" ht="15.75" customHeight="1">
      <c r="C30" s="2" t="str">
        <f>IFERROR(__xludf.DUMMYFUNCTION("""COMPUTED_VALUE"""),"Benin [+]")</f>
        <v>Benin [+]</v>
      </c>
      <c r="D30" s="5">
        <f>IFERROR(__xludf.DUMMYFUNCTION("""COMPUTED_VALUE"""),2015.0)</f>
        <v>2015</v>
      </c>
      <c r="E30" s="2">
        <f>IFERROR(__xludf.DUMMYFUNCTION("""COMPUTED_VALUE"""),298.0)</f>
        <v>298</v>
      </c>
      <c r="F30" s="6">
        <f>IFERROR(__xludf.DUMMYFUNCTION("""COMPUTED_VALUE"""),719.0)</f>
        <v>719</v>
      </c>
      <c r="G30" s="6">
        <f>IFERROR(__xludf.DUMMYFUNCTION("""COMPUTED_VALUE"""),1017.0)</f>
        <v>1017</v>
      </c>
      <c r="H30" s="7">
        <f>IFERROR(__xludf.DUMMYFUNCTION("""COMPUTED_VALUE"""),5.62)</f>
        <v>5.62</v>
      </c>
      <c r="I30" s="2">
        <f>IFERROR(__xludf.DUMMYFUNCTION("""COMPUTED_VALUE"""),13.63)</f>
        <v>13.63</v>
      </c>
      <c r="J30" s="4">
        <f>IFERROR(__xludf.DUMMYFUNCTION("""COMPUTED_VALUE"""),9.61)</f>
        <v>9.61</v>
      </c>
      <c r="K30" s="8">
        <f>IFERROR(__xludf.DUMMYFUNCTION("""COMPUTED_VALUE"""),0.0042)</f>
        <v>0.0042</v>
      </c>
    </row>
    <row r="31" ht="15.75" customHeight="1">
      <c r="C31" s="2" t="str">
        <f>IFERROR(__xludf.DUMMYFUNCTION("""COMPUTED_VALUE"""),"Brunéi [+]")</f>
        <v>Brunéi [+]</v>
      </c>
      <c r="D31" s="2">
        <f>IFERROR(__xludf.DUMMYFUNCTION("""COMPUTED_VALUE"""),2015.0)</f>
        <v>2015</v>
      </c>
      <c r="E31" s="2">
        <f>IFERROR(__xludf.DUMMYFUNCTION("""COMPUTED_VALUE"""),2.0)</f>
        <v>2</v>
      </c>
      <c r="F31" s="2">
        <f>IFERROR(__xludf.DUMMYFUNCTION("""COMPUTED_VALUE"""),4.0)</f>
        <v>4</v>
      </c>
      <c r="G31" s="2">
        <f>IFERROR(__xludf.DUMMYFUNCTION("""COMPUTED_VALUE"""),5.0)</f>
        <v>5</v>
      </c>
      <c r="H31" s="7">
        <f>IFERROR(__xludf.DUMMYFUNCTION("""COMPUTED_VALUE"""),0.96)</f>
        <v>0.96</v>
      </c>
      <c r="I31" s="2">
        <f>IFERROR(__xludf.DUMMYFUNCTION("""COMPUTED_VALUE"""),1.64)</f>
        <v>1.64</v>
      </c>
      <c r="J31" s="4">
        <f>IFERROR(__xludf.DUMMYFUNCTION("""COMPUTED_VALUE"""),1.32)</f>
        <v>1.32</v>
      </c>
      <c r="K31" s="8">
        <f>IFERROR(__xludf.DUMMYFUNCTION("""COMPUTED_VALUE"""),0.1)</f>
        <v>0.1</v>
      </c>
    </row>
    <row r="32" ht="15.75" customHeight="1">
      <c r="C32" s="2" t="str">
        <f>IFERROR(__xludf.DUMMYFUNCTION("""COMPUTED_VALUE"""),"Bolivia [+]")</f>
        <v>Bolivia [+]</v>
      </c>
      <c r="D32" s="2">
        <f>IFERROR(__xludf.DUMMYFUNCTION("""COMPUTED_VALUE"""),2015.0)</f>
        <v>2015</v>
      </c>
      <c r="E32" s="5">
        <f>IFERROR(__xludf.DUMMYFUNCTION("""COMPUTED_VALUE"""),703.0)</f>
        <v>703</v>
      </c>
      <c r="F32" s="6">
        <f>IFERROR(__xludf.DUMMYFUNCTION("""COMPUTED_VALUE"""),1307.0)</f>
        <v>1307</v>
      </c>
      <c r="G32" s="6">
        <f>IFERROR(__xludf.DUMMYFUNCTION("""COMPUTED_VALUE"""),2010.0)</f>
        <v>2010</v>
      </c>
      <c r="H32" s="7">
        <f>IFERROR(__xludf.DUMMYFUNCTION("""COMPUTED_VALUE"""),13.01)</f>
        <v>13.01</v>
      </c>
      <c r="I32" s="2">
        <f>IFERROR(__xludf.DUMMYFUNCTION("""COMPUTED_VALUE"""),23.93)</f>
        <v>23.93</v>
      </c>
      <c r="J32" s="4">
        <f>IFERROR(__xludf.DUMMYFUNCTION("""COMPUTED_VALUE"""),18.56)</f>
        <v>18.56</v>
      </c>
      <c r="K32" s="8">
        <f>IFERROR(__xludf.DUMMYFUNCTION("""COMPUTED_VALUE"""),-0.0122)</f>
        <v>-0.0122</v>
      </c>
    </row>
    <row r="33" ht="15.75" customHeight="1">
      <c r="C33" s="2" t="str">
        <f>IFERROR(__xludf.DUMMYFUNCTION("""COMPUTED_VALUE"""),"Brasil [+]")</f>
        <v>Brasil [+]</v>
      </c>
      <c r="D33" s="2">
        <f>IFERROR(__xludf.DUMMYFUNCTION("""COMPUTED_VALUE"""),2016.0)</f>
        <v>2016</v>
      </c>
      <c r="E33" s="6">
        <f>IFERROR(__xludf.DUMMYFUNCTION("""COMPUTED_VALUE"""),2377.0)</f>
        <v>2377</v>
      </c>
      <c r="F33" s="6">
        <f>IFERROR(__xludf.DUMMYFUNCTION("""COMPUTED_VALUE"""),9052.0)</f>
        <v>9052</v>
      </c>
      <c r="G33" s="6">
        <f>IFERROR(__xludf.DUMMYFUNCTION("""COMPUTED_VALUE"""),11429.0)</f>
        <v>11429</v>
      </c>
      <c r="H33" s="7">
        <f>IFERROR(__xludf.DUMMYFUNCTION("""COMPUTED_VALUE"""),2.3)</f>
        <v>2.3</v>
      </c>
      <c r="I33" s="2">
        <f>IFERROR(__xludf.DUMMYFUNCTION("""COMPUTED_VALUE"""),9.0)</f>
        <v>9</v>
      </c>
      <c r="J33" s="4">
        <f>IFERROR(__xludf.DUMMYFUNCTION("""COMPUTED_VALUE"""),5.6)</f>
        <v>5.6</v>
      </c>
      <c r="K33" s="8">
        <f>IFERROR(__xludf.DUMMYFUNCTION("""COMPUTED_VALUE"""),0.0182)</f>
        <v>0.0182</v>
      </c>
    </row>
    <row r="34" ht="15.75" customHeight="1">
      <c r="C34" s="2" t="str">
        <f>IFERROR(__xludf.DUMMYFUNCTION("""COMPUTED_VALUE"""),"Bahamas [+]")</f>
        <v>Bahamas [+]</v>
      </c>
      <c r="D34" s="2">
        <f>IFERROR(__xludf.DUMMYFUNCTION("""COMPUTED_VALUE"""),2015.0)</f>
        <v>2015</v>
      </c>
      <c r="E34" s="2">
        <f>IFERROR(__xludf.DUMMYFUNCTION("""COMPUTED_VALUE"""),1.0)</f>
        <v>1</v>
      </c>
      <c r="F34" s="2">
        <f>IFERROR(__xludf.DUMMYFUNCTION("""COMPUTED_VALUE"""),6.0)</f>
        <v>6</v>
      </c>
      <c r="G34" s="2">
        <f>IFERROR(__xludf.DUMMYFUNCTION("""COMPUTED_VALUE"""),7.0)</f>
        <v>7</v>
      </c>
      <c r="H34" s="7">
        <f>IFERROR(__xludf.DUMMYFUNCTION("""COMPUTED_VALUE"""),0.44)</f>
        <v>0.44</v>
      </c>
      <c r="I34" s="2">
        <f>IFERROR(__xludf.DUMMYFUNCTION("""COMPUTED_VALUE"""),3.32)</f>
        <v>3.32</v>
      </c>
      <c r="J34" s="4">
        <f>IFERROR(__xludf.DUMMYFUNCTION("""COMPUTED_VALUE"""),1.89)</f>
        <v>1.89</v>
      </c>
      <c r="K34" s="8">
        <f>IFERROR(__xludf.DUMMYFUNCTION("""COMPUTED_VALUE"""),-0.0455)</f>
        <v>-0.0455</v>
      </c>
    </row>
    <row r="35" ht="15.75" customHeight="1">
      <c r="C35" s="2" t="str">
        <f>IFERROR(__xludf.DUMMYFUNCTION("""COMPUTED_VALUE"""),"Bután [+]")</f>
        <v>Bután [+]</v>
      </c>
      <c r="D35" s="2">
        <f>IFERROR(__xludf.DUMMYFUNCTION("""COMPUTED_VALUE"""),2015.0)</f>
        <v>2015</v>
      </c>
      <c r="E35" s="2">
        <f>IFERROR(__xludf.DUMMYFUNCTION("""COMPUTED_VALUE"""),34.0)</f>
        <v>34</v>
      </c>
      <c r="F35" s="2">
        <f>IFERROR(__xludf.DUMMYFUNCTION("""COMPUTED_VALUE"""),57.0)</f>
        <v>57</v>
      </c>
      <c r="G35" s="2">
        <f>IFERROR(__xludf.DUMMYFUNCTION("""COMPUTED_VALUE"""),91.0)</f>
        <v>91</v>
      </c>
      <c r="H35" s="7">
        <f>IFERROR(__xludf.DUMMYFUNCTION("""COMPUTED_VALUE"""),9.81)</f>
        <v>9.81</v>
      </c>
      <c r="I35" s="2">
        <f>IFERROR(__xludf.DUMMYFUNCTION("""COMPUTED_VALUE"""),14.88)</f>
        <v>14.88</v>
      </c>
      <c r="J35" s="4">
        <f>IFERROR(__xludf.DUMMYFUNCTION("""COMPUTED_VALUE"""),12.75)</f>
        <v>12.75</v>
      </c>
      <c r="K35" s="8">
        <f>IFERROR(__xludf.DUMMYFUNCTION("""COMPUTED_VALUE"""),-0.007)</f>
        <v>-0.007</v>
      </c>
    </row>
    <row r="36" ht="15.75" customHeight="1">
      <c r="C36" s="2" t="str">
        <f>IFERROR(__xludf.DUMMYFUNCTION("""COMPUTED_VALUE"""),"Botsuana [+]")</f>
        <v>Botsuana [+]</v>
      </c>
      <c r="D36" s="5">
        <f>IFERROR(__xludf.DUMMYFUNCTION("""COMPUTED_VALUE"""),2015.0)</f>
        <v>2015</v>
      </c>
      <c r="E36" s="2">
        <f>IFERROR(__xludf.DUMMYFUNCTION("""COMPUTED_VALUE"""),52.0)</f>
        <v>52</v>
      </c>
      <c r="F36" s="6">
        <f>IFERROR(__xludf.DUMMYFUNCTION("""COMPUTED_VALUE"""),168.0)</f>
        <v>168</v>
      </c>
      <c r="G36" s="2">
        <f>IFERROR(__xludf.DUMMYFUNCTION("""COMPUTED_VALUE"""),220.0)</f>
        <v>220</v>
      </c>
      <c r="H36" s="7">
        <f>IFERROR(__xludf.DUMMYFUNCTION("""COMPUTED_VALUE"""),4.75)</f>
        <v>4.75</v>
      </c>
      <c r="I36" s="2">
        <f>IFERROR(__xludf.DUMMYFUNCTION("""COMPUTED_VALUE"""),16.43)</f>
        <v>16.43</v>
      </c>
      <c r="J36" s="4">
        <f>IFERROR(__xludf.DUMMYFUNCTION("""COMPUTED_VALUE"""),10.37)</f>
        <v>10.37</v>
      </c>
      <c r="K36" s="8">
        <f>IFERROR(__xludf.DUMMYFUNCTION("""COMPUTED_VALUE"""),-0.0152)</f>
        <v>-0.0152</v>
      </c>
    </row>
    <row r="37" ht="15.75" customHeight="1">
      <c r="C37" s="2" t="str">
        <f>IFERROR(__xludf.DUMMYFUNCTION("""COMPUTED_VALUE"""),"Bielorrusia [+]")</f>
        <v>Bielorrusia [+]</v>
      </c>
      <c r="D37" s="2">
        <f>IFERROR(__xludf.DUMMYFUNCTION("""COMPUTED_VALUE"""),2015.0)</f>
        <v>2015</v>
      </c>
      <c r="E37" s="2">
        <f>IFERROR(__xludf.DUMMYFUNCTION("""COMPUTED_VALUE"""),353.0)</f>
        <v>353</v>
      </c>
      <c r="F37" s="6">
        <f>IFERROR(__xludf.DUMMYFUNCTION("""COMPUTED_VALUE"""),1809.0)</f>
        <v>1809</v>
      </c>
      <c r="G37" s="6">
        <f>IFERROR(__xludf.DUMMYFUNCTION("""COMPUTED_VALUE"""),2162.0)</f>
        <v>2162</v>
      </c>
      <c r="H37" s="7">
        <f>IFERROR(__xludf.DUMMYFUNCTION("""COMPUTED_VALUE"""),6.95)</f>
        <v>6.95</v>
      </c>
      <c r="I37" s="2">
        <f>IFERROR(__xludf.DUMMYFUNCTION("""COMPUTED_VALUE"""),40.92)</f>
        <v>40.92</v>
      </c>
      <c r="J37" s="4">
        <f>IFERROR(__xludf.DUMMYFUNCTION("""COMPUTED_VALUE"""),22.76)</f>
        <v>22.76</v>
      </c>
      <c r="K37" s="8">
        <f>IFERROR(__xludf.DUMMYFUNCTION("""COMPUTED_VALUE"""),0.0397)</f>
        <v>0.0397</v>
      </c>
    </row>
    <row r="38" ht="15.75" customHeight="1">
      <c r="C38" s="2" t="str">
        <f>IFERROR(__xludf.DUMMYFUNCTION("""COMPUTED_VALUE"""),"Belice [+]")</f>
        <v>Belice [+]</v>
      </c>
      <c r="D38" s="5">
        <f>IFERROR(__xludf.DUMMYFUNCTION("""COMPUTED_VALUE"""),2015.0)</f>
        <v>2015</v>
      </c>
      <c r="E38" s="2">
        <f>IFERROR(__xludf.DUMMYFUNCTION("""COMPUTED_VALUE"""),4.0)</f>
        <v>4</v>
      </c>
      <c r="F38" s="6">
        <f>IFERROR(__xludf.DUMMYFUNCTION("""COMPUTED_VALUE"""),22.0)</f>
        <v>22</v>
      </c>
      <c r="G38" s="2">
        <f>IFERROR(__xludf.DUMMYFUNCTION("""COMPUTED_VALUE"""),26.0)</f>
        <v>26</v>
      </c>
      <c r="H38" s="7">
        <f>IFERROR(__xludf.DUMMYFUNCTION("""COMPUTED_VALUE"""),2.29)</f>
        <v>2.29</v>
      </c>
      <c r="I38" s="2">
        <f>IFERROR(__xludf.DUMMYFUNCTION("""COMPUTED_VALUE"""),12.34)</f>
        <v>12.34</v>
      </c>
      <c r="J38" s="4">
        <f>IFERROR(__xludf.DUMMYFUNCTION("""COMPUTED_VALUE"""),7.17)</f>
        <v>7.17</v>
      </c>
      <c r="K38" s="8">
        <f>IFERROR(__xludf.DUMMYFUNCTION("""COMPUTED_VALUE"""),-0.0165)</f>
        <v>-0.0165</v>
      </c>
    </row>
    <row r="39" ht="15.75" customHeight="1">
      <c r="C39" s="2" t="str">
        <f>IFERROR(__xludf.DUMMYFUNCTION("""COMPUTED_VALUE"""),"Canadá [+]")</f>
        <v>Canadá [+]</v>
      </c>
      <c r="D39" s="5">
        <f>IFERROR(__xludf.DUMMYFUNCTION("""COMPUTED_VALUE"""),2016.0)</f>
        <v>2016</v>
      </c>
      <c r="E39" s="6">
        <f>IFERROR(__xludf.DUMMYFUNCTION("""COMPUTED_VALUE"""),1039.0)</f>
        <v>1039</v>
      </c>
      <c r="F39" s="6">
        <f>IFERROR(__xludf.DUMMYFUNCTION("""COMPUTED_VALUE"""),2935.0)</f>
        <v>2935</v>
      </c>
      <c r="G39" s="6">
        <f>IFERROR(__xludf.DUMMYFUNCTION("""COMPUTED_VALUE"""),3974.0)</f>
        <v>3974</v>
      </c>
      <c r="H39" s="7">
        <f>IFERROR(__xludf.DUMMYFUNCTION("""COMPUTED_VALUE"""),5.7)</f>
        <v>5.7</v>
      </c>
      <c r="I39" s="2">
        <f>IFERROR(__xludf.DUMMYFUNCTION("""COMPUTED_VALUE"""),16.4)</f>
        <v>16.4</v>
      </c>
      <c r="J39" s="4">
        <f>IFERROR(__xludf.DUMMYFUNCTION("""COMPUTED_VALUE"""),11.0)</f>
        <v>11</v>
      </c>
      <c r="K39" s="8">
        <f>IFERROR(__xludf.DUMMYFUNCTION("""COMPUTED_VALUE"""),-0.1057)</f>
        <v>-0.1057</v>
      </c>
    </row>
    <row r="40" ht="15.75" customHeight="1">
      <c r="C40" s="2" t="str">
        <f>IFERROR(__xludf.DUMMYFUNCTION("""COMPUTED_VALUE"""),"República Democrática del Congo [+]")</f>
        <v>República Democrática del Congo [+]</v>
      </c>
      <c r="D40" s="5">
        <f>IFERROR(__xludf.DUMMYFUNCTION("""COMPUTED_VALUE"""),2015.0)</f>
        <v>2015</v>
      </c>
      <c r="E40" s="6">
        <f>IFERROR(__xludf.DUMMYFUNCTION("""COMPUTED_VALUE"""),2300.0)</f>
        <v>2300</v>
      </c>
      <c r="F40" s="6">
        <f>IFERROR(__xludf.DUMMYFUNCTION("""COMPUTED_VALUE"""),5277.0)</f>
        <v>5277</v>
      </c>
      <c r="G40" s="6">
        <f>IFERROR(__xludf.DUMMYFUNCTION("""COMPUTED_VALUE"""),7577.0)</f>
        <v>7577</v>
      </c>
      <c r="H40" s="7">
        <f>IFERROR(__xludf.DUMMYFUNCTION("""COMPUTED_VALUE"""),6.02)</f>
        <v>6.02</v>
      </c>
      <c r="I40" s="2">
        <f>IFERROR(__xludf.DUMMYFUNCTION("""COMPUTED_VALUE"""),13.88)</f>
        <v>13.88</v>
      </c>
      <c r="J40" s="4">
        <f>IFERROR(__xludf.DUMMYFUNCTION("""COMPUTED_VALUE"""),9.81)</f>
        <v>9.81</v>
      </c>
      <c r="K40" s="8">
        <f>IFERROR(__xludf.DUMMYFUNCTION("""COMPUTED_VALUE"""),0.0124)</f>
        <v>0.0124</v>
      </c>
    </row>
    <row r="41" ht="15.75" customHeight="1">
      <c r="C41" s="2" t="str">
        <f>IFERROR(__xludf.DUMMYFUNCTION("""COMPUTED_VALUE"""),"República Centroafricana [+]")</f>
        <v>República Centroafricana [+]</v>
      </c>
      <c r="D41" s="2">
        <f>IFERROR(__xludf.DUMMYFUNCTION("""COMPUTED_VALUE"""),2015.0)</f>
        <v>2015</v>
      </c>
      <c r="E41" s="2">
        <f>IFERROR(__xludf.DUMMYFUNCTION("""COMPUTED_VALUE"""),205.0)</f>
        <v>205</v>
      </c>
      <c r="F41" s="2">
        <f>IFERROR(__xludf.DUMMYFUNCTION("""COMPUTED_VALUE"""),646.0)</f>
        <v>646</v>
      </c>
      <c r="G41" s="2">
        <f>IFERROR(__xludf.DUMMYFUNCTION("""COMPUTED_VALUE"""),851.0)</f>
        <v>851</v>
      </c>
      <c r="H41" s="7">
        <f>IFERROR(__xludf.DUMMYFUNCTION("""COMPUTED_VALUE"""),9.03)</f>
        <v>9.03</v>
      </c>
      <c r="I41" s="2">
        <f>IFERROR(__xludf.DUMMYFUNCTION("""COMPUTED_VALUE"""),29.03)</f>
        <v>29.03</v>
      </c>
      <c r="J41" s="4">
        <f>IFERROR(__xludf.DUMMYFUNCTION("""COMPUTED_VALUE"""),18.94)</f>
        <v>18.94</v>
      </c>
      <c r="K41" s="8">
        <f>IFERROR(__xludf.DUMMYFUNCTION("""COMPUTED_VALUE"""),-0.0099)</f>
        <v>-0.0099</v>
      </c>
    </row>
    <row r="42" ht="15.75" customHeight="1">
      <c r="C42" s="2" t="str">
        <f>IFERROR(__xludf.DUMMYFUNCTION("""COMPUTED_VALUE"""),"República del Congo [+]")</f>
        <v>República del Congo [+]</v>
      </c>
      <c r="D42" s="2">
        <f>IFERROR(__xludf.DUMMYFUNCTION("""COMPUTED_VALUE"""),2015.0)</f>
        <v>2015</v>
      </c>
      <c r="E42" s="2">
        <f>IFERROR(__xludf.DUMMYFUNCTION("""COMPUTED_VALUE"""),112.0)</f>
        <v>112</v>
      </c>
      <c r="F42" s="2">
        <f>IFERROR(__xludf.DUMMYFUNCTION("""COMPUTED_VALUE"""),331.0)</f>
        <v>331</v>
      </c>
      <c r="G42" s="2">
        <f>IFERROR(__xludf.DUMMYFUNCTION("""COMPUTED_VALUE"""),443.0)</f>
        <v>443</v>
      </c>
      <c r="H42" s="7">
        <f>IFERROR(__xludf.DUMMYFUNCTION("""COMPUTED_VALUE"""),4.6)</f>
        <v>4.6</v>
      </c>
      <c r="I42" s="2">
        <f>IFERROR(__xludf.DUMMYFUNCTION("""COMPUTED_VALUE"""),13.66)</f>
        <v>13.66</v>
      </c>
      <c r="J42" s="4">
        <f>IFERROR(__xludf.DUMMYFUNCTION("""COMPUTED_VALUE"""),10.7)</f>
        <v>10.7</v>
      </c>
      <c r="K42" s="8">
        <f>IFERROR(__xludf.DUMMYFUNCTION("""COMPUTED_VALUE"""),-0.0237)</f>
        <v>-0.0237</v>
      </c>
    </row>
    <row r="43" ht="15.75" customHeight="1">
      <c r="C43" s="2" t="str">
        <f>IFERROR(__xludf.DUMMYFUNCTION("""COMPUTED_VALUE"""),"Suiza [+]")</f>
        <v>Suiza [+]</v>
      </c>
      <c r="D43" s="5">
        <f>IFERROR(__xludf.DUMMYFUNCTION("""COMPUTED_VALUE"""),2016.0)</f>
        <v>2016</v>
      </c>
      <c r="E43" s="2">
        <f>IFERROR(__xludf.DUMMYFUNCTION("""COMPUTED_VALUE"""),267.0)</f>
        <v>267</v>
      </c>
      <c r="F43" s="6">
        <f>IFERROR(__xludf.DUMMYFUNCTION("""COMPUTED_VALUE"""),794.0)</f>
        <v>794</v>
      </c>
      <c r="G43" s="6">
        <f>IFERROR(__xludf.DUMMYFUNCTION("""COMPUTED_VALUE"""),1061.0)</f>
        <v>1061</v>
      </c>
      <c r="H43" s="7">
        <f>IFERROR(__xludf.DUMMYFUNCTION("""COMPUTED_VALUE"""),6.13)</f>
        <v>6.13</v>
      </c>
      <c r="I43" s="2">
        <f>IFERROR(__xludf.DUMMYFUNCTION("""COMPUTED_VALUE"""),18.49)</f>
        <v>18.49</v>
      </c>
      <c r="J43" s="4">
        <f>IFERROR(__xludf.DUMMYFUNCTION("""COMPUTED_VALUE"""),12.25)</f>
        <v>12.25</v>
      </c>
      <c r="K43" s="8">
        <f>IFERROR(__xludf.DUMMYFUNCTION("""COMPUTED_VALUE"""),-0.0591)</f>
        <v>-0.0591</v>
      </c>
    </row>
    <row r="44" ht="15.75" customHeight="1">
      <c r="C44" s="2" t="str">
        <f>IFERROR(__xludf.DUMMYFUNCTION("""COMPUTED_VALUE"""),"Costa de Marfil [+]")</f>
        <v>Costa de Marfil [+]</v>
      </c>
      <c r="D44" s="2">
        <f>IFERROR(__xludf.DUMMYFUNCTION("""COMPUTED_VALUE"""),2015.0)</f>
        <v>2015</v>
      </c>
      <c r="E44" s="6">
        <f>IFERROR(__xludf.DUMMYFUNCTION("""COMPUTED_VALUE"""),1089.0)</f>
        <v>1089</v>
      </c>
      <c r="F44" s="6">
        <f>IFERROR(__xludf.DUMMYFUNCTION("""COMPUTED_VALUE"""),3015.0)</f>
        <v>3015</v>
      </c>
      <c r="G44" s="6">
        <f>IFERROR(__xludf.DUMMYFUNCTION("""COMPUTED_VALUE"""),4104.0)</f>
        <v>4104</v>
      </c>
      <c r="H44" s="7">
        <f>IFERROR(__xludf.DUMMYFUNCTION("""COMPUTED_VALUE"""),9.48)</f>
        <v>9.48</v>
      </c>
      <c r="I44" s="2">
        <f>IFERROR(__xludf.DUMMYFUNCTION("""COMPUTED_VALUE"""),25.67)</f>
        <v>25.67</v>
      </c>
      <c r="J44" s="4">
        <f>IFERROR(__xludf.DUMMYFUNCTION("""COMPUTED_VALUE"""),17.31)</f>
        <v>17.31</v>
      </c>
      <c r="K44" s="8">
        <f>IFERROR(__xludf.DUMMYFUNCTION("""COMPUTED_VALUE"""),0.0076)</f>
        <v>0.0076</v>
      </c>
    </row>
    <row r="45" ht="15.75" customHeight="1">
      <c r="C45" s="2" t="str">
        <f>IFERROR(__xludf.DUMMYFUNCTION("""COMPUTED_VALUE"""),"Chile [+]")</f>
        <v>Chile [+]</v>
      </c>
      <c r="D45" s="5">
        <f>IFERROR(__xludf.DUMMYFUNCTION("""COMPUTED_VALUE"""),2016.0)</f>
        <v>2016</v>
      </c>
      <c r="E45" s="2">
        <f>IFERROR(__xludf.DUMMYFUNCTION("""COMPUTED_VALUE"""),317.0)</f>
        <v>317</v>
      </c>
      <c r="F45" s="6">
        <f>IFERROR(__xludf.DUMMYFUNCTION("""COMPUTED_VALUE"""),1541.0)</f>
        <v>1541</v>
      </c>
      <c r="G45" s="6">
        <f>IFERROR(__xludf.DUMMYFUNCTION("""COMPUTED_VALUE"""),1858.0)</f>
        <v>1858</v>
      </c>
      <c r="H45" s="7">
        <f>IFERROR(__xludf.DUMMYFUNCTION("""COMPUTED_VALUE"""),3.4)</f>
        <v>3.4</v>
      </c>
      <c r="I45" s="2">
        <f>IFERROR(__xludf.DUMMYFUNCTION("""COMPUTED_VALUE"""),17.2)</f>
        <v>17.2</v>
      </c>
      <c r="J45" s="4">
        <f>IFERROR(__xludf.DUMMYFUNCTION("""COMPUTED_VALUE"""),10.2)</f>
        <v>10.2</v>
      </c>
      <c r="K45" s="4">
        <f>IFERROR(__xludf.DUMMYFUNCTION("""COMPUTED_VALUE"""),0.0)</f>
        <v>0</v>
      </c>
    </row>
    <row r="46" ht="15.75" customHeight="1">
      <c r="C46" s="2" t="str">
        <f>IFERROR(__xludf.DUMMYFUNCTION("""COMPUTED_VALUE"""),"Camerún [+]")</f>
        <v>Camerún [+]</v>
      </c>
      <c r="D46" s="5">
        <f>IFERROR(__xludf.DUMMYFUNCTION("""COMPUTED_VALUE"""),2015.0)</f>
        <v>2015</v>
      </c>
      <c r="E46" s="2">
        <f>IFERROR(__xludf.DUMMYFUNCTION("""COMPUTED_VALUE"""),647.0)</f>
        <v>647</v>
      </c>
      <c r="F46" s="6">
        <f>IFERROR(__xludf.DUMMYFUNCTION("""COMPUTED_VALUE"""),2139.0)</f>
        <v>2139</v>
      </c>
      <c r="G46" s="6">
        <f>IFERROR(__xludf.DUMMYFUNCTION("""COMPUTED_VALUE"""),2787.0)</f>
        <v>2787</v>
      </c>
      <c r="H46" s="7">
        <f>IFERROR(__xludf.DUMMYFUNCTION("""COMPUTED_VALUE"""),5.55)</f>
        <v>5.55</v>
      </c>
      <c r="I46" s="2">
        <f>IFERROR(__xludf.DUMMYFUNCTION("""COMPUTED_VALUE"""),18.38)</f>
        <v>18.38</v>
      </c>
      <c r="J46" s="4">
        <f>IFERROR(__xludf.DUMMYFUNCTION("""COMPUTED_VALUE"""),11.96)</f>
        <v>11.96</v>
      </c>
      <c r="K46" s="8">
        <f>IFERROR(__xludf.DUMMYFUNCTION("""COMPUTED_VALUE"""),-0.0108)</f>
        <v>-0.0108</v>
      </c>
    </row>
    <row r="47" ht="15.75" customHeight="1">
      <c r="C47" s="2" t="str">
        <f>IFERROR(__xludf.DUMMYFUNCTION("""COMPUTED_VALUE"""),"Colombia [+]")</f>
        <v>Colombia [+]</v>
      </c>
      <c r="D47" s="2">
        <f>IFERROR(__xludf.DUMMYFUNCTION("""COMPUTED_VALUE"""),2016.0)</f>
        <v>2016</v>
      </c>
      <c r="E47" s="2">
        <f>IFERROR(__xludf.DUMMYFUNCTION("""COMPUTED_VALUE"""),447.0)</f>
        <v>447</v>
      </c>
      <c r="F47" s="6">
        <f>IFERROR(__xludf.DUMMYFUNCTION("""COMPUTED_VALUE"""),2033.0)</f>
        <v>2033</v>
      </c>
      <c r="G47" s="6">
        <f>IFERROR(__xludf.DUMMYFUNCTION("""COMPUTED_VALUE"""),2480.0)</f>
        <v>2480</v>
      </c>
      <c r="H47" s="7">
        <f>IFERROR(__xludf.DUMMYFUNCTION("""COMPUTED_VALUE"""),1.8)</f>
        <v>1.8</v>
      </c>
      <c r="I47" s="2">
        <f>IFERROR(__xludf.DUMMYFUNCTION("""COMPUTED_VALUE"""),8.4)</f>
        <v>8.4</v>
      </c>
      <c r="J47" s="4">
        <f>IFERROR(__xludf.DUMMYFUNCTION("""COMPUTED_VALUE"""),5.1)</f>
        <v>5.1</v>
      </c>
      <c r="K47" s="8">
        <f>IFERROR(__xludf.DUMMYFUNCTION("""COMPUTED_VALUE"""),0.0408)</f>
        <v>0.0408</v>
      </c>
    </row>
    <row r="48" ht="15.75" customHeight="1">
      <c r="C48" s="2" t="str">
        <f>IFERROR(__xludf.DUMMYFUNCTION("""COMPUTED_VALUE"""),"Costa Rica [+]")</f>
        <v>Costa Rica [+]</v>
      </c>
      <c r="D48" s="2">
        <f>IFERROR(__xludf.DUMMYFUNCTION("""COMPUTED_VALUE"""),2016.0)</f>
        <v>2016</v>
      </c>
      <c r="E48" s="2">
        <f>IFERROR(__xludf.DUMMYFUNCTION("""COMPUTED_VALUE"""),52.0)</f>
        <v>52</v>
      </c>
      <c r="F48" s="2">
        <f>IFERROR(__xludf.DUMMYFUNCTION("""COMPUTED_VALUE"""),284.0)</f>
        <v>284</v>
      </c>
      <c r="G48" s="2">
        <f>IFERROR(__xludf.DUMMYFUNCTION("""COMPUTED_VALUE"""),336.0)</f>
        <v>336</v>
      </c>
      <c r="H48" s="7">
        <f>IFERROR(__xludf.DUMMYFUNCTION("""COMPUTED_VALUE"""),2.1)</f>
        <v>2.1</v>
      </c>
      <c r="I48" s="2">
        <f>IFERROR(__xludf.DUMMYFUNCTION("""COMPUTED_VALUE"""),11.5)</f>
        <v>11.5</v>
      </c>
      <c r="J48" s="4">
        <f>IFERROR(__xludf.DUMMYFUNCTION("""COMPUTED_VALUE"""),6.9)</f>
        <v>6.9</v>
      </c>
      <c r="K48" s="8">
        <f>IFERROR(__xludf.DUMMYFUNCTION("""COMPUTED_VALUE"""),0.0615)</f>
        <v>0.0615</v>
      </c>
    </row>
    <row r="49" ht="15.75" customHeight="1">
      <c r="C49" s="2" t="str">
        <f>IFERROR(__xludf.DUMMYFUNCTION("""COMPUTED_VALUE"""),"Cuba [+]")</f>
        <v>Cuba [+]</v>
      </c>
      <c r="D49" s="5">
        <f>IFERROR(__xludf.DUMMYFUNCTION("""COMPUTED_VALUE"""),2015.0)</f>
        <v>2015</v>
      </c>
      <c r="E49" s="2">
        <f>IFERROR(__xludf.DUMMYFUNCTION("""COMPUTED_VALUE"""),325.0)</f>
        <v>325</v>
      </c>
      <c r="F49" s="6">
        <f>IFERROR(__xludf.DUMMYFUNCTION("""COMPUTED_VALUE"""),1275.0)</f>
        <v>1275</v>
      </c>
      <c r="G49" s="6">
        <f>IFERROR(__xludf.DUMMYFUNCTION("""COMPUTED_VALUE"""),1600.0)</f>
        <v>1600</v>
      </c>
      <c r="H49" s="7">
        <f>IFERROR(__xludf.DUMMYFUNCTION("""COMPUTED_VALUE"""),5.7)</f>
        <v>5.7</v>
      </c>
      <c r="I49" s="2">
        <f>IFERROR(__xludf.DUMMYFUNCTION("""COMPUTED_VALUE"""),22.66)</f>
        <v>22.66</v>
      </c>
      <c r="J49" s="4">
        <f>IFERROR(__xludf.DUMMYFUNCTION("""COMPUTED_VALUE"""),14.13)</f>
        <v>14.13</v>
      </c>
      <c r="K49" s="8">
        <f>IFERROR(__xludf.DUMMYFUNCTION("""COMPUTED_VALUE"""),0.0521)</f>
        <v>0.0521</v>
      </c>
    </row>
    <row r="50" ht="15.75" customHeight="1">
      <c r="C50" s="2" t="str">
        <f>IFERROR(__xludf.DUMMYFUNCTION("""COMPUTED_VALUE"""),"Cabo Verde [+]")</f>
        <v>Cabo Verde [+]</v>
      </c>
      <c r="D50" s="5">
        <f>IFERROR(__xludf.DUMMYFUNCTION("""COMPUTED_VALUE"""),2015.0)</f>
        <v>2015</v>
      </c>
      <c r="E50" s="2">
        <f>IFERROR(__xludf.DUMMYFUNCTION("""COMPUTED_VALUE"""),15.0)</f>
        <v>15</v>
      </c>
      <c r="F50" s="2">
        <f>IFERROR(__xludf.DUMMYFUNCTION("""COMPUTED_VALUE"""),30.0)</f>
        <v>30</v>
      </c>
      <c r="G50" s="2">
        <f>IFERROR(__xludf.DUMMYFUNCTION("""COMPUTED_VALUE"""),44.0)</f>
        <v>44</v>
      </c>
      <c r="H50" s="7">
        <f>IFERROR(__xludf.DUMMYFUNCTION("""COMPUTED_VALUE"""),5.6)</f>
        <v>5.6</v>
      </c>
      <c r="I50" s="2">
        <f>IFERROR(__xludf.DUMMYFUNCTION("""COMPUTED_VALUE"""),11.28)</f>
        <v>11.28</v>
      </c>
      <c r="J50" s="4">
        <f>IFERROR(__xludf.DUMMYFUNCTION("""COMPUTED_VALUE"""),8.32)</f>
        <v>8.32</v>
      </c>
      <c r="K50" s="8">
        <f>IFERROR(__xludf.DUMMYFUNCTION("""COMPUTED_VALUE"""),-0.0404)</f>
        <v>-0.0404</v>
      </c>
    </row>
    <row r="51" ht="15.75" customHeight="1">
      <c r="C51" s="2" t="str">
        <f>IFERROR(__xludf.DUMMYFUNCTION("""COMPUTED_VALUE"""),"Chipre [+]")</f>
        <v>Chipre [+]</v>
      </c>
      <c r="D51" s="2">
        <f>IFERROR(__xludf.DUMMYFUNCTION("""COMPUTED_VALUE"""),2016.0)</f>
        <v>2016</v>
      </c>
      <c r="E51" s="2">
        <f>IFERROR(__xludf.DUMMYFUNCTION("""COMPUTED_VALUE"""),5.0)</f>
        <v>5</v>
      </c>
      <c r="F51" s="2">
        <f>IFERROR(__xludf.DUMMYFUNCTION("""COMPUTED_VALUE"""),31.0)</f>
        <v>31</v>
      </c>
      <c r="G51" s="2">
        <f>IFERROR(__xludf.DUMMYFUNCTION("""COMPUTED_VALUE"""),36.0)</f>
        <v>36</v>
      </c>
      <c r="H51" s="7">
        <f>IFERROR(__xludf.DUMMYFUNCTION("""COMPUTED_VALUE"""),1.14)</f>
        <v>1.14</v>
      </c>
      <c r="I51" s="2">
        <f>IFERROR(__xludf.DUMMYFUNCTION("""COMPUTED_VALUE"""),6.75)</f>
        <v>6.75</v>
      </c>
      <c r="J51" s="4">
        <f>IFERROR(__xludf.DUMMYFUNCTION("""COMPUTED_VALUE"""),3.88)</f>
        <v>3.88</v>
      </c>
      <c r="K51" s="8">
        <f>IFERROR(__xludf.DUMMYFUNCTION("""COMPUTED_VALUE"""),-0.1565)</f>
        <v>-0.1565</v>
      </c>
    </row>
    <row r="52" ht="15.75" customHeight="1">
      <c r="C52" s="2" t="str">
        <f>IFERROR(__xludf.DUMMYFUNCTION("""COMPUTED_VALUE"""),"Chequia [+]")</f>
        <v>Chequia [+]</v>
      </c>
      <c r="D52" s="5">
        <f>IFERROR(__xludf.DUMMYFUNCTION("""COMPUTED_VALUE"""),2016.0)</f>
        <v>2016</v>
      </c>
      <c r="E52" s="2">
        <f>IFERROR(__xludf.DUMMYFUNCTION("""COMPUTED_VALUE"""),260.0)</f>
        <v>260</v>
      </c>
      <c r="F52" s="6">
        <f>IFERROR(__xludf.DUMMYFUNCTION("""COMPUTED_VALUE"""),1088.0)</f>
        <v>1088</v>
      </c>
      <c r="G52" s="6">
        <f>IFERROR(__xludf.DUMMYFUNCTION("""COMPUTED_VALUE"""),1348.0)</f>
        <v>1348</v>
      </c>
      <c r="H52" s="7">
        <f>IFERROR(__xludf.DUMMYFUNCTION("""COMPUTED_VALUE"""),4.8)</f>
        <v>4.8</v>
      </c>
      <c r="I52" s="2">
        <f>IFERROR(__xludf.DUMMYFUNCTION("""COMPUTED_VALUE"""),20.49)</f>
        <v>20.49</v>
      </c>
      <c r="J52" s="4">
        <f>IFERROR(__xludf.DUMMYFUNCTION("""COMPUTED_VALUE"""),12.51)</f>
        <v>12.51</v>
      </c>
      <c r="K52" s="8">
        <f>IFERROR(__xludf.DUMMYFUNCTION("""COMPUTED_VALUE"""),-0.0558)</f>
        <v>-0.0558</v>
      </c>
    </row>
    <row r="53" ht="15.75" customHeight="1">
      <c r="C53" s="2" t="str">
        <f>IFERROR(__xludf.DUMMYFUNCTION("""COMPUTED_VALUE"""),"Yibuti [+]")</f>
        <v>Yibuti [+]</v>
      </c>
      <c r="D53" s="5">
        <f>IFERROR(__xludf.DUMMYFUNCTION("""COMPUTED_VALUE"""),2015.0)</f>
        <v>2015</v>
      </c>
      <c r="E53" s="2">
        <f>IFERROR(__xludf.DUMMYFUNCTION("""COMPUTED_VALUE"""),24.0)</f>
        <v>24</v>
      </c>
      <c r="F53" s="6">
        <f>IFERROR(__xludf.DUMMYFUNCTION("""COMPUTED_VALUE"""),53.0)</f>
        <v>53</v>
      </c>
      <c r="G53" s="2">
        <f>IFERROR(__xludf.DUMMYFUNCTION("""COMPUTED_VALUE"""),76.0)</f>
        <v>76</v>
      </c>
      <c r="H53" s="7">
        <f>IFERROR(__xludf.DUMMYFUNCTION("""COMPUTED_VALUE"""),5.49)</f>
        <v>5.49</v>
      </c>
      <c r="I53" s="2">
        <f>IFERROR(__xludf.DUMMYFUNCTION("""COMPUTED_VALUE"""),10.9)</f>
        <v>10.9</v>
      </c>
      <c r="J53" s="4">
        <f>IFERROR(__xludf.DUMMYFUNCTION("""COMPUTED_VALUE"""),8.35)</f>
        <v>8.35</v>
      </c>
      <c r="K53" s="8">
        <f>IFERROR(__xludf.DUMMYFUNCTION("""COMPUTED_VALUE"""),-0.0024)</f>
        <v>-0.0024</v>
      </c>
    </row>
    <row r="54" ht="15.75" customHeight="1">
      <c r="C54" s="2" t="str">
        <f>IFERROR(__xludf.DUMMYFUNCTION("""COMPUTED_VALUE"""),"Dinamarca [+]")</f>
        <v>Dinamarca [+]</v>
      </c>
      <c r="D54" s="5">
        <f>IFERROR(__xludf.DUMMYFUNCTION("""COMPUTED_VALUE"""),2016.0)</f>
        <v>2016</v>
      </c>
      <c r="E54" s="2">
        <f>IFERROR(__xludf.DUMMYFUNCTION("""COMPUTED_VALUE"""),144.0)</f>
        <v>144</v>
      </c>
      <c r="F54" s="6">
        <f>IFERROR(__xludf.DUMMYFUNCTION("""COMPUTED_VALUE"""),436.0)</f>
        <v>436</v>
      </c>
      <c r="G54" s="2">
        <f>IFERROR(__xludf.DUMMYFUNCTION("""COMPUTED_VALUE"""),580.0)</f>
        <v>580</v>
      </c>
      <c r="H54" s="7">
        <f>IFERROR(__xludf.DUMMYFUNCTION("""COMPUTED_VALUE"""),4.93)</f>
        <v>4.93</v>
      </c>
      <c r="I54" s="2">
        <f>IFERROR(__xludf.DUMMYFUNCTION("""COMPUTED_VALUE"""),14.99)</f>
        <v>14.99</v>
      </c>
      <c r="J54" s="4">
        <f>IFERROR(__xludf.DUMMYFUNCTION("""COMPUTED_VALUE"""),9.93)</f>
        <v>9.93</v>
      </c>
      <c r="K54" s="8">
        <f>IFERROR(__xludf.DUMMYFUNCTION("""COMPUTED_VALUE"""),0.001)</f>
        <v>0.001</v>
      </c>
    </row>
    <row r="55" ht="15.75" customHeight="1">
      <c r="C55" s="2" t="str">
        <f>IFERROR(__xludf.DUMMYFUNCTION("""COMPUTED_VALUE"""),"República Dominicana [+]")</f>
        <v>República Dominicana [+]</v>
      </c>
      <c r="D55" s="2">
        <f>IFERROR(__xludf.DUMMYFUNCTION("""COMPUTED_VALUE"""),2015.0)</f>
        <v>2015</v>
      </c>
      <c r="E55" s="2">
        <f>IFERROR(__xludf.DUMMYFUNCTION("""COMPUTED_VALUE"""),134.0)</f>
        <v>134</v>
      </c>
      <c r="F55" s="2">
        <f>IFERROR(__xludf.DUMMYFUNCTION("""COMPUTED_VALUE"""),586.0)</f>
        <v>586</v>
      </c>
      <c r="G55" s="2">
        <f>IFERROR(__xludf.DUMMYFUNCTION("""COMPUTED_VALUE"""),720.0)</f>
        <v>720</v>
      </c>
      <c r="H55" s="7">
        <f>IFERROR(__xludf.DUMMYFUNCTION("""COMPUTED_VALUE"""),2.61)</f>
        <v>2.61</v>
      </c>
      <c r="I55" s="2">
        <f>IFERROR(__xludf.DUMMYFUNCTION("""COMPUTED_VALUE"""),11.39)</f>
        <v>11.39</v>
      </c>
      <c r="J55" s="4">
        <f>IFERROR(__xludf.DUMMYFUNCTION("""COMPUTED_VALUE"""),7.22)</f>
        <v>7.22</v>
      </c>
      <c r="K55" s="8">
        <f>IFERROR(__xludf.DUMMYFUNCTION("""COMPUTED_VALUE"""),0.0256)</f>
        <v>0.0256</v>
      </c>
    </row>
    <row r="56" ht="15.75" customHeight="1">
      <c r="C56" s="2" t="str">
        <f>IFERROR(__xludf.DUMMYFUNCTION("""COMPUTED_VALUE"""),"Argelia [+]")</f>
        <v>Argelia [+]</v>
      </c>
      <c r="D56" s="5">
        <f>IFERROR(__xludf.DUMMYFUNCTION("""COMPUTED_VALUE"""),2015.0)</f>
        <v>2015</v>
      </c>
      <c r="E56" s="2">
        <f>IFERROR(__xludf.DUMMYFUNCTION("""COMPUTED_VALUE"""),236.0)</f>
        <v>236</v>
      </c>
      <c r="F56" s="6">
        <f>IFERROR(__xludf.DUMMYFUNCTION("""COMPUTED_VALUE"""),989.0)</f>
        <v>989</v>
      </c>
      <c r="G56" s="6">
        <f>IFERROR(__xludf.DUMMYFUNCTION("""COMPUTED_VALUE"""),1225.0)</f>
        <v>1225</v>
      </c>
      <c r="H56" s="7">
        <f>IFERROR(__xludf.DUMMYFUNCTION("""COMPUTED_VALUE"""),1.2)</f>
        <v>1.2</v>
      </c>
      <c r="I56" s="2">
        <f>IFERROR(__xludf.DUMMYFUNCTION("""COMPUTED_VALUE"""),4.93)</f>
        <v>4.93</v>
      </c>
      <c r="J56" s="4">
        <f>IFERROR(__xludf.DUMMYFUNCTION("""COMPUTED_VALUE"""),3.07)</f>
        <v>3.07</v>
      </c>
      <c r="K56" s="8">
        <f>IFERROR(__xludf.DUMMYFUNCTION("""COMPUTED_VALUE"""),-0.0097)</f>
        <v>-0.0097</v>
      </c>
    </row>
    <row r="57" ht="15.75" customHeight="1">
      <c r="C57" s="2" t="str">
        <f>IFERROR(__xludf.DUMMYFUNCTION("""COMPUTED_VALUE"""),"Ecuador [+]")</f>
        <v>Ecuador [+]</v>
      </c>
      <c r="D57" s="2">
        <f>IFERROR(__xludf.DUMMYFUNCTION("""COMPUTED_VALUE"""),2015.0)</f>
        <v>2015</v>
      </c>
      <c r="E57" s="2">
        <f>IFERROR(__xludf.DUMMYFUNCTION("""COMPUTED_VALUE"""),304.0)</f>
        <v>304</v>
      </c>
      <c r="F57" s="2">
        <f>IFERROR(__xludf.DUMMYFUNCTION("""COMPUTED_VALUE"""),903.0)</f>
        <v>903</v>
      </c>
      <c r="G57" s="6">
        <f>IFERROR(__xludf.DUMMYFUNCTION("""COMPUTED_VALUE"""),1207.0)</f>
        <v>1207</v>
      </c>
      <c r="H57" s="7">
        <f>IFERROR(__xludf.DUMMYFUNCTION("""COMPUTED_VALUE"""),3.75)</f>
        <v>3.75</v>
      </c>
      <c r="I57" s="2">
        <f>IFERROR(__xludf.DUMMYFUNCTION("""COMPUTED_VALUE"""),11.13)</f>
        <v>11.13</v>
      </c>
      <c r="J57" s="4">
        <f>IFERROR(__xludf.DUMMYFUNCTION("""COMPUTED_VALUE"""),7.42)</f>
        <v>7.42</v>
      </c>
      <c r="K57" s="8">
        <f>IFERROR(__xludf.DUMMYFUNCTION("""COMPUTED_VALUE"""),-0.0962)</f>
        <v>-0.0962</v>
      </c>
    </row>
    <row r="58" ht="15.75" customHeight="1">
      <c r="C58" s="2" t="str">
        <f>IFERROR(__xludf.DUMMYFUNCTION("""COMPUTED_VALUE"""),"Estonia [+]")</f>
        <v>Estonia [+]</v>
      </c>
      <c r="D58" s="5">
        <f>IFERROR(__xludf.DUMMYFUNCTION("""COMPUTED_VALUE"""),2016.0)</f>
        <v>2016</v>
      </c>
      <c r="E58" s="2">
        <f>IFERROR(__xludf.DUMMYFUNCTION("""COMPUTED_VALUE"""),39.0)</f>
        <v>39</v>
      </c>
      <c r="F58" s="6">
        <f>IFERROR(__xludf.DUMMYFUNCTION("""COMPUTED_VALUE"""),148.0)</f>
        <v>148</v>
      </c>
      <c r="G58" s="2">
        <f>IFERROR(__xludf.DUMMYFUNCTION("""COMPUTED_VALUE"""),187.0)</f>
        <v>187</v>
      </c>
      <c r="H58" s="7">
        <f>IFERROR(__xludf.DUMMYFUNCTION("""COMPUTED_VALUE"""),5.44)</f>
        <v>5.44</v>
      </c>
      <c r="I58" s="2">
        <f>IFERROR(__xludf.DUMMYFUNCTION("""COMPUTED_VALUE"""),24.14)</f>
        <v>24.14</v>
      </c>
      <c r="J58" s="4">
        <f>IFERROR(__xludf.DUMMYFUNCTION("""COMPUTED_VALUE"""),14.21)</f>
        <v>14.21</v>
      </c>
      <c r="K58" s="8">
        <f>IFERROR(__xludf.DUMMYFUNCTION("""COMPUTED_VALUE"""),-0.0972)</f>
        <v>-0.0972</v>
      </c>
    </row>
    <row r="59" ht="15.75" customHeight="1">
      <c r="C59" s="2" t="str">
        <f>IFERROR(__xludf.DUMMYFUNCTION("""COMPUTED_VALUE"""),"Egipto [+]")</f>
        <v>Egipto [+]</v>
      </c>
      <c r="D59" s="5">
        <f>IFERROR(__xludf.DUMMYFUNCTION("""COMPUTED_VALUE"""),2015.0)</f>
        <v>2015</v>
      </c>
      <c r="E59" s="2">
        <f>IFERROR(__xludf.DUMMYFUNCTION("""COMPUTED_VALUE"""),652.0)</f>
        <v>652</v>
      </c>
      <c r="F59" s="6">
        <f>IFERROR(__xludf.DUMMYFUNCTION("""COMPUTED_VALUE"""),1716.0)</f>
        <v>1716</v>
      </c>
      <c r="G59" s="6">
        <f>IFERROR(__xludf.DUMMYFUNCTION("""COMPUTED_VALUE"""),2368.0)</f>
        <v>2368</v>
      </c>
      <c r="H59" s="7">
        <f>IFERROR(__xludf.DUMMYFUNCTION("""COMPUTED_VALUE"""),1.43)</f>
        <v>1.43</v>
      </c>
      <c r="I59" s="2">
        <f>IFERROR(__xludf.DUMMYFUNCTION("""COMPUTED_VALUE"""),3.67)</f>
        <v>3.67</v>
      </c>
      <c r="J59" s="4">
        <f>IFERROR(__xludf.DUMMYFUNCTION("""COMPUTED_VALUE"""),2.66)</f>
        <v>2.66</v>
      </c>
      <c r="K59" s="8">
        <f>IFERROR(__xludf.DUMMYFUNCTION("""COMPUTED_VALUE"""),-0.0075)</f>
        <v>-0.0075</v>
      </c>
    </row>
    <row r="60" ht="15.75" customHeight="1">
      <c r="C60" s="2" t="str">
        <f>IFERROR(__xludf.DUMMYFUNCTION("""COMPUTED_VALUE"""),"Eritrea [+]")</f>
        <v>Eritrea [+]</v>
      </c>
      <c r="D60" s="2">
        <f>IFERROR(__xludf.DUMMYFUNCTION("""COMPUTED_VALUE"""),2015.0)</f>
        <v>2015</v>
      </c>
      <c r="E60" s="2">
        <f>IFERROR(__xludf.DUMMYFUNCTION("""COMPUTED_VALUE"""),79.0)</f>
        <v>79</v>
      </c>
      <c r="F60" s="2">
        <f>IFERROR(__xludf.DUMMYFUNCTION("""COMPUTED_VALUE"""),273.0)</f>
        <v>273</v>
      </c>
      <c r="G60" s="2">
        <f>IFERROR(__xludf.DUMMYFUNCTION("""COMPUTED_VALUE"""),352.0)</f>
        <v>352</v>
      </c>
      <c r="H60" s="7">
        <f>IFERROR(__xludf.DUMMYFUNCTION("""COMPUTED_VALUE"""),3.08)</f>
        <v>3.08</v>
      </c>
      <c r="I60" s="2">
        <f>IFERROR(__xludf.DUMMYFUNCTION("""COMPUTED_VALUE"""),10.71)</f>
        <v>10.71</v>
      </c>
      <c r="J60" s="4">
        <f>IFERROR(__xludf.DUMMYFUNCTION("""COMPUTED_VALUE"""),7.26)</f>
        <v>7.26</v>
      </c>
      <c r="K60" s="8">
        <f>IFERROR(__xludf.DUMMYFUNCTION("""COMPUTED_VALUE"""),0.0756)</f>
        <v>0.0756</v>
      </c>
    </row>
    <row r="61" ht="15.75" customHeight="1">
      <c r="C61" s="2" t="str">
        <f>IFERROR(__xludf.DUMMYFUNCTION("""COMPUTED_VALUE"""),"Etiopía [+]")</f>
        <v>Etiopía [+]</v>
      </c>
      <c r="D61" s="2">
        <f>IFERROR(__xludf.DUMMYFUNCTION("""COMPUTED_VALUE"""),2015.0)</f>
        <v>2015</v>
      </c>
      <c r="E61" s="6">
        <f>IFERROR(__xludf.DUMMYFUNCTION("""COMPUTED_VALUE"""),1869.0)</f>
        <v>1869</v>
      </c>
      <c r="F61" s="6">
        <f>IFERROR(__xludf.DUMMYFUNCTION("""COMPUTED_VALUE"""),6479.0)</f>
        <v>6479</v>
      </c>
      <c r="G61" s="6">
        <f>IFERROR(__xludf.DUMMYFUNCTION("""COMPUTED_VALUE"""),8348.0)</f>
        <v>8348</v>
      </c>
      <c r="H61" s="7">
        <f>IFERROR(__xludf.DUMMYFUNCTION("""COMPUTED_VALUE"""),3.71)</f>
        <v>3.71</v>
      </c>
      <c r="I61" s="2">
        <f>IFERROR(__xludf.DUMMYFUNCTION("""COMPUTED_VALUE"""),12.85)</f>
        <v>12.85</v>
      </c>
      <c r="J61" s="4">
        <f>IFERROR(__xludf.DUMMYFUNCTION("""COMPUTED_VALUE"""),9.3)</f>
        <v>9.3</v>
      </c>
      <c r="K61" s="8">
        <f>IFERROR(__xludf.DUMMYFUNCTION("""COMPUTED_VALUE"""),0.0368)</f>
        <v>0.0368</v>
      </c>
    </row>
    <row r="62" ht="15.75" customHeight="1">
      <c r="C62" s="2" t="str">
        <f>IFERROR(__xludf.DUMMYFUNCTION("""COMPUTED_VALUE"""),"Finlandia [+]")</f>
        <v>Finlandia [+]</v>
      </c>
      <c r="D62" s="2">
        <f>IFERROR(__xludf.DUMMYFUNCTION("""COMPUTED_VALUE"""),2016.0)</f>
        <v>2016</v>
      </c>
      <c r="E62" s="2">
        <f>IFERROR(__xludf.DUMMYFUNCTION("""COMPUTED_VALUE"""),170.0)</f>
        <v>170</v>
      </c>
      <c r="F62" s="2">
        <f>IFERROR(__xludf.DUMMYFUNCTION("""COMPUTED_VALUE"""),622.0)</f>
        <v>622</v>
      </c>
      <c r="G62" s="2">
        <f>IFERROR(__xludf.DUMMYFUNCTION("""COMPUTED_VALUE"""),792.0)</f>
        <v>792</v>
      </c>
      <c r="H62" s="7">
        <f>IFERROR(__xludf.DUMMYFUNCTION("""COMPUTED_VALUE"""),6.13)</f>
        <v>6.13</v>
      </c>
      <c r="I62" s="2">
        <f>IFERROR(__xludf.DUMMYFUNCTION("""COMPUTED_VALUE"""),22.57)</f>
        <v>22.57</v>
      </c>
      <c r="J62" s="4">
        <f>IFERROR(__xludf.DUMMYFUNCTION("""COMPUTED_VALUE"""),14.23)</f>
        <v>14.23</v>
      </c>
      <c r="K62" s="8">
        <f>IFERROR(__xludf.DUMMYFUNCTION("""COMPUTED_VALUE"""),0.0667)</f>
        <v>0.0667</v>
      </c>
    </row>
    <row r="63" ht="15.75" customHeight="1">
      <c r="C63" s="2" t="str">
        <f>IFERROR(__xludf.DUMMYFUNCTION("""COMPUTED_VALUE"""),"Fiyi [+]")</f>
        <v>Fiyi [+]</v>
      </c>
      <c r="D63" s="2">
        <f>IFERROR(__xludf.DUMMYFUNCTION("""COMPUTED_VALUE"""),2015.0)</f>
        <v>2015</v>
      </c>
      <c r="E63" s="2">
        <f>IFERROR(__xludf.DUMMYFUNCTION("""COMPUTED_VALUE"""),18.0)</f>
        <v>18</v>
      </c>
      <c r="F63" s="2">
        <f>IFERROR(__xludf.DUMMYFUNCTION("""COMPUTED_VALUE"""),58.0)</f>
        <v>58</v>
      </c>
      <c r="G63" s="2">
        <f>IFERROR(__xludf.DUMMYFUNCTION("""COMPUTED_VALUE"""),76.0)</f>
        <v>76</v>
      </c>
      <c r="H63" s="7">
        <f>IFERROR(__xludf.DUMMYFUNCTION("""COMPUTED_VALUE"""),4.22)</f>
        <v>4.22</v>
      </c>
      <c r="I63" s="2">
        <f>IFERROR(__xludf.DUMMYFUNCTION("""COMPUTED_VALUE"""),13.16)</f>
        <v>13.16</v>
      </c>
      <c r="J63" s="4">
        <f>IFERROR(__xludf.DUMMYFUNCTION("""COMPUTED_VALUE"""),8.76)</f>
        <v>8.76</v>
      </c>
      <c r="K63" s="8">
        <f>IFERROR(__xludf.DUMMYFUNCTION("""COMPUTED_VALUE"""),-0.0135)</f>
        <v>-0.0135</v>
      </c>
    </row>
    <row r="64" ht="15.75" customHeight="1">
      <c r="C64" s="2" t="str">
        <f>IFERROR(__xludf.DUMMYFUNCTION("""COMPUTED_VALUE"""),"Estados Federados de Micronesia [+]")</f>
        <v>Estados Federados de Micronesia [+]</v>
      </c>
      <c r="D64" s="2">
        <f>IFERROR(__xludf.DUMMYFUNCTION("""COMPUTED_VALUE"""),2015.0)</f>
        <v>2015</v>
      </c>
      <c r="E64" s="2">
        <f>IFERROR(__xludf.DUMMYFUNCTION("""COMPUTED_VALUE"""),4.0)</f>
        <v>4</v>
      </c>
      <c r="F64" s="2">
        <f>IFERROR(__xludf.DUMMYFUNCTION("""COMPUTED_VALUE"""),8.0)</f>
        <v>8</v>
      </c>
      <c r="G64" s="2">
        <f>IFERROR(__xludf.DUMMYFUNCTION("""COMPUTED_VALUE"""),12.0)</f>
        <v>12</v>
      </c>
      <c r="H64" s="7">
        <f>IFERROR(__xludf.DUMMYFUNCTION("""COMPUTED_VALUE"""),6.62)</f>
        <v>6.62</v>
      </c>
      <c r="I64" s="2">
        <f>IFERROR(__xludf.DUMMYFUNCTION("""COMPUTED_VALUE"""),14.79)</f>
        <v>14.79</v>
      </c>
      <c r="J64" s="4">
        <f>IFERROR(__xludf.DUMMYFUNCTION("""COMPUTED_VALUE"""),11.28)</f>
        <v>11.28</v>
      </c>
      <c r="K64" s="8">
        <f>IFERROR(__xludf.DUMMYFUNCTION("""COMPUTED_VALUE"""),0.0199)</f>
        <v>0.0199</v>
      </c>
    </row>
    <row r="65" ht="15.75" customHeight="1">
      <c r="C65" s="2" t="str">
        <f>IFERROR(__xludf.DUMMYFUNCTION("""COMPUTED_VALUE"""),"Gabón [+]")</f>
        <v>Gabón [+]</v>
      </c>
      <c r="D65" s="5">
        <f>IFERROR(__xludf.DUMMYFUNCTION("""COMPUTED_VALUE"""),2015.0)</f>
        <v>2015</v>
      </c>
      <c r="E65" s="2">
        <f>IFERROR(__xludf.DUMMYFUNCTION("""COMPUTED_VALUE"""),52.0)</f>
        <v>52</v>
      </c>
      <c r="F65" s="2">
        <f>IFERROR(__xludf.DUMMYFUNCTION("""COMPUTED_VALUE"""),137.0)</f>
        <v>137</v>
      </c>
      <c r="G65" s="2">
        <f>IFERROR(__xludf.DUMMYFUNCTION("""COMPUTED_VALUE"""),189.0)</f>
        <v>189</v>
      </c>
      <c r="H65" s="7">
        <f>IFERROR(__xludf.DUMMYFUNCTION("""COMPUTED_VALUE"""),5.43)</f>
        <v>5.43</v>
      </c>
      <c r="I65" s="2">
        <f>IFERROR(__xludf.DUMMYFUNCTION("""COMPUTED_VALUE"""),13.78)</f>
        <v>13.78</v>
      </c>
      <c r="J65" s="4">
        <f>IFERROR(__xludf.DUMMYFUNCTION("""COMPUTED_VALUE"""),9.78)</f>
        <v>9.78</v>
      </c>
      <c r="K65" s="8">
        <f>IFERROR(__xludf.DUMMYFUNCTION("""COMPUTED_VALUE"""),-0.0587)</f>
        <v>-0.0587</v>
      </c>
    </row>
    <row r="66" ht="15.75" customHeight="1">
      <c r="C66" s="2" t="str">
        <f>IFERROR(__xludf.DUMMYFUNCTION("""COMPUTED_VALUE"""),"Granada [+]")</f>
        <v>Granada [+]</v>
      </c>
      <c r="D66" s="2">
        <f>IFERROR(__xludf.DUMMYFUNCTION("""COMPUTED_VALUE"""),2015.0)</f>
        <v>2015</v>
      </c>
      <c r="E66" s="2">
        <f>IFERROR(__xludf.DUMMYFUNCTION("""COMPUTED_VALUE"""),1.0)</f>
        <v>1</v>
      </c>
      <c r="F66" s="6">
        <f>IFERROR(__xludf.DUMMYFUNCTION("""COMPUTED_VALUE"""),0.0)</f>
        <v>0</v>
      </c>
      <c r="G66" s="2">
        <f>IFERROR(__xludf.DUMMYFUNCTION("""COMPUTED_VALUE"""),1.0)</f>
        <v>1</v>
      </c>
      <c r="H66" s="7">
        <f>IFERROR(__xludf.DUMMYFUNCTION("""COMPUTED_VALUE"""),0.95)</f>
        <v>0.95</v>
      </c>
      <c r="I66" s="2">
        <f>IFERROR(__xludf.DUMMYFUNCTION("""COMPUTED_VALUE"""),0.0)</f>
        <v>0</v>
      </c>
      <c r="J66" s="4">
        <f>IFERROR(__xludf.DUMMYFUNCTION("""COMPUTED_VALUE"""),0.47)</f>
        <v>0.47</v>
      </c>
      <c r="K66" s="8">
        <f>IFERROR(__xludf.DUMMYFUNCTION("""COMPUTED_VALUE"""),-0.1897)</f>
        <v>-0.1897</v>
      </c>
    </row>
    <row r="67" ht="15.75" customHeight="1">
      <c r="C67" s="2" t="str">
        <f>IFERROR(__xludf.DUMMYFUNCTION("""COMPUTED_VALUE"""),"Georgia [+]")</f>
        <v>Georgia [+]</v>
      </c>
      <c r="D67" s="2">
        <f>IFERROR(__xludf.DUMMYFUNCTION("""COMPUTED_VALUE"""),2015.0)</f>
        <v>2015</v>
      </c>
      <c r="E67" s="2">
        <f>IFERROR(__xludf.DUMMYFUNCTION("""COMPUTED_VALUE"""),48.0)</f>
        <v>48</v>
      </c>
      <c r="F67" s="2">
        <f>IFERROR(__xludf.DUMMYFUNCTION("""COMPUTED_VALUE"""),219.0)</f>
        <v>219</v>
      </c>
      <c r="G67" s="2">
        <f>IFERROR(__xludf.DUMMYFUNCTION("""COMPUTED_VALUE"""),267.0)</f>
        <v>267</v>
      </c>
      <c r="H67" s="7">
        <f>IFERROR(__xludf.DUMMYFUNCTION("""COMPUTED_VALUE"""),2.47)</f>
        <v>2.47</v>
      </c>
      <c r="I67" s="2">
        <f>IFERROR(__xludf.DUMMYFUNCTION("""COMPUTED_VALUE"""),12.31)</f>
        <v>12.31</v>
      </c>
      <c r="J67" s="4">
        <f>IFERROR(__xludf.DUMMYFUNCTION("""COMPUTED_VALUE"""),7.18)</f>
        <v>7.18</v>
      </c>
      <c r="K67" s="8">
        <f>IFERROR(__xludf.DUMMYFUNCTION("""COMPUTED_VALUE"""),0.0113)</f>
        <v>0.0113</v>
      </c>
    </row>
    <row r="68" ht="15.75" customHeight="1">
      <c r="C68" s="2" t="str">
        <f>IFERROR(__xludf.DUMMYFUNCTION("""COMPUTED_VALUE"""),"Ghana [+]")</f>
        <v>Ghana [+]</v>
      </c>
      <c r="D68" s="2">
        <f>IFERROR(__xludf.DUMMYFUNCTION("""COMPUTED_VALUE"""),2015.0)</f>
        <v>2015</v>
      </c>
      <c r="E68" s="2">
        <f>IFERROR(__xludf.DUMMYFUNCTION("""COMPUTED_VALUE"""),403.0)</f>
        <v>403</v>
      </c>
      <c r="F68" s="6">
        <f>IFERROR(__xludf.DUMMYFUNCTION("""COMPUTED_VALUE"""),1492.0)</f>
        <v>1492</v>
      </c>
      <c r="G68" s="6">
        <f>IFERROR(__xludf.DUMMYFUNCTION("""COMPUTED_VALUE"""),1896.0)</f>
        <v>1896</v>
      </c>
      <c r="H68" s="7">
        <f>IFERROR(__xludf.DUMMYFUNCTION("""COMPUTED_VALUE"""),2.93)</f>
        <v>2.93</v>
      </c>
      <c r="I68" s="2">
        <f>IFERROR(__xludf.DUMMYFUNCTION("""COMPUTED_VALUE"""),10.58)</f>
        <v>10.58</v>
      </c>
      <c r="J68" s="4">
        <f>IFERROR(__xludf.DUMMYFUNCTION("""COMPUTED_VALUE"""),6.84)</f>
        <v>6.84</v>
      </c>
      <c r="K68" s="8">
        <f>IFERROR(__xludf.DUMMYFUNCTION("""COMPUTED_VALUE"""),0.0059)</f>
        <v>0.0059</v>
      </c>
    </row>
    <row r="69" ht="15.75" customHeight="1">
      <c r="C69" s="2" t="str">
        <f>IFERROR(__xludf.DUMMYFUNCTION("""COMPUTED_VALUE"""),"Gambia [+]")</f>
        <v>Gambia [+]</v>
      </c>
      <c r="D69" s="5">
        <f>IFERROR(__xludf.DUMMYFUNCTION("""COMPUTED_VALUE"""),2015.0)</f>
        <v>2015</v>
      </c>
      <c r="E69" s="2">
        <f>IFERROR(__xludf.DUMMYFUNCTION("""COMPUTED_VALUE"""),42.0)</f>
        <v>42</v>
      </c>
      <c r="F69" s="6">
        <f>IFERROR(__xludf.DUMMYFUNCTION("""COMPUTED_VALUE"""),82.0)</f>
        <v>82</v>
      </c>
      <c r="G69" s="2">
        <f>IFERROR(__xludf.DUMMYFUNCTION("""COMPUTED_VALUE"""),124.0)</f>
        <v>124</v>
      </c>
      <c r="H69" s="7">
        <f>IFERROR(__xludf.DUMMYFUNCTION("""COMPUTED_VALUE"""),3.96)</f>
        <v>3.96</v>
      </c>
      <c r="I69" s="2">
        <f>IFERROR(__xludf.DUMMYFUNCTION("""COMPUTED_VALUE"""),7.95)</f>
        <v>7.95</v>
      </c>
      <c r="J69" s="4">
        <f>IFERROR(__xludf.DUMMYFUNCTION("""COMPUTED_VALUE"""),5.94)</f>
        <v>5.94</v>
      </c>
      <c r="K69" s="8">
        <f>IFERROR(__xludf.DUMMYFUNCTION("""COMPUTED_VALUE"""),-0.0133)</f>
        <v>-0.0133</v>
      </c>
    </row>
    <row r="70" ht="15.75" customHeight="1">
      <c r="C70" s="2" t="str">
        <f>IFERROR(__xludf.DUMMYFUNCTION("""COMPUTED_VALUE"""),"Guinea [+]")</f>
        <v>Guinea [+]</v>
      </c>
      <c r="D70" s="5">
        <f>IFERROR(__xludf.DUMMYFUNCTION("""COMPUTED_VALUE"""),2015.0)</f>
        <v>2015</v>
      </c>
      <c r="E70" s="2">
        <f>IFERROR(__xludf.DUMMYFUNCTION("""COMPUTED_VALUE"""),311.0)</f>
        <v>311</v>
      </c>
      <c r="F70" s="6">
        <f>IFERROR(__xludf.DUMMYFUNCTION("""COMPUTED_VALUE"""),657.0)</f>
        <v>657</v>
      </c>
      <c r="G70" s="2">
        <f>IFERROR(__xludf.DUMMYFUNCTION("""COMPUTED_VALUE"""),968.0)</f>
        <v>968</v>
      </c>
      <c r="H70" s="7">
        <f>IFERROR(__xludf.DUMMYFUNCTION("""COMPUTED_VALUE"""),5.22)</f>
        <v>5.22</v>
      </c>
      <c r="I70" s="2">
        <f>IFERROR(__xludf.DUMMYFUNCTION("""COMPUTED_VALUE"""),12.0)</f>
        <v>12</v>
      </c>
      <c r="J70" s="4">
        <f>IFERROR(__xludf.DUMMYFUNCTION("""COMPUTED_VALUE"""),8.47)</f>
        <v>8.47</v>
      </c>
      <c r="K70" s="8">
        <f>IFERROR(__xludf.DUMMYFUNCTION("""COMPUTED_VALUE"""),0.079)</f>
        <v>0.079</v>
      </c>
    </row>
    <row r="71" ht="15.75" customHeight="1">
      <c r="C71" s="2" t="str">
        <f>IFERROR(__xludf.DUMMYFUNCTION("""COMPUTED_VALUE"""),"Guinea Ecuatorial [+]")</f>
        <v>Guinea Ecuatorial [+]</v>
      </c>
      <c r="D71" s="5">
        <f>IFERROR(__xludf.DUMMYFUNCTION("""COMPUTED_VALUE"""),2015.0)</f>
        <v>2015</v>
      </c>
      <c r="E71" s="2">
        <f>IFERROR(__xludf.DUMMYFUNCTION("""COMPUTED_VALUE"""),47.0)</f>
        <v>47</v>
      </c>
      <c r="F71" s="6">
        <f>IFERROR(__xludf.DUMMYFUNCTION("""COMPUTED_VALUE"""),144.0)</f>
        <v>144</v>
      </c>
      <c r="G71" s="2">
        <f>IFERROR(__xludf.DUMMYFUNCTION("""COMPUTED_VALUE"""),191.0)</f>
        <v>191</v>
      </c>
      <c r="H71" s="7">
        <f>IFERROR(__xludf.DUMMYFUNCTION("""COMPUTED_VALUE"""),8.9)</f>
        <v>8.9</v>
      </c>
      <c r="I71" s="2">
        <f>IFERROR(__xludf.DUMMYFUNCTION("""COMPUTED_VALUE"""),22.31)</f>
        <v>22.31</v>
      </c>
      <c r="J71" s="4">
        <f>IFERROR(__xludf.DUMMYFUNCTION("""COMPUTED_VALUE"""),16.23)</f>
        <v>16.23</v>
      </c>
      <c r="K71" s="8">
        <f>IFERROR(__xludf.DUMMYFUNCTION("""COMPUTED_VALUE"""),-0.0181)</f>
        <v>-0.0181</v>
      </c>
    </row>
    <row r="72" ht="15.75" customHeight="1">
      <c r="C72" s="2" t="str">
        <f>IFERROR(__xludf.DUMMYFUNCTION("""COMPUTED_VALUE"""),"Grecia [+]")</f>
        <v>Grecia [+]</v>
      </c>
      <c r="D72" s="2">
        <f>IFERROR(__xludf.DUMMYFUNCTION("""COMPUTED_VALUE"""),2016.0)</f>
        <v>2016</v>
      </c>
      <c r="E72" s="2">
        <f>IFERROR(__xludf.DUMMYFUNCTION("""COMPUTED_VALUE"""),81.0)</f>
        <v>81</v>
      </c>
      <c r="F72" s="2">
        <f>IFERROR(__xludf.DUMMYFUNCTION("""COMPUTED_VALUE"""),404.0)</f>
        <v>404</v>
      </c>
      <c r="G72" s="2">
        <f>IFERROR(__xludf.DUMMYFUNCTION("""COMPUTED_VALUE"""),485.0)</f>
        <v>485</v>
      </c>
      <c r="H72" s="7">
        <f>IFERROR(__xludf.DUMMYFUNCTION("""COMPUTED_VALUE"""),1.44)</f>
        <v>1.44</v>
      </c>
      <c r="I72" s="2">
        <f>IFERROR(__xludf.DUMMYFUNCTION("""COMPUTED_VALUE"""),7.68)</f>
        <v>7.68</v>
      </c>
      <c r="J72" s="4">
        <f>IFERROR(__xludf.DUMMYFUNCTION("""COMPUTED_VALUE"""),4.46)</f>
        <v>4.46</v>
      </c>
      <c r="K72" s="8">
        <f>IFERROR(__xludf.DUMMYFUNCTION("""COMPUTED_VALUE"""),-0.0785)</f>
        <v>-0.0785</v>
      </c>
    </row>
    <row r="73" ht="15.75" customHeight="1">
      <c r="C73" s="2" t="str">
        <f>IFERROR(__xludf.DUMMYFUNCTION("""COMPUTED_VALUE"""),"Guatemala [+]")</f>
        <v>Guatemala [+]</v>
      </c>
      <c r="D73" s="2">
        <f>IFERROR(__xludf.DUMMYFUNCTION("""COMPUTED_VALUE"""),2015.0)</f>
        <v>2015</v>
      </c>
      <c r="E73" s="2">
        <f>IFERROR(__xludf.DUMMYFUNCTION("""COMPUTED_VALUE"""),132.0)</f>
        <v>132</v>
      </c>
      <c r="F73" s="2">
        <f>IFERROR(__xludf.DUMMYFUNCTION("""COMPUTED_VALUE"""),269.0)</f>
        <v>269</v>
      </c>
      <c r="G73" s="2">
        <f>IFERROR(__xludf.DUMMYFUNCTION("""COMPUTED_VALUE"""),401.0)</f>
        <v>401</v>
      </c>
      <c r="H73" s="7">
        <f>IFERROR(__xludf.DUMMYFUNCTION("""COMPUTED_VALUE"""),1.67)</f>
        <v>1.67</v>
      </c>
      <c r="I73" s="2">
        <f>IFERROR(__xludf.DUMMYFUNCTION("""COMPUTED_VALUE"""),3.51)</f>
        <v>3.51</v>
      </c>
      <c r="J73" s="4">
        <f>IFERROR(__xludf.DUMMYFUNCTION("""COMPUTED_VALUE"""),2.47)</f>
        <v>2.47</v>
      </c>
      <c r="K73" s="8">
        <f>IFERROR(__xludf.DUMMYFUNCTION("""COMPUTED_VALUE"""),-0.1483)</f>
        <v>-0.1483</v>
      </c>
    </row>
    <row r="74" ht="15.75" customHeight="1">
      <c r="C74" s="2" t="str">
        <f>IFERROR(__xludf.DUMMYFUNCTION("""COMPUTED_VALUE"""),"Guinea-Bisáu [+]")</f>
        <v>Guinea-Bisáu [+]</v>
      </c>
      <c r="D74" s="2">
        <f>IFERROR(__xludf.DUMMYFUNCTION("""COMPUTED_VALUE"""),2015.0)</f>
        <v>2015</v>
      </c>
      <c r="E74" s="2">
        <f>IFERROR(__xludf.DUMMYFUNCTION("""COMPUTED_VALUE"""),34.0)</f>
        <v>34</v>
      </c>
      <c r="F74" s="2">
        <f>IFERROR(__xludf.DUMMYFUNCTION("""COMPUTED_VALUE"""),81.0)</f>
        <v>81</v>
      </c>
      <c r="G74" s="2">
        <f>IFERROR(__xludf.DUMMYFUNCTION("""COMPUTED_VALUE"""),116.0)</f>
        <v>116</v>
      </c>
      <c r="H74" s="7">
        <f>IFERROR(__xludf.DUMMYFUNCTION("""COMPUTED_VALUE"""),3.86)</f>
        <v>3.86</v>
      </c>
      <c r="I74" s="2">
        <f>IFERROR(__xludf.DUMMYFUNCTION("""COMPUTED_VALUE"""),9.61)</f>
        <v>9.61</v>
      </c>
      <c r="J74" s="4">
        <f>IFERROR(__xludf.DUMMYFUNCTION("""COMPUTED_VALUE"""),7.1)</f>
        <v>7.1</v>
      </c>
      <c r="K74" s="8">
        <f>IFERROR(__xludf.DUMMYFUNCTION("""COMPUTED_VALUE"""),-0.0366)</f>
        <v>-0.0366</v>
      </c>
    </row>
    <row r="75" ht="15.75" customHeight="1">
      <c r="C75" s="2" t="str">
        <f>IFERROR(__xludf.DUMMYFUNCTION("""COMPUTED_VALUE"""),"Guyana [+]")</f>
        <v>Guyana [+]</v>
      </c>
      <c r="D75" s="5">
        <f>IFERROR(__xludf.DUMMYFUNCTION("""COMPUTED_VALUE"""),2015.0)</f>
        <v>2015</v>
      </c>
      <c r="E75" s="2">
        <f>IFERROR(__xludf.DUMMYFUNCTION("""COMPUTED_VALUE"""),59.0)</f>
        <v>59</v>
      </c>
      <c r="F75" s="2">
        <f>IFERROR(__xludf.DUMMYFUNCTION("""COMPUTED_VALUE"""),163.0)</f>
        <v>163</v>
      </c>
      <c r="G75" s="2">
        <f>IFERROR(__xludf.DUMMYFUNCTION("""COMPUTED_VALUE"""),222.0)</f>
        <v>222</v>
      </c>
      <c r="H75" s="7">
        <f>IFERROR(__xludf.DUMMYFUNCTION("""COMPUTED_VALUE"""),15.39)</f>
        <v>15.39</v>
      </c>
      <c r="I75" s="2">
        <f>IFERROR(__xludf.DUMMYFUNCTION("""COMPUTED_VALUE"""),42.57)</f>
        <v>42.57</v>
      </c>
      <c r="J75" s="4">
        <f>IFERROR(__xludf.DUMMYFUNCTION("""COMPUTED_VALUE"""),28.99)</f>
        <v>28.99</v>
      </c>
      <c r="K75" s="8">
        <f>IFERROR(__xludf.DUMMYFUNCTION("""COMPUTED_VALUE"""),0.0049)</f>
        <v>0.0049</v>
      </c>
    </row>
    <row r="76" ht="15.75" customHeight="1">
      <c r="C76" s="2" t="str">
        <f>IFERROR(__xludf.DUMMYFUNCTION("""COMPUTED_VALUE"""),"Honduras [+]")</f>
        <v>Honduras [+]</v>
      </c>
      <c r="D76" s="2">
        <f>IFERROR(__xludf.DUMMYFUNCTION("""COMPUTED_VALUE"""),2015.0)</f>
        <v>2015</v>
      </c>
      <c r="E76" s="2">
        <f>IFERROR(__xludf.DUMMYFUNCTION("""COMPUTED_VALUE"""),100.0)</f>
        <v>100</v>
      </c>
      <c r="F76" s="2">
        <f>IFERROR(__xludf.DUMMYFUNCTION("""COMPUTED_VALUE"""),186.0)</f>
        <v>186</v>
      </c>
      <c r="G76" s="2">
        <f>IFERROR(__xludf.DUMMYFUNCTION("""COMPUTED_VALUE"""),287.0)</f>
        <v>287</v>
      </c>
      <c r="H76" s="7">
        <f>IFERROR(__xludf.DUMMYFUNCTION("""COMPUTED_VALUE"""),2.19)</f>
        <v>2.19</v>
      </c>
      <c r="I76" s="2">
        <f>IFERROR(__xludf.DUMMYFUNCTION("""COMPUTED_VALUE"""),4.1)</f>
        <v>4.1</v>
      </c>
      <c r="J76" s="4">
        <f>IFERROR(__xludf.DUMMYFUNCTION("""COMPUTED_VALUE"""),3.14)</f>
        <v>3.14</v>
      </c>
      <c r="K76" s="8">
        <f>IFERROR(__xludf.DUMMYFUNCTION("""COMPUTED_VALUE"""),-0.0338)</f>
        <v>-0.0338</v>
      </c>
    </row>
    <row r="77" ht="15.75" customHeight="1">
      <c r="C77" s="2" t="str">
        <f>IFERROR(__xludf.DUMMYFUNCTION("""COMPUTED_VALUE"""),"Croacia [+]")</f>
        <v>Croacia [+]</v>
      </c>
      <c r="D77" s="5">
        <f>IFERROR(__xludf.DUMMYFUNCTION("""COMPUTED_VALUE"""),2016.0)</f>
        <v>2016</v>
      </c>
      <c r="E77" s="2">
        <f>IFERROR(__xludf.DUMMYFUNCTION("""COMPUTED_VALUE"""),171.0)</f>
        <v>171</v>
      </c>
      <c r="F77" s="6">
        <f>IFERROR(__xludf.DUMMYFUNCTION("""COMPUTED_VALUE"""),522.0)</f>
        <v>522</v>
      </c>
      <c r="G77" s="2">
        <f>IFERROR(__xludf.DUMMYFUNCTION("""COMPUTED_VALUE"""),693.0)</f>
        <v>693</v>
      </c>
      <c r="H77" s="7">
        <f>IFERROR(__xludf.DUMMYFUNCTION("""COMPUTED_VALUE"""),7.78)</f>
        <v>7.78</v>
      </c>
      <c r="I77" s="2">
        <f>IFERROR(__xludf.DUMMYFUNCTION("""COMPUTED_VALUE"""),25.67)</f>
        <v>25.67</v>
      </c>
      <c r="J77" s="4">
        <f>IFERROR(__xludf.DUMMYFUNCTION("""COMPUTED_VALUE"""),16.42)</f>
        <v>16.42</v>
      </c>
      <c r="K77" s="8">
        <f>IFERROR(__xludf.DUMMYFUNCTION("""COMPUTED_VALUE"""),-0.0665)</f>
        <v>-0.0665</v>
      </c>
    </row>
    <row r="78" ht="15.75" customHeight="1">
      <c r="C78" s="2" t="str">
        <f>IFERROR(__xludf.DUMMYFUNCTION("""COMPUTED_VALUE"""),"Haití [+]")</f>
        <v>Haití [+]</v>
      </c>
      <c r="D78" s="2">
        <f>IFERROR(__xludf.DUMMYFUNCTION("""COMPUTED_VALUE"""),2015.0)</f>
        <v>2015</v>
      </c>
      <c r="E78" s="2">
        <f>IFERROR(__xludf.DUMMYFUNCTION("""COMPUTED_VALUE"""),330.0)</f>
        <v>330</v>
      </c>
      <c r="F78" s="2">
        <f>IFERROR(__xludf.DUMMYFUNCTION("""COMPUTED_VALUE"""),870.0)</f>
        <v>870</v>
      </c>
      <c r="G78" s="6">
        <f>IFERROR(__xludf.DUMMYFUNCTION("""COMPUTED_VALUE"""),1200.0)</f>
        <v>1200</v>
      </c>
      <c r="H78" s="7">
        <f>IFERROR(__xludf.DUMMYFUNCTION("""COMPUTED_VALUE"""),6.09)</f>
        <v>6.09</v>
      </c>
      <c r="I78" s="2">
        <f>IFERROR(__xludf.DUMMYFUNCTION("""COMPUTED_VALUE"""),16.48)</f>
        <v>16.48</v>
      </c>
      <c r="J78" s="4">
        <f>IFERROR(__xludf.DUMMYFUNCTION("""COMPUTED_VALUE"""),11.22)</f>
        <v>11.22</v>
      </c>
      <c r="K78" s="8">
        <f>IFERROR(__xludf.DUMMYFUNCTION("""COMPUTED_VALUE"""),0.0018)</f>
        <v>0.0018</v>
      </c>
    </row>
    <row r="79" ht="15.75" customHeight="1">
      <c r="C79" s="2" t="str">
        <f>IFERROR(__xludf.DUMMYFUNCTION("""COMPUTED_VALUE"""),"Hungría [+]")</f>
        <v>Hungría [+]</v>
      </c>
      <c r="D79" s="2">
        <f>IFERROR(__xludf.DUMMYFUNCTION("""COMPUTED_VALUE"""),2016.0)</f>
        <v>2016</v>
      </c>
      <c r="E79" s="2">
        <f>IFERROR(__xludf.DUMMYFUNCTION("""COMPUTED_VALUE"""),446.0)</f>
        <v>446</v>
      </c>
      <c r="F79" s="6">
        <f>IFERROR(__xludf.DUMMYFUNCTION("""COMPUTED_VALUE"""),1316.0)</f>
        <v>1316</v>
      </c>
      <c r="G79" s="6">
        <f>IFERROR(__xludf.DUMMYFUNCTION("""COMPUTED_VALUE"""),1762.0)</f>
        <v>1762</v>
      </c>
      <c r="H79" s="7">
        <f>IFERROR(__xludf.DUMMYFUNCTION("""COMPUTED_VALUE"""),8.69)</f>
        <v>8.69</v>
      </c>
      <c r="I79" s="2">
        <f>IFERROR(__xludf.DUMMYFUNCTION("""COMPUTED_VALUE"""),28.07)</f>
        <v>28.07</v>
      </c>
      <c r="J79" s="4">
        <f>IFERROR(__xludf.DUMMYFUNCTION("""COMPUTED_VALUE"""),17.93)</f>
        <v>17.93</v>
      </c>
      <c r="K79" s="8">
        <f>IFERROR(__xludf.DUMMYFUNCTION("""COMPUTED_VALUE"""),-0.0528)</f>
        <v>-0.0528</v>
      </c>
    </row>
    <row r="80" ht="15.75" customHeight="1">
      <c r="C80" s="2" t="str">
        <f>IFERROR(__xludf.DUMMYFUNCTION("""COMPUTED_VALUE"""),"Indonesia [+]")</f>
        <v>Indonesia [+]</v>
      </c>
      <c r="D80" s="2">
        <f>IFERROR(__xludf.DUMMYFUNCTION("""COMPUTED_VALUE"""),2015.0)</f>
        <v>2015</v>
      </c>
      <c r="E80" s="6">
        <f>IFERROR(__xludf.DUMMYFUNCTION("""COMPUTED_VALUE"""),1973.0)</f>
        <v>1973</v>
      </c>
      <c r="F80" s="6">
        <f>IFERROR(__xludf.DUMMYFUNCTION("""COMPUTED_VALUE"""),5382.0)</f>
        <v>5382</v>
      </c>
      <c r="G80" s="6">
        <f>IFERROR(__xludf.DUMMYFUNCTION("""COMPUTED_VALUE"""),7355.0)</f>
        <v>7355</v>
      </c>
      <c r="H80" s="7">
        <f>IFERROR(__xludf.DUMMYFUNCTION("""COMPUTED_VALUE"""),1.54)</f>
        <v>1.54</v>
      </c>
      <c r="I80" s="2">
        <f>IFERROR(__xludf.DUMMYFUNCTION("""COMPUTED_VALUE"""),4.14)</f>
        <v>4.14</v>
      </c>
      <c r="J80" s="4">
        <f>IFERROR(__xludf.DUMMYFUNCTION("""COMPUTED_VALUE"""),2.88)</f>
        <v>2.88</v>
      </c>
      <c r="K80" s="8">
        <f>IFERROR(__xludf.DUMMYFUNCTION("""COMPUTED_VALUE"""),-0.0103)</f>
        <v>-0.0103</v>
      </c>
    </row>
    <row r="81" ht="15.75" customHeight="1">
      <c r="C81" s="2" t="str">
        <f>IFERROR(__xludf.DUMMYFUNCTION("""COMPUTED_VALUE"""),"Irlanda [+]")</f>
        <v>Irlanda [+]</v>
      </c>
      <c r="D81" s="2">
        <f>IFERROR(__xludf.DUMMYFUNCTION("""COMPUTED_VALUE"""),2016.0)</f>
        <v>2016</v>
      </c>
      <c r="E81" s="2">
        <f>IFERROR(__xludf.DUMMYFUNCTION("""COMPUTED_VALUE"""),87.0)</f>
        <v>87</v>
      </c>
      <c r="F81" s="2">
        <f>IFERROR(__xludf.DUMMYFUNCTION("""COMPUTED_VALUE"""),350.0)</f>
        <v>350</v>
      </c>
      <c r="G81" s="2">
        <f>IFERROR(__xludf.DUMMYFUNCTION("""COMPUTED_VALUE"""),437.0)</f>
        <v>437</v>
      </c>
      <c r="H81" s="7">
        <f>IFERROR(__xludf.DUMMYFUNCTION("""COMPUTED_VALUE"""),3.62)</f>
        <v>3.62</v>
      </c>
      <c r="I81" s="2">
        <f>IFERROR(__xludf.DUMMYFUNCTION("""COMPUTED_VALUE"""),14.79)</f>
        <v>14.79</v>
      </c>
      <c r="J81" s="4">
        <f>IFERROR(__xludf.DUMMYFUNCTION("""COMPUTED_VALUE"""),9.15)</f>
        <v>9.15</v>
      </c>
      <c r="K81" s="8">
        <f>IFERROR(__xludf.DUMMYFUNCTION("""COMPUTED_VALUE"""),0.0099)</f>
        <v>0.0099</v>
      </c>
    </row>
    <row r="82" ht="15.75" customHeight="1">
      <c r="C82" s="2" t="str">
        <f>IFERROR(__xludf.DUMMYFUNCTION("""COMPUTED_VALUE"""),"Israel [+]")</f>
        <v>Israel [+]</v>
      </c>
      <c r="D82" s="2">
        <f>IFERROR(__xludf.DUMMYFUNCTION("""COMPUTED_VALUE"""),2016.0)</f>
        <v>2016</v>
      </c>
      <c r="E82" s="2">
        <f>IFERROR(__xludf.DUMMYFUNCTION("""COMPUTED_VALUE"""),69.0)</f>
        <v>69</v>
      </c>
      <c r="F82" s="2">
        <f>IFERROR(__xludf.DUMMYFUNCTION("""COMPUTED_VALUE"""),321.0)</f>
        <v>321</v>
      </c>
      <c r="G82" s="2">
        <f>IFERROR(__xludf.DUMMYFUNCTION("""COMPUTED_VALUE"""),390.0)</f>
        <v>390</v>
      </c>
      <c r="H82" s="7">
        <f>IFERROR(__xludf.DUMMYFUNCTION("""COMPUTED_VALUE"""),1.6)</f>
        <v>1.6</v>
      </c>
      <c r="I82" s="2">
        <f>IFERROR(__xludf.DUMMYFUNCTION("""COMPUTED_VALUE"""),7.6)</f>
        <v>7.6</v>
      </c>
      <c r="J82" s="4">
        <f>IFERROR(__xludf.DUMMYFUNCTION("""COMPUTED_VALUE"""),4.6)</f>
        <v>4.6</v>
      </c>
      <c r="K82" s="8">
        <f>IFERROR(__xludf.DUMMYFUNCTION("""COMPUTED_VALUE"""),0.122)</f>
        <v>0.122</v>
      </c>
    </row>
    <row r="83" ht="15.75" customHeight="1">
      <c r="C83" s="2" t="str">
        <f>IFERROR(__xludf.DUMMYFUNCTION("""COMPUTED_VALUE"""),"India [+]")</f>
        <v>India [+]</v>
      </c>
      <c r="D83" s="2">
        <f>IFERROR(__xludf.DUMMYFUNCTION("""COMPUTED_VALUE"""),2015.0)</f>
        <v>2015</v>
      </c>
      <c r="E83" s="6">
        <f>IFERROR(__xludf.DUMMYFUNCTION("""COMPUTED_VALUE"""),90046.0)</f>
        <v>90046</v>
      </c>
      <c r="F83" s="6">
        <f>IFERROR(__xludf.DUMMYFUNCTION("""COMPUTED_VALUE"""),116232.0)</f>
        <v>116232</v>
      </c>
      <c r="G83" s="6">
        <f>IFERROR(__xludf.DUMMYFUNCTION("""COMPUTED_VALUE"""),206278.0)</f>
        <v>206278</v>
      </c>
      <c r="H83" s="7">
        <f>IFERROR(__xludf.DUMMYFUNCTION("""COMPUTED_VALUE"""),14.32)</f>
        <v>14.32</v>
      </c>
      <c r="I83" s="2">
        <f>IFERROR(__xludf.DUMMYFUNCTION("""COMPUTED_VALUE"""),17.06)</f>
        <v>17.06</v>
      </c>
      <c r="J83" s="4">
        <f>IFERROR(__xludf.DUMMYFUNCTION("""COMPUTED_VALUE"""),15.74)</f>
        <v>15.74</v>
      </c>
      <c r="K83" s="8">
        <f>IFERROR(__xludf.DUMMYFUNCTION("""COMPUTED_VALUE"""),-0.0181)</f>
        <v>-0.0181</v>
      </c>
    </row>
    <row r="84" ht="15.75" customHeight="1">
      <c r="C84" s="2" t="str">
        <f>IFERROR(__xludf.DUMMYFUNCTION("""COMPUTED_VALUE"""),"Irak [+]")</f>
        <v>Irak [+]</v>
      </c>
      <c r="D84" s="2">
        <f>IFERROR(__xludf.DUMMYFUNCTION("""COMPUTED_VALUE"""),2015.0)</f>
        <v>2015</v>
      </c>
      <c r="E84" s="2">
        <f>IFERROR(__xludf.DUMMYFUNCTION("""COMPUTED_VALUE"""),487.0)</f>
        <v>487</v>
      </c>
      <c r="F84" s="2">
        <f>IFERROR(__xludf.DUMMYFUNCTION("""COMPUTED_VALUE"""),622.0)</f>
        <v>622</v>
      </c>
      <c r="G84" s="6">
        <f>IFERROR(__xludf.DUMMYFUNCTION("""COMPUTED_VALUE"""),1109.0)</f>
        <v>1109</v>
      </c>
      <c r="H84" s="7">
        <f>IFERROR(__xludf.DUMMYFUNCTION("""COMPUTED_VALUE"""),2.77)</f>
        <v>2.77</v>
      </c>
      <c r="I84" s="2">
        <f>IFERROR(__xludf.DUMMYFUNCTION("""COMPUTED_VALUE"""),3.46)</f>
        <v>3.46</v>
      </c>
      <c r="J84" s="4">
        <f>IFERROR(__xludf.DUMMYFUNCTION("""COMPUTED_VALUE"""),3.12)</f>
        <v>3.12</v>
      </c>
      <c r="K84" s="8">
        <f>IFERROR(__xludf.DUMMYFUNCTION("""COMPUTED_VALUE"""),0.04)</f>
        <v>0.04</v>
      </c>
    </row>
    <row r="85" ht="15.75" customHeight="1">
      <c r="C85" s="2" t="str">
        <f>IFERROR(__xludf.DUMMYFUNCTION("""COMPUTED_VALUE"""),"Irán [+]")</f>
        <v>Irán [+]</v>
      </c>
      <c r="D85" s="2">
        <f>IFERROR(__xludf.DUMMYFUNCTION("""COMPUTED_VALUE"""),2015.0)</f>
        <v>2015</v>
      </c>
      <c r="E85" s="6">
        <f>IFERROR(__xludf.DUMMYFUNCTION("""COMPUTED_VALUE"""),1114.0)</f>
        <v>1114</v>
      </c>
      <c r="F85" s="6">
        <f>IFERROR(__xludf.DUMMYFUNCTION("""COMPUTED_VALUE"""),1722.0)</f>
        <v>1722</v>
      </c>
      <c r="G85" s="6">
        <f>IFERROR(__xludf.DUMMYFUNCTION("""COMPUTED_VALUE"""),2836.0)</f>
        <v>2836</v>
      </c>
      <c r="H85" s="7">
        <f>IFERROR(__xludf.DUMMYFUNCTION("""COMPUTED_VALUE"""),2.87)</f>
        <v>2.87</v>
      </c>
      <c r="I85" s="2">
        <f>IFERROR(__xludf.DUMMYFUNCTION("""COMPUTED_VALUE"""),4.33)</f>
        <v>4.33</v>
      </c>
      <c r="J85" s="4">
        <f>IFERROR(__xludf.DUMMYFUNCTION("""COMPUTED_VALUE"""),3.59)</f>
        <v>3.59</v>
      </c>
      <c r="K85" s="8">
        <f>IFERROR(__xludf.DUMMYFUNCTION("""COMPUTED_VALUE"""),-0.0083)</f>
        <v>-0.0083</v>
      </c>
    </row>
    <row r="86" ht="15.75" customHeight="1">
      <c r="C86" s="2" t="str">
        <f>IFERROR(__xludf.DUMMYFUNCTION("""COMPUTED_VALUE"""),"Islandia [+]")</f>
        <v>Islandia [+]</v>
      </c>
      <c r="D86" s="5">
        <f>IFERROR(__xludf.DUMMYFUNCTION("""COMPUTED_VALUE"""),2016.0)</f>
        <v>2016</v>
      </c>
      <c r="E86" s="2">
        <f>IFERROR(__xludf.DUMMYFUNCTION("""COMPUTED_VALUE"""),4.0)</f>
        <v>4</v>
      </c>
      <c r="F86" s="2">
        <f>IFERROR(__xludf.DUMMYFUNCTION("""COMPUTED_VALUE"""),36.0)</f>
        <v>36</v>
      </c>
      <c r="G86" s="2">
        <f>IFERROR(__xludf.DUMMYFUNCTION("""COMPUTED_VALUE"""),40.0)</f>
        <v>40</v>
      </c>
      <c r="H86" s="7">
        <f>IFERROR(__xludf.DUMMYFUNCTION("""COMPUTED_VALUE"""),3.01)</f>
        <v>3.01</v>
      </c>
      <c r="I86" s="2">
        <f>IFERROR(__xludf.DUMMYFUNCTION("""COMPUTED_VALUE"""),21.28)</f>
        <v>21.28</v>
      </c>
      <c r="J86" s="4">
        <f>IFERROR(__xludf.DUMMYFUNCTION("""COMPUTED_VALUE"""),12.22)</f>
        <v>12.22</v>
      </c>
      <c r="K86" s="8">
        <f>IFERROR(__xludf.DUMMYFUNCTION("""COMPUTED_VALUE"""),-0.0378)</f>
        <v>-0.0378</v>
      </c>
    </row>
    <row r="87" ht="15.75" customHeight="1">
      <c r="C87" s="2" t="str">
        <f>IFERROR(__xludf.DUMMYFUNCTION("""COMPUTED_VALUE"""),"Jamaica [+]")</f>
        <v>Jamaica [+]</v>
      </c>
      <c r="D87" s="5">
        <f>IFERROR(__xludf.DUMMYFUNCTION("""COMPUTED_VALUE"""),2015.0)</f>
        <v>2015</v>
      </c>
      <c r="E87" s="2">
        <f>IFERROR(__xludf.DUMMYFUNCTION("""COMPUTED_VALUE"""),4.0)</f>
        <v>4</v>
      </c>
      <c r="F87" s="6">
        <f>IFERROR(__xludf.DUMMYFUNCTION("""COMPUTED_VALUE"""),36.0)</f>
        <v>36</v>
      </c>
      <c r="G87" s="2">
        <f>IFERROR(__xludf.DUMMYFUNCTION("""COMPUTED_VALUE"""),40.0)</f>
        <v>40</v>
      </c>
      <c r="H87" s="7">
        <f>IFERROR(__xludf.DUMMYFUNCTION("""COMPUTED_VALUE"""),0.3)</f>
        <v>0.3</v>
      </c>
      <c r="I87" s="2">
        <f>IFERROR(__xludf.DUMMYFUNCTION("""COMPUTED_VALUE"""),2.49)</f>
        <v>2.49</v>
      </c>
      <c r="J87" s="4">
        <f>IFERROR(__xludf.DUMMYFUNCTION("""COMPUTED_VALUE"""),1.48)</f>
        <v>1.48</v>
      </c>
      <c r="K87" s="8">
        <f>IFERROR(__xludf.DUMMYFUNCTION("""COMPUTED_VALUE"""),0.0068)</f>
        <v>0.0068</v>
      </c>
    </row>
    <row r="88" ht="15.75" customHeight="1">
      <c r="C88" s="2" t="str">
        <f>IFERROR(__xludf.DUMMYFUNCTION("""COMPUTED_VALUE"""),"Jordania [+]")</f>
        <v>Jordania [+]</v>
      </c>
      <c r="D88" s="5">
        <f>IFERROR(__xludf.DUMMYFUNCTION("""COMPUTED_VALUE"""),2015.0)</f>
        <v>2015</v>
      </c>
      <c r="E88" s="2">
        <f>IFERROR(__xludf.DUMMYFUNCTION("""COMPUTED_VALUE"""),74.0)</f>
        <v>74</v>
      </c>
      <c r="F88" s="6">
        <f>IFERROR(__xludf.DUMMYFUNCTION("""COMPUTED_VALUE"""),170.0)</f>
        <v>170</v>
      </c>
      <c r="G88" s="2">
        <f>IFERROR(__xludf.DUMMYFUNCTION("""COMPUTED_VALUE"""),244.0)</f>
        <v>244</v>
      </c>
      <c r="H88" s="7">
        <f>IFERROR(__xludf.DUMMYFUNCTION("""COMPUTED_VALUE"""),1.63)</f>
        <v>1.63</v>
      </c>
      <c r="I88" s="2">
        <f>IFERROR(__xludf.DUMMYFUNCTION("""COMPUTED_VALUE"""),3.61)</f>
        <v>3.61</v>
      </c>
      <c r="J88" s="4">
        <f>IFERROR(__xludf.DUMMYFUNCTION("""COMPUTED_VALUE"""),2.63)</f>
        <v>2.63</v>
      </c>
      <c r="K88" s="8">
        <f>IFERROR(__xludf.DUMMYFUNCTION("""COMPUTED_VALUE"""),-0.0223)</f>
        <v>-0.0223</v>
      </c>
    </row>
    <row r="89" ht="15.75" customHeight="1">
      <c r="C89" s="2" t="str">
        <f>IFERROR(__xludf.DUMMYFUNCTION("""COMPUTED_VALUE"""),"Kenia [+]")</f>
        <v>Kenia [+]</v>
      </c>
      <c r="D89" s="2">
        <f>IFERROR(__xludf.DUMMYFUNCTION("""COMPUTED_VALUE"""),2015.0)</f>
        <v>2015</v>
      </c>
      <c r="E89" s="2">
        <f>IFERROR(__xludf.DUMMYFUNCTION("""COMPUTED_VALUE"""),627.0)</f>
        <v>627</v>
      </c>
      <c r="F89" s="6">
        <f>IFERROR(__xludf.DUMMYFUNCTION("""COMPUTED_VALUE"""),2377.0)</f>
        <v>2377</v>
      </c>
      <c r="G89" s="6">
        <f>IFERROR(__xludf.DUMMYFUNCTION("""COMPUTED_VALUE"""),3004.0)</f>
        <v>3004</v>
      </c>
      <c r="H89" s="7">
        <f>IFERROR(__xludf.DUMMYFUNCTION("""COMPUTED_VALUE"""),2.6)</f>
        <v>2.6</v>
      </c>
      <c r="I89" s="2">
        <f>IFERROR(__xludf.DUMMYFUNCTION("""COMPUTED_VALUE"""),9.99)</f>
        <v>9.99</v>
      </c>
      <c r="J89" s="4">
        <f>IFERROR(__xludf.DUMMYFUNCTION("""COMPUTED_VALUE"""),6.94)</f>
        <v>6.94</v>
      </c>
      <c r="K89" s="8">
        <f>IFERROR(__xludf.DUMMYFUNCTION("""COMPUTED_VALUE"""),-0.0043)</f>
        <v>-0.0043</v>
      </c>
    </row>
    <row r="90" ht="15.75" customHeight="1">
      <c r="C90" s="2" t="str">
        <f>IFERROR(__xludf.DUMMYFUNCTION("""COMPUTED_VALUE"""),"Kirguistán [+]")</f>
        <v>Kirguistán [+]</v>
      </c>
      <c r="D90" s="2">
        <f>IFERROR(__xludf.DUMMYFUNCTION("""COMPUTED_VALUE"""),2015.0)</f>
        <v>2015</v>
      </c>
      <c r="E90" s="2">
        <f>IFERROR(__xludf.DUMMYFUNCTION("""COMPUTED_VALUE"""),96.0)</f>
        <v>96</v>
      </c>
      <c r="F90" s="2">
        <f>IFERROR(__xludf.DUMMYFUNCTION("""COMPUTED_VALUE"""),343.0)</f>
        <v>343</v>
      </c>
      <c r="G90" s="2">
        <f>IFERROR(__xludf.DUMMYFUNCTION("""COMPUTED_VALUE"""),439.0)</f>
        <v>439</v>
      </c>
      <c r="H90" s="7">
        <f>IFERROR(__xludf.DUMMYFUNCTION("""COMPUTED_VALUE"""),3.19)</f>
        <v>3.19</v>
      </c>
      <c r="I90" s="2">
        <f>IFERROR(__xludf.DUMMYFUNCTION("""COMPUTED_VALUE"""),11.63)</f>
        <v>11.63</v>
      </c>
      <c r="J90" s="4">
        <f>IFERROR(__xludf.DUMMYFUNCTION("""COMPUTED_VALUE"""),7.44)</f>
        <v>7.44</v>
      </c>
      <c r="K90" s="8">
        <f>IFERROR(__xludf.DUMMYFUNCTION("""COMPUTED_VALUE"""),-0.1143)</f>
        <v>-0.1143</v>
      </c>
    </row>
    <row r="91" ht="15.75" customHeight="1">
      <c r="C91" s="2" t="str">
        <f>IFERROR(__xludf.DUMMYFUNCTION("""COMPUTED_VALUE"""),"Camboya [+]")</f>
        <v>Camboya [+]</v>
      </c>
      <c r="D91" s="2">
        <f>IFERROR(__xludf.DUMMYFUNCTION("""COMPUTED_VALUE"""),2015.0)</f>
        <v>2015</v>
      </c>
      <c r="E91" s="2">
        <f>IFERROR(__xludf.DUMMYFUNCTION("""COMPUTED_VALUE"""),645.0)</f>
        <v>645</v>
      </c>
      <c r="F91" s="6">
        <f>IFERROR(__xludf.DUMMYFUNCTION("""COMPUTED_VALUE"""),1212.0)</f>
        <v>1212</v>
      </c>
      <c r="G91" s="6">
        <f>IFERROR(__xludf.DUMMYFUNCTION("""COMPUTED_VALUE"""),1857.0)</f>
        <v>1857</v>
      </c>
      <c r="H91" s="7">
        <f>IFERROR(__xludf.DUMMYFUNCTION("""COMPUTED_VALUE"""),8.11)</f>
        <v>8.11</v>
      </c>
      <c r="I91" s="2">
        <f>IFERROR(__xludf.DUMMYFUNCTION("""COMPUTED_VALUE"""),16.01)</f>
        <v>16.01</v>
      </c>
      <c r="J91" s="4">
        <f>IFERROR(__xludf.DUMMYFUNCTION("""COMPUTED_VALUE"""),12.36)</f>
        <v>12.36</v>
      </c>
      <c r="K91" s="8">
        <f>IFERROR(__xludf.DUMMYFUNCTION("""COMPUTED_VALUE"""),-0.0198)</f>
        <v>-0.0198</v>
      </c>
    </row>
    <row r="92" ht="15.75" customHeight="1">
      <c r="C92" s="2" t="str">
        <f>IFERROR(__xludf.DUMMYFUNCTION("""COMPUTED_VALUE"""),"Kiribati [+]")</f>
        <v>Kiribati [+]</v>
      </c>
      <c r="D92" s="5">
        <f>IFERROR(__xludf.DUMMYFUNCTION("""COMPUTED_VALUE"""),2015.0)</f>
        <v>2015</v>
      </c>
      <c r="E92" s="2">
        <f>IFERROR(__xludf.DUMMYFUNCTION("""COMPUTED_VALUE"""),4.0)</f>
        <v>4</v>
      </c>
      <c r="F92" s="2">
        <f>IFERROR(__xludf.DUMMYFUNCTION("""COMPUTED_VALUE"""),12.0)</f>
        <v>12</v>
      </c>
      <c r="G92" s="2">
        <f>IFERROR(__xludf.DUMMYFUNCTION("""COMPUTED_VALUE"""),16.0)</f>
        <v>16</v>
      </c>
      <c r="H92" s="7">
        <f>IFERROR(__xludf.DUMMYFUNCTION("""COMPUTED_VALUE"""),6.31)</f>
        <v>6.31</v>
      </c>
      <c r="I92" s="2">
        <f>IFERROR(__xludf.DUMMYFUNCTION("""COMPUTED_VALUE"""),22.89)</f>
        <v>22.89</v>
      </c>
      <c r="J92" s="4">
        <f>IFERROR(__xludf.DUMMYFUNCTION("""COMPUTED_VALUE"""),14.45)</f>
        <v>14.45</v>
      </c>
      <c r="K92" s="8">
        <f>IFERROR(__xludf.DUMMYFUNCTION("""COMPUTED_VALUE"""),-0.0236)</f>
        <v>-0.0236</v>
      </c>
    </row>
    <row r="93" ht="15.75" customHeight="1">
      <c r="C93" s="2" t="str">
        <f>IFERROR(__xludf.DUMMYFUNCTION("""COMPUTED_VALUE"""),"Comoras [+]")</f>
        <v>Comoras [+]</v>
      </c>
      <c r="D93" s="5">
        <f>IFERROR(__xludf.DUMMYFUNCTION("""COMPUTED_VALUE"""),2015.0)</f>
        <v>2015</v>
      </c>
      <c r="E93" s="2">
        <f>IFERROR(__xludf.DUMMYFUNCTION("""COMPUTED_VALUE"""),20.0)</f>
        <v>20</v>
      </c>
      <c r="F93" s="2">
        <f>IFERROR(__xludf.DUMMYFUNCTION("""COMPUTED_VALUE"""),38.0)</f>
        <v>38</v>
      </c>
      <c r="G93" s="2">
        <f>IFERROR(__xludf.DUMMYFUNCTION("""COMPUTED_VALUE"""),59.0)</f>
        <v>59</v>
      </c>
      <c r="H93" s="7">
        <f>IFERROR(__xludf.DUMMYFUNCTION("""COMPUTED_VALUE"""),5.3)</f>
        <v>5.3</v>
      </c>
      <c r="I93" s="2">
        <f>IFERROR(__xludf.DUMMYFUNCTION("""COMPUTED_VALUE"""),9.72)</f>
        <v>9.72</v>
      </c>
      <c r="J93" s="4">
        <f>IFERROR(__xludf.DUMMYFUNCTION("""COMPUTED_VALUE"""),7.46)</f>
        <v>7.46</v>
      </c>
      <c r="K93" s="8">
        <f>IFERROR(__xludf.DUMMYFUNCTION("""COMPUTED_VALUE"""),-0.0119)</f>
        <v>-0.0119</v>
      </c>
    </row>
    <row r="94" ht="15.75" customHeight="1">
      <c r="C94" s="2" t="str">
        <f>IFERROR(__xludf.DUMMYFUNCTION("""COMPUTED_VALUE"""),"Corea del Norte [+]")</f>
        <v>Corea del Norte [+]</v>
      </c>
      <c r="D94" s="2">
        <f>IFERROR(__xludf.DUMMYFUNCTION("""COMPUTED_VALUE"""),2015.0)</f>
        <v>2015</v>
      </c>
      <c r="E94" s="6">
        <f>IFERROR(__xludf.DUMMYFUNCTION("""COMPUTED_VALUE"""),1973.0)</f>
        <v>1973</v>
      </c>
      <c r="F94" s="6">
        <f>IFERROR(__xludf.DUMMYFUNCTION("""COMPUTED_VALUE"""),2008.0)</f>
        <v>2008</v>
      </c>
      <c r="G94" s="6">
        <f>IFERROR(__xludf.DUMMYFUNCTION("""COMPUTED_VALUE"""),3981.0)</f>
        <v>3981</v>
      </c>
      <c r="H94" s="7">
        <f>IFERROR(__xludf.DUMMYFUNCTION("""COMPUTED_VALUE"""),15.33)</f>
        <v>15.33</v>
      </c>
      <c r="I94" s="2">
        <f>IFERROR(__xludf.DUMMYFUNCTION("""COMPUTED_VALUE"""),16.31)</f>
        <v>16.31</v>
      </c>
      <c r="J94" s="4">
        <f>IFERROR(__xludf.DUMMYFUNCTION("""COMPUTED_VALUE"""),15.81)</f>
        <v>15.81</v>
      </c>
      <c r="K94" s="8">
        <f>IFERROR(__xludf.DUMMYFUNCTION("""COMPUTED_VALUE"""),-0.0295)</f>
        <v>-0.0295</v>
      </c>
    </row>
    <row r="95" ht="15.75" customHeight="1">
      <c r="C95" s="2" t="str">
        <f>IFERROR(__xludf.DUMMYFUNCTION("""COMPUTED_VALUE"""),"Corea del Sur [+]")</f>
        <v>Corea del Sur [+]</v>
      </c>
      <c r="D95" s="2">
        <f>IFERROR(__xludf.DUMMYFUNCTION("""COMPUTED_VALUE"""),2016.0)</f>
        <v>2016</v>
      </c>
      <c r="E95" s="6">
        <f>IFERROR(__xludf.DUMMYFUNCTION("""COMPUTED_VALUE"""),3849.0)</f>
        <v>3849</v>
      </c>
      <c r="F95" s="6">
        <f>IFERROR(__xludf.DUMMYFUNCTION("""COMPUTED_VALUE"""),9243.0)</f>
        <v>9243</v>
      </c>
      <c r="G95" s="6">
        <f>IFERROR(__xludf.DUMMYFUNCTION("""COMPUTED_VALUE"""),13092.0)</f>
        <v>13092</v>
      </c>
      <c r="H95" s="7">
        <f>IFERROR(__xludf.DUMMYFUNCTION("""COMPUTED_VALUE"""),15.1)</f>
        <v>15.1</v>
      </c>
      <c r="I95" s="2">
        <f>IFERROR(__xludf.DUMMYFUNCTION("""COMPUTED_VALUE"""),36.0)</f>
        <v>36</v>
      </c>
      <c r="J95" s="4">
        <f>IFERROR(__xludf.DUMMYFUNCTION("""COMPUTED_VALUE"""),25.6)</f>
        <v>25.6</v>
      </c>
      <c r="K95" s="8">
        <f>IFERROR(__xludf.DUMMYFUNCTION("""COMPUTED_VALUE"""),-0.034)</f>
        <v>-0.034</v>
      </c>
    </row>
    <row r="96" ht="15.75" customHeight="1">
      <c r="C96" s="2" t="str">
        <f>IFERROR(__xludf.DUMMYFUNCTION("""COMPUTED_VALUE"""),"Kuwait [+]")</f>
        <v>Kuwait [+]</v>
      </c>
      <c r="D96" s="5">
        <f>IFERROR(__xludf.DUMMYFUNCTION("""COMPUTED_VALUE"""),2015.0)</f>
        <v>2015</v>
      </c>
      <c r="E96" s="2">
        <f>IFERROR(__xludf.DUMMYFUNCTION("""COMPUTED_VALUE"""),35.0)</f>
        <v>35</v>
      </c>
      <c r="F96" s="6">
        <f>IFERROR(__xludf.DUMMYFUNCTION("""COMPUTED_VALUE"""),119.0)</f>
        <v>119</v>
      </c>
      <c r="G96" s="2">
        <f>IFERROR(__xludf.DUMMYFUNCTION("""COMPUTED_VALUE"""),154.0)</f>
        <v>154</v>
      </c>
      <c r="H96" s="7">
        <f>IFERROR(__xludf.DUMMYFUNCTION("""COMPUTED_VALUE"""),2.21)</f>
        <v>2.21</v>
      </c>
      <c r="I96" s="2">
        <f>IFERROR(__xludf.DUMMYFUNCTION("""COMPUTED_VALUE"""),5.27)</f>
        <v>5.27</v>
      </c>
      <c r="J96" s="4">
        <f>IFERROR(__xludf.DUMMYFUNCTION("""COMPUTED_VALUE"""),3.68)</f>
        <v>3.68</v>
      </c>
      <c r="K96" s="8">
        <f>IFERROR(__xludf.DUMMYFUNCTION("""COMPUTED_VALUE"""),0.011)</f>
        <v>0.011</v>
      </c>
    </row>
    <row r="97" ht="15.75" customHeight="1">
      <c r="C97" s="2" t="str">
        <f>IFERROR(__xludf.DUMMYFUNCTION("""COMPUTED_VALUE"""),"Kazajistán [+]")</f>
        <v>Kazajistán [+]</v>
      </c>
      <c r="D97" s="2">
        <f>IFERROR(__xludf.DUMMYFUNCTION("""COMPUTED_VALUE"""),2015.0)</f>
        <v>2015</v>
      </c>
      <c r="E97" s="2">
        <f>IFERROR(__xludf.DUMMYFUNCTION("""COMPUTED_VALUE"""),872.0)</f>
        <v>872</v>
      </c>
      <c r="F97" s="6">
        <f>IFERROR(__xludf.DUMMYFUNCTION("""COMPUTED_VALUE"""),3983.0)</f>
        <v>3983</v>
      </c>
      <c r="G97" s="6">
        <f>IFERROR(__xludf.DUMMYFUNCTION("""COMPUTED_VALUE"""),4855.0)</f>
        <v>4855</v>
      </c>
      <c r="H97" s="7">
        <f>IFERROR(__xludf.DUMMYFUNCTION("""COMPUTED_VALUE"""),9.64)</f>
        <v>9.64</v>
      </c>
      <c r="I97" s="2">
        <f>IFERROR(__xludf.DUMMYFUNCTION("""COMPUTED_VALUE"""),46.89)</f>
        <v>46.89</v>
      </c>
      <c r="J97" s="4">
        <f>IFERROR(__xludf.DUMMYFUNCTION("""COMPUTED_VALUE"""),27.47)</f>
        <v>27.47</v>
      </c>
      <c r="K97" s="8">
        <f>IFERROR(__xludf.DUMMYFUNCTION("""COMPUTED_VALUE"""),-0.0488)</f>
        <v>-0.0488</v>
      </c>
    </row>
    <row r="98" ht="15.75" customHeight="1">
      <c r="C98" s="2" t="str">
        <f>IFERROR(__xludf.DUMMYFUNCTION("""COMPUTED_VALUE"""),"Laos [+]")</f>
        <v>Laos [+]</v>
      </c>
      <c r="D98" s="5">
        <f>IFERROR(__xludf.DUMMYFUNCTION("""COMPUTED_VALUE"""),2015.0)</f>
        <v>2015</v>
      </c>
      <c r="E98" s="2">
        <f>IFERROR(__xludf.DUMMYFUNCTION("""COMPUTED_VALUE"""),316.0)</f>
        <v>316</v>
      </c>
      <c r="F98" s="6">
        <f>IFERROR(__xludf.DUMMYFUNCTION("""COMPUTED_VALUE"""),521.0)</f>
        <v>521</v>
      </c>
      <c r="G98" s="2">
        <f>IFERROR(__xludf.DUMMYFUNCTION("""COMPUTED_VALUE"""),837.0)</f>
        <v>837</v>
      </c>
      <c r="H98" s="7">
        <f>IFERROR(__xludf.DUMMYFUNCTION("""COMPUTED_VALUE"""),9.4)</f>
        <v>9.4</v>
      </c>
      <c r="I98" s="2">
        <f>IFERROR(__xludf.DUMMYFUNCTION("""COMPUTED_VALUE"""),15.41)</f>
        <v>15.41</v>
      </c>
      <c r="J98" s="4">
        <f>IFERROR(__xludf.DUMMYFUNCTION("""COMPUTED_VALUE"""),12.41)</f>
        <v>12.41</v>
      </c>
      <c r="K98" s="8">
        <f>IFERROR(__xludf.DUMMYFUNCTION("""COMPUTED_VALUE"""),-0.0024)</f>
        <v>-0.0024</v>
      </c>
    </row>
    <row r="99" ht="15.75" customHeight="1">
      <c r="C99" s="2" t="str">
        <f>IFERROR(__xludf.DUMMYFUNCTION("""COMPUTED_VALUE"""),"Líbano [+]")</f>
        <v>Líbano [+]</v>
      </c>
      <c r="D99" s="5">
        <f>IFERROR(__xludf.DUMMYFUNCTION("""COMPUTED_VALUE"""),2015.0)</f>
        <v>2015</v>
      </c>
      <c r="E99" s="2">
        <f>IFERROR(__xludf.DUMMYFUNCTION("""COMPUTED_VALUE"""),62.0)</f>
        <v>62</v>
      </c>
      <c r="F99" s="6">
        <f>IFERROR(__xludf.DUMMYFUNCTION("""COMPUTED_VALUE"""),120.0)</f>
        <v>120</v>
      </c>
      <c r="G99" s="2">
        <f>IFERROR(__xludf.DUMMYFUNCTION("""COMPUTED_VALUE"""),182.0)</f>
        <v>182</v>
      </c>
      <c r="H99" s="7">
        <f>IFERROR(__xludf.DUMMYFUNCTION("""COMPUTED_VALUE"""),1.92)</f>
        <v>1.92</v>
      </c>
      <c r="I99" s="2">
        <f>IFERROR(__xludf.DUMMYFUNCTION("""COMPUTED_VALUE"""),3.65)</f>
        <v>3.65</v>
      </c>
      <c r="J99" s="4">
        <f>IFERROR(__xludf.DUMMYFUNCTION("""COMPUTED_VALUE"""),2.79)</f>
        <v>2.79</v>
      </c>
      <c r="K99" s="8">
        <f>IFERROR(__xludf.DUMMYFUNCTION("""COMPUTED_VALUE"""),0.0036)</f>
        <v>0.0036</v>
      </c>
    </row>
    <row r="100" ht="15.75" customHeight="1">
      <c r="C100" s="2" t="str">
        <f>IFERROR(__xludf.DUMMYFUNCTION("""COMPUTED_VALUE"""),"Santa Lucía [+]")</f>
        <v>Santa Lucía [+]</v>
      </c>
      <c r="D100" s="2">
        <f>IFERROR(__xludf.DUMMYFUNCTION("""COMPUTED_VALUE"""),2015.0)</f>
        <v>2015</v>
      </c>
      <c r="E100" s="2">
        <f>IFERROR(__xludf.DUMMYFUNCTION("""COMPUTED_VALUE"""),2.0)</f>
        <v>2</v>
      </c>
      <c r="F100" s="2">
        <f>IFERROR(__xludf.DUMMYFUNCTION("""COMPUTED_VALUE"""),11.0)</f>
        <v>11</v>
      </c>
      <c r="G100" s="2">
        <f>IFERROR(__xludf.DUMMYFUNCTION("""COMPUTED_VALUE"""),13.0)</f>
        <v>13</v>
      </c>
      <c r="H100" s="7">
        <f>IFERROR(__xludf.DUMMYFUNCTION("""COMPUTED_VALUE"""),1.68)</f>
        <v>1.68</v>
      </c>
      <c r="I100" s="2">
        <f>IFERROR(__xludf.DUMMYFUNCTION("""COMPUTED_VALUE"""),12.57)</f>
        <v>12.57</v>
      </c>
      <c r="J100" s="4">
        <f>IFERROR(__xludf.DUMMYFUNCTION("""COMPUTED_VALUE"""),7.25)</f>
        <v>7.25</v>
      </c>
      <c r="K100" s="8">
        <f>IFERROR(__xludf.DUMMYFUNCTION("""COMPUTED_VALUE"""),-0.0717)</f>
        <v>-0.0717</v>
      </c>
    </row>
    <row r="101" ht="15.75" customHeight="1">
      <c r="C101" s="2" t="str">
        <f>IFERROR(__xludf.DUMMYFUNCTION("""COMPUTED_VALUE"""),"Liechtenstein [+]")</f>
        <v>Liechtenstein [+]</v>
      </c>
      <c r="D101" s="2">
        <f>IFERROR(__xludf.DUMMYFUNCTION("""COMPUTED_VALUE"""),2016.0)</f>
        <v>2016</v>
      </c>
      <c r="E101" s="2">
        <f>IFERROR(__xludf.DUMMYFUNCTION("""COMPUTED_VALUE"""),1.0)</f>
        <v>1</v>
      </c>
      <c r="F101" s="2">
        <f>IFERROR(__xludf.DUMMYFUNCTION("""COMPUTED_VALUE"""),2.0)</f>
        <v>2</v>
      </c>
      <c r="G101" s="2">
        <f>IFERROR(__xludf.DUMMYFUNCTION("""COMPUTED_VALUE"""),3.0)</f>
        <v>3</v>
      </c>
      <c r="H101" s="7">
        <f>IFERROR(__xludf.DUMMYFUNCTION("""COMPUTED_VALUE"""),21.04)</f>
        <v>21.04</v>
      </c>
      <c r="I101" s="2">
        <f>IFERROR(__xludf.DUMMYFUNCTION("""COMPUTED_VALUE"""),10.69)</f>
        <v>10.69</v>
      </c>
      <c r="J101" s="4">
        <f>IFERROR(__xludf.DUMMYFUNCTION("""COMPUTED_VALUE"""),15.91)</f>
        <v>15.91</v>
      </c>
      <c r="K101" s="8">
        <f>IFERROR(__xludf.DUMMYFUNCTION("""COMPUTED_VALUE"""),4.9588)</f>
        <v>4.9588</v>
      </c>
    </row>
    <row r="102" ht="15.75" customHeight="1">
      <c r="C102" s="2" t="str">
        <f>IFERROR(__xludf.DUMMYFUNCTION("""COMPUTED_VALUE"""),"Sri Lanka [+]")</f>
        <v>Sri Lanka [+]</v>
      </c>
      <c r="D102" s="2">
        <f>IFERROR(__xludf.DUMMYFUNCTION("""COMPUTED_VALUE"""),2015.0)</f>
        <v>2015</v>
      </c>
      <c r="E102" s="6">
        <f>IFERROR(__xludf.DUMMYFUNCTION("""COMPUTED_VALUE"""),1461.0)</f>
        <v>1461</v>
      </c>
      <c r="F102" s="6">
        <f>IFERROR(__xludf.DUMMYFUNCTION("""COMPUTED_VALUE"""),5858.0)</f>
        <v>5858</v>
      </c>
      <c r="G102" s="6">
        <f>IFERROR(__xludf.DUMMYFUNCTION("""COMPUTED_VALUE"""),7319.0)</f>
        <v>7319</v>
      </c>
      <c r="H102" s="7">
        <f>IFERROR(__xludf.DUMMYFUNCTION("""COMPUTED_VALUE"""),13.45)</f>
        <v>13.45</v>
      </c>
      <c r="I102" s="2">
        <f>IFERROR(__xludf.DUMMYFUNCTION("""COMPUTED_VALUE"""),57.96)</f>
        <v>57.96</v>
      </c>
      <c r="J102" s="4">
        <f>IFERROR(__xludf.DUMMYFUNCTION("""COMPUTED_VALUE"""),34.9)</f>
        <v>34.9</v>
      </c>
      <c r="K102" s="8">
        <f>IFERROR(__xludf.DUMMYFUNCTION("""COMPUTED_VALUE"""),0.0046)</f>
        <v>0.0046</v>
      </c>
    </row>
    <row r="103" ht="15.75" customHeight="1">
      <c r="C103" s="2" t="str">
        <f>IFERROR(__xludf.DUMMYFUNCTION("""COMPUTED_VALUE"""),"Liberia [+]")</f>
        <v>Liberia [+]</v>
      </c>
      <c r="D103" s="5">
        <f>IFERROR(__xludf.DUMMYFUNCTION("""COMPUTED_VALUE"""),2015.0)</f>
        <v>2015</v>
      </c>
      <c r="E103" s="2">
        <f>IFERROR(__xludf.DUMMYFUNCTION("""COMPUTED_VALUE"""),63.0)</f>
        <v>63</v>
      </c>
      <c r="F103" s="6">
        <f>IFERROR(__xludf.DUMMYFUNCTION("""COMPUTED_VALUE"""),221.0)</f>
        <v>221</v>
      </c>
      <c r="G103" s="2">
        <f>IFERROR(__xludf.DUMMYFUNCTION("""COMPUTED_VALUE"""),284.0)</f>
        <v>284</v>
      </c>
      <c r="H103" s="7">
        <f>IFERROR(__xludf.DUMMYFUNCTION("""COMPUTED_VALUE"""),2.84)</f>
        <v>2.84</v>
      </c>
      <c r="I103" s="2">
        <f>IFERROR(__xludf.DUMMYFUNCTION("""COMPUTED_VALUE"""),9.84)</f>
        <v>9.84</v>
      </c>
      <c r="J103" s="4">
        <f>IFERROR(__xludf.DUMMYFUNCTION("""COMPUTED_VALUE"""),6.36)</f>
        <v>6.36</v>
      </c>
      <c r="K103" s="8">
        <f>IFERROR(__xludf.DUMMYFUNCTION("""COMPUTED_VALUE"""),0.0308)</f>
        <v>0.0308</v>
      </c>
    </row>
    <row r="104" ht="15.75" customHeight="1">
      <c r="C104" s="2" t="str">
        <f>IFERROR(__xludf.DUMMYFUNCTION("""COMPUTED_VALUE"""),"Lesoto [+]")</f>
        <v>Lesoto [+]</v>
      </c>
      <c r="D104" s="2">
        <f>IFERROR(__xludf.DUMMYFUNCTION("""COMPUTED_VALUE"""),2015.0)</f>
        <v>2015</v>
      </c>
      <c r="E104" s="2">
        <f>IFERROR(__xludf.DUMMYFUNCTION("""COMPUTED_VALUE"""),65.0)</f>
        <v>65</v>
      </c>
      <c r="F104" s="2">
        <f>IFERROR(__xludf.DUMMYFUNCTION("""COMPUTED_VALUE"""),156.0)</f>
        <v>156</v>
      </c>
      <c r="G104" s="2">
        <f>IFERROR(__xludf.DUMMYFUNCTION("""COMPUTED_VALUE"""),221.0)</f>
        <v>221</v>
      </c>
      <c r="H104" s="7">
        <f>IFERROR(__xludf.DUMMYFUNCTION("""COMPUTED_VALUE"""),6.21)</f>
        <v>6.21</v>
      </c>
      <c r="I104" s="2">
        <f>IFERROR(__xludf.DUMMYFUNCTION("""COMPUTED_VALUE"""),15.43)</f>
        <v>15.43</v>
      </c>
      <c r="J104" s="4">
        <f>IFERROR(__xludf.DUMMYFUNCTION("""COMPUTED_VALUE"""),11.09)</f>
        <v>11.09</v>
      </c>
      <c r="K104" s="8">
        <f>IFERROR(__xludf.DUMMYFUNCTION("""COMPUTED_VALUE"""),-0.0168)</f>
        <v>-0.0168</v>
      </c>
    </row>
    <row r="105" ht="15.75" customHeight="1">
      <c r="C105" s="2" t="str">
        <f>IFERROR(__xludf.DUMMYFUNCTION("""COMPUTED_VALUE"""),"Lituania [+]")</f>
        <v>Lituania [+]</v>
      </c>
      <c r="D105" s="5">
        <f>IFERROR(__xludf.DUMMYFUNCTION("""COMPUTED_VALUE"""),2016.0)</f>
        <v>2016</v>
      </c>
      <c r="E105" s="2">
        <f>IFERROR(__xludf.DUMMYFUNCTION("""COMPUTED_VALUE"""),129.0)</f>
        <v>129</v>
      </c>
      <c r="F105" s="6">
        <f>IFERROR(__xludf.DUMMYFUNCTION("""COMPUTED_VALUE"""),693.0)</f>
        <v>693</v>
      </c>
      <c r="G105" s="2">
        <f>IFERROR(__xludf.DUMMYFUNCTION("""COMPUTED_VALUE"""),822.0)</f>
        <v>822</v>
      </c>
      <c r="H105" s="7">
        <f>IFERROR(__xludf.DUMMYFUNCTION("""COMPUTED_VALUE"""),8.34)</f>
        <v>8.34</v>
      </c>
      <c r="I105" s="2">
        <f>IFERROR(__xludf.DUMMYFUNCTION("""COMPUTED_VALUE"""),52.39)</f>
        <v>52.39</v>
      </c>
      <c r="J105" s="4">
        <f>IFERROR(__xludf.DUMMYFUNCTION("""COMPUTED_VALUE"""),28.62)</f>
        <v>28.62</v>
      </c>
      <c r="K105" s="8">
        <f>IFERROR(__xludf.DUMMYFUNCTION("""COMPUTED_VALUE"""),-0.0681)</f>
        <v>-0.0681</v>
      </c>
    </row>
    <row r="106" ht="15.75" customHeight="1">
      <c r="C106" s="2" t="str">
        <f>IFERROR(__xludf.DUMMYFUNCTION("""COMPUTED_VALUE"""),"Luxemburgo [+]")</f>
        <v>Luxemburgo [+]</v>
      </c>
      <c r="D106" s="5">
        <f>IFERROR(__xludf.DUMMYFUNCTION("""COMPUTED_VALUE"""),2016.0)</f>
        <v>2016</v>
      </c>
      <c r="E106" s="2">
        <f>IFERROR(__xludf.DUMMYFUNCTION("""COMPUTED_VALUE"""),11.0)</f>
        <v>11</v>
      </c>
      <c r="F106" s="6">
        <f>IFERROR(__xludf.DUMMYFUNCTION("""COMPUTED_VALUE"""),34.0)</f>
        <v>34</v>
      </c>
      <c r="G106" s="2">
        <f>IFERROR(__xludf.DUMMYFUNCTION("""COMPUTED_VALUE"""),45.0)</f>
        <v>45</v>
      </c>
      <c r="H106" s="7">
        <f>IFERROR(__xludf.DUMMYFUNCTION("""COMPUTED_VALUE"""),4.47)</f>
        <v>4.47</v>
      </c>
      <c r="I106" s="2">
        <f>IFERROR(__xludf.DUMMYFUNCTION("""COMPUTED_VALUE"""),12.63)</f>
        <v>12.63</v>
      </c>
      <c r="J106" s="4">
        <f>IFERROR(__xludf.DUMMYFUNCTION("""COMPUTED_VALUE"""),8.57)</f>
        <v>8.57</v>
      </c>
      <c r="K106" s="8">
        <f>IFERROR(__xludf.DUMMYFUNCTION("""COMPUTED_VALUE"""),-0.322)</f>
        <v>-0.322</v>
      </c>
    </row>
    <row r="107" ht="15.75" customHeight="1">
      <c r="C107" s="2" t="str">
        <f>IFERROR(__xludf.DUMMYFUNCTION("""COMPUTED_VALUE"""),"Letonia [+]")</f>
        <v>Letonia [+]</v>
      </c>
      <c r="D107" s="2">
        <f>IFERROR(__xludf.DUMMYFUNCTION("""COMPUTED_VALUE"""),2016.0)</f>
        <v>2016</v>
      </c>
      <c r="E107" s="2">
        <f>IFERROR(__xludf.DUMMYFUNCTION("""COMPUTED_VALUE"""),77.0)</f>
        <v>77</v>
      </c>
      <c r="F107" s="2">
        <f>IFERROR(__xludf.DUMMYFUNCTION("""COMPUTED_VALUE"""),288.0)</f>
        <v>288</v>
      </c>
      <c r="G107" s="2">
        <f>IFERROR(__xludf.DUMMYFUNCTION("""COMPUTED_VALUE"""),365.0)</f>
        <v>365</v>
      </c>
      <c r="H107" s="7">
        <f>IFERROR(__xludf.DUMMYFUNCTION("""COMPUTED_VALUE"""),7.27)</f>
        <v>7.27</v>
      </c>
      <c r="I107" s="2">
        <f>IFERROR(__xludf.DUMMYFUNCTION("""COMPUTED_VALUE"""),32.44)</f>
        <v>32.44</v>
      </c>
      <c r="J107" s="4">
        <f>IFERROR(__xludf.DUMMYFUNCTION("""COMPUTED_VALUE"""),18.83)</f>
        <v>18.83</v>
      </c>
      <c r="K107" s="8">
        <f>IFERROR(__xludf.DUMMYFUNCTION("""COMPUTED_VALUE"""),-0.0451)</f>
        <v>-0.0451</v>
      </c>
    </row>
    <row r="108" ht="15.75" customHeight="1">
      <c r="C108" s="2" t="str">
        <f>IFERROR(__xludf.DUMMYFUNCTION("""COMPUTED_VALUE"""),"Libia [+]")</f>
        <v>Libia [+]</v>
      </c>
      <c r="D108" s="2">
        <f>IFERROR(__xludf.DUMMYFUNCTION("""COMPUTED_VALUE"""),2015.0)</f>
        <v>2015</v>
      </c>
      <c r="E108" s="2">
        <f>IFERROR(__xludf.DUMMYFUNCTION("""COMPUTED_VALUE"""),82.0)</f>
        <v>82</v>
      </c>
      <c r="F108" s="2">
        <f>IFERROR(__xludf.DUMMYFUNCTION("""COMPUTED_VALUE"""),266.0)</f>
        <v>266</v>
      </c>
      <c r="G108" s="2">
        <f>IFERROR(__xludf.DUMMYFUNCTION("""COMPUTED_VALUE"""),347.0)</f>
        <v>347</v>
      </c>
      <c r="H108" s="7">
        <f>IFERROR(__xludf.DUMMYFUNCTION("""COMPUTED_VALUE"""),2.58)</f>
        <v>2.58</v>
      </c>
      <c r="I108" s="2">
        <f>IFERROR(__xludf.DUMMYFUNCTION("""COMPUTED_VALUE"""),8.18)</f>
        <v>8.18</v>
      </c>
      <c r="J108" s="4">
        <f>IFERROR(__xludf.DUMMYFUNCTION("""COMPUTED_VALUE"""),5.5)</f>
        <v>5.5</v>
      </c>
      <c r="K108" s="8">
        <f>IFERROR(__xludf.DUMMYFUNCTION("""COMPUTED_VALUE"""),-0.0939)</f>
        <v>-0.0939</v>
      </c>
    </row>
    <row r="109" ht="15.75" customHeight="1">
      <c r="C109" s="2" t="str">
        <f>IFERROR(__xludf.DUMMYFUNCTION("""COMPUTED_VALUE"""),"Marruecos [+]")</f>
        <v>Marruecos [+]</v>
      </c>
      <c r="D109" s="2">
        <f>IFERROR(__xludf.DUMMYFUNCTION("""COMPUTED_VALUE"""),2015.0)</f>
        <v>2015</v>
      </c>
      <c r="E109" s="2">
        <f>IFERROR(__xludf.DUMMYFUNCTION("""COMPUTED_VALUE"""),577.0)</f>
        <v>577</v>
      </c>
      <c r="F109" s="6">
        <f>IFERROR(__xludf.DUMMYFUNCTION("""COMPUTED_VALUE"""),1067.0)</f>
        <v>1067</v>
      </c>
      <c r="G109" s="6">
        <f>IFERROR(__xludf.DUMMYFUNCTION("""COMPUTED_VALUE"""),1644.0)</f>
        <v>1644</v>
      </c>
      <c r="H109" s="7">
        <f>IFERROR(__xludf.DUMMYFUNCTION("""COMPUTED_VALUE"""),3.3)</f>
        <v>3.3</v>
      </c>
      <c r="I109" s="2">
        <f>IFERROR(__xludf.DUMMYFUNCTION("""COMPUTED_VALUE"""),6.22)</f>
        <v>6.22</v>
      </c>
      <c r="J109" s="4">
        <f>IFERROR(__xludf.DUMMYFUNCTION("""COMPUTED_VALUE"""),4.82)</f>
        <v>4.82</v>
      </c>
      <c r="K109" s="8">
        <f>IFERROR(__xludf.DUMMYFUNCTION("""COMPUTED_VALUE"""),0.0021)</f>
        <v>0.0021</v>
      </c>
    </row>
    <row r="110" ht="15.75" customHeight="1">
      <c r="C110" s="2" t="str">
        <f>IFERROR(__xludf.DUMMYFUNCTION("""COMPUTED_VALUE"""),"Moldavia [+]")</f>
        <v>Moldavia [+]</v>
      </c>
      <c r="D110" s="2">
        <f>IFERROR(__xludf.DUMMYFUNCTION("""COMPUTED_VALUE"""),2015.0)</f>
        <v>2015</v>
      </c>
      <c r="E110" s="2">
        <f>IFERROR(__xludf.DUMMYFUNCTION("""COMPUTED_VALUE"""),97.0)</f>
        <v>97</v>
      </c>
      <c r="F110" s="2">
        <f>IFERROR(__xludf.DUMMYFUNCTION("""COMPUTED_VALUE"""),504.0)</f>
        <v>504</v>
      </c>
      <c r="G110" s="2">
        <f>IFERROR(__xludf.DUMMYFUNCTION("""COMPUTED_VALUE"""),601.0)</f>
        <v>601</v>
      </c>
      <c r="H110" s="7">
        <f>IFERROR(__xludf.DUMMYFUNCTION("""COMPUTED_VALUE"""),6.6)</f>
        <v>6.6</v>
      </c>
      <c r="I110" s="2">
        <f>IFERROR(__xludf.DUMMYFUNCTION("""COMPUTED_VALUE"""),36.98)</f>
        <v>36.98</v>
      </c>
      <c r="J110" s="4">
        <f>IFERROR(__xludf.DUMMYFUNCTION("""COMPUTED_VALUE"""),16.91)</f>
        <v>16.91</v>
      </c>
      <c r="K110" s="8">
        <f>IFERROR(__xludf.DUMMYFUNCTION("""COMPUTED_VALUE"""),-0.0899)</f>
        <v>-0.0899</v>
      </c>
    </row>
    <row r="111" ht="15.75" customHeight="1">
      <c r="C111" s="2" t="str">
        <f>IFERROR(__xludf.DUMMYFUNCTION("""COMPUTED_VALUE"""),"Montenegro [+]")</f>
        <v>Montenegro [+]</v>
      </c>
      <c r="D111" s="2">
        <f>IFERROR(__xludf.DUMMYFUNCTION("""COMPUTED_VALUE"""),2015.0)</f>
        <v>2015</v>
      </c>
      <c r="E111" s="2">
        <f>IFERROR(__xludf.DUMMYFUNCTION("""COMPUTED_VALUE"""),23.0)</f>
        <v>23</v>
      </c>
      <c r="F111" s="2">
        <f>IFERROR(__xludf.DUMMYFUNCTION("""COMPUTED_VALUE"""),46.0)</f>
        <v>46</v>
      </c>
      <c r="G111" s="2">
        <f>IFERROR(__xludf.DUMMYFUNCTION("""COMPUTED_VALUE"""),69.0)</f>
        <v>69</v>
      </c>
      <c r="H111" s="7">
        <f>IFERROR(__xludf.DUMMYFUNCTION("""COMPUTED_VALUE"""),7.19)</f>
        <v>7.19</v>
      </c>
      <c r="I111" s="2">
        <f>IFERROR(__xludf.DUMMYFUNCTION("""COMPUTED_VALUE"""),15.03)</f>
        <v>15.03</v>
      </c>
      <c r="J111" s="4">
        <f>IFERROR(__xludf.DUMMYFUNCTION("""COMPUTED_VALUE"""),11.07)</f>
        <v>11.07</v>
      </c>
      <c r="K111" s="8">
        <f>IFERROR(__xludf.DUMMYFUNCTION("""COMPUTED_VALUE"""),0.0018)</f>
        <v>0.0018</v>
      </c>
    </row>
    <row r="112" ht="15.75" customHeight="1">
      <c r="C112" s="2" t="str">
        <f>IFERROR(__xludf.DUMMYFUNCTION("""COMPUTED_VALUE"""),"Madagascar [+]")</f>
        <v>Madagascar [+]</v>
      </c>
      <c r="D112" s="2">
        <f>IFERROR(__xludf.DUMMYFUNCTION("""COMPUTED_VALUE"""),2015.0)</f>
        <v>2015</v>
      </c>
      <c r="E112" s="2">
        <f>IFERROR(__xludf.DUMMYFUNCTION("""COMPUTED_VALUE"""),296.0)</f>
        <v>296</v>
      </c>
      <c r="F112" s="2">
        <f>IFERROR(__xludf.DUMMYFUNCTION("""COMPUTED_VALUE"""),830.0)</f>
        <v>830</v>
      </c>
      <c r="G112" s="6">
        <f>IFERROR(__xludf.DUMMYFUNCTION("""COMPUTED_VALUE"""),1126.0)</f>
        <v>1126</v>
      </c>
      <c r="H112" s="7">
        <f>IFERROR(__xludf.DUMMYFUNCTION("""COMPUTED_VALUE"""),2.43)</f>
        <v>2.43</v>
      </c>
      <c r="I112" s="2">
        <f>IFERROR(__xludf.DUMMYFUNCTION("""COMPUTED_VALUE"""),6.87)</f>
        <v>6.87</v>
      </c>
      <c r="J112" s="4">
        <f>IFERROR(__xludf.DUMMYFUNCTION("""COMPUTED_VALUE"""),4.79)</f>
        <v>4.79</v>
      </c>
      <c r="K112" s="8">
        <f>IFERROR(__xludf.DUMMYFUNCTION("""COMPUTED_VALUE"""),-0.0439)</f>
        <v>-0.0439</v>
      </c>
    </row>
    <row r="113" ht="15.75" customHeight="1">
      <c r="C113" s="2" t="str">
        <f>IFERROR(__xludf.DUMMYFUNCTION("""COMPUTED_VALUE"""),"Macedonia del Norte [+]")</f>
        <v>Macedonia del Norte [+]</v>
      </c>
      <c r="D113" s="2">
        <f>IFERROR(__xludf.DUMMYFUNCTION("""COMPUTED_VALUE"""),2010.0)</f>
        <v>2010</v>
      </c>
      <c r="E113" s="2">
        <f>IFERROR(__xludf.DUMMYFUNCTION("""COMPUTED_VALUE"""),35.0)</f>
        <v>35</v>
      </c>
      <c r="F113" s="2">
        <f>IFERROR(__xludf.DUMMYFUNCTION("""COMPUTED_VALUE"""),87.0)</f>
        <v>87</v>
      </c>
      <c r="G113" s="2">
        <f>IFERROR(__xludf.DUMMYFUNCTION("""COMPUTED_VALUE"""),122.0)</f>
        <v>122</v>
      </c>
      <c r="H113" s="7">
        <f>IFERROR(__xludf.DUMMYFUNCTION("""COMPUTED_VALUE"""),3.4)</f>
        <v>3.4</v>
      </c>
      <c r="I113" s="2">
        <f>IFERROR(__xludf.DUMMYFUNCTION("""COMPUTED_VALUE"""),8.4)</f>
        <v>8.4</v>
      </c>
      <c r="J113" s="4">
        <f>IFERROR(__xludf.DUMMYFUNCTION("""COMPUTED_VALUE"""),5.9)</f>
        <v>5.9</v>
      </c>
      <c r="K113" s="8">
        <f>IFERROR(__xludf.DUMMYFUNCTION("""COMPUTED_VALUE"""),-0.2716)</f>
        <v>-0.2716</v>
      </c>
    </row>
    <row r="114" ht="15.75" customHeight="1">
      <c r="C114" s="2" t="str">
        <f>IFERROR(__xludf.DUMMYFUNCTION("""COMPUTED_VALUE"""),"Malí [+]")</f>
        <v>Malí [+]</v>
      </c>
      <c r="D114" s="2">
        <f>IFERROR(__xludf.DUMMYFUNCTION("""COMPUTED_VALUE"""),2015.0)</f>
        <v>2015</v>
      </c>
      <c r="E114" s="2">
        <f>IFERROR(__xludf.DUMMYFUNCTION("""COMPUTED_VALUE"""),332.0)</f>
        <v>332</v>
      </c>
      <c r="F114" s="2">
        <f>IFERROR(__xludf.DUMMYFUNCTION("""COMPUTED_VALUE"""),679.0)</f>
        <v>679</v>
      </c>
      <c r="G114" s="6">
        <f>IFERROR(__xludf.DUMMYFUNCTION("""COMPUTED_VALUE"""),1011.0)</f>
        <v>1011</v>
      </c>
      <c r="H114" s="7">
        <f>IFERROR(__xludf.DUMMYFUNCTION("""COMPUTED_VALUE"""),3.8)</f>
        <v>3.8</v>
      </c>
      <c r="I114" s="2">
        <f>IFERROR(__xludf.DUMMYFUNCTION("""COMPUTED_VALUE"""),7.79)</f>
        <v>7.79</v>
      </c>
      <c r="J114" s="4">
        <f>IFERROR(__xludf.DUMMYFUNCTION("""COMPUTED_VALUE"""),5.8)</f>
        <v>5.8</v>
      </c>
      <c r="K114" s="8">
        <f>IFERROR(__xludf.DUMMYFUNCTION("""COMPUTED_VALUE"""),-0.0203)</f>
        <v>-0.0203</v>
      </c>
    </row>
    <row r="115" ht="15.75" customHeight="1">
      <c r="C115" s="2" t="str">
        <f>IFERROR(__xludf.DUMMYFUNCTION("""COMPUTED_VALUE"""),"Myanmar [+]")</f>
        <v>Myanmar [+]</v>
      </c>
      <c r="D115" s="2">
        <f>IFERROR(__xludf.DUMMYFUNCTION("""COMPUTED_VALUE"""),2015.0)</f>
        <v>2015</v>
      </c>
      <c r="E115" s="2">
        <f>IFERROR(__xludf.DUMMYFUNCTION("""COMPUTED_VALUE"""),893.0)</f>
        <v>893</v>
      </c>
      <c r="F115" s="6">
        <f>IFERROR(__xludf.DUMMYFUNCTION("""COMPUTED_VALUE"""),1429.0)</f>
        <v>1429</v>
      </c>
      <c r="G115" s="6">
        <f>IFERROR(__xludf.DUMMYFUNCTION("""COMPUTED_VALUE"""),2323.0)</f>
        <v>2323</v>
      </c>
      <c r="H115" s="7">
        <f>IFERROR(__xludf.DUMMYFUNCTION("""COMPUTED_VALUE"""),3.27)</f>
        <v>3.27</v>
      </c>
      <c r="I115" s="2">
        <f>IFERROR(__xludf.DUMMYFUNCTION("""COMPUTED_VALUE"""),5.63)</f>
        <v>5.63</v>
      </c>
      <c r="J115" s="4">
        <f>IFERROR(__xludf.DUMMYFUNCTION("""COMPUTED_VALUE"""),4.54)</f>
        <v>4.54</v>
      </c>
      <c r="K115" s="8">
        <f>IFERROR(__xludf.DUMMYFUNCTION("""COMPUTED_VALUE"""),0.0365)</f>
        <v>0.0365</v>
      </c>
    </row>
    <row r="116" ht="15.75" customHeight="1">
      <c r="C116" s="2" t="str">
        <f>IFERROR(__xludf.DUMMYFUNCTION("""COMPUTED_VALUE"""),"Mongolia [+]")</f>
        <v>Mongolia [+]</v>
      </c>
      <c r="D116" s="2">
        <f>IFERROR(__xludf.DUMMYFUNCTION("""COMPUTED_VALUE"""),2015.0)</f>
        <v>2015</v>
      </c>
      <c r="E116" s="2">
        <f>IFERROR(__xludf.DUMMYFUNCTION("""COMPUTED_VALUE"""),136.0)</f>
        <v>136</v>
      </c>
      <c r="F116" s="2">
        <f>IFERROR(__xludf.DUMMYFUNCTION("""COMPUTED_VALUE"""),700.0)</f>
        <v>700</v>
      </c>
      <c r="G116" s="2">
        <f>IFERROR(__xludf.DUMMYFUNCTION("""COMPUTED_VALUE"""),836.0)</f>
        <v>836</v>
      </c>
      <c r="H116" s="7">
        <f>IFERROR(__xludf.DUMMYFUNCTION("""COMPUTED_VALUE"""),9.0)</f>
        <v>9</v>
      </c>
      <c r="I116" s="2">
        <f>IFERROR(__xludf.DUMMYFUNCTION("""COMPUTED_VALUE"""),47.23)</f>
        <v>47.23</v>
      </c>
      <c r="J116" s="4">
        <f>IFERROR(__xludf.DUMMYFUNCTION("""COMPUTED_VALUE"""),27.35)</f>
        <v>27.35</v>
      </c>
      <c r="K116" s="8">
        <f>IFERROR(__xludf.DUMMYFUNCTION("""COMPUTED_VALUE"""),-0.0267)</f>
        <v>-0.0267</v>
      </c>
    </row>
    <row r="117" ht="15.75" customHeight="1">
      <c r="C117" s="2" t="str">
        <f>IFERROR(__xludf.DUMMYFUNCTION("""COMPUTED_VALUE"""),"Mauritania [+]")</f>
        <v>Mauritania [+]</v>
      </c>
      <c r="D117" s="2">
        <f>IFERROR(__xludf.DUMMYFUNCTION("""COMPUTED_VALUE"""),2015.0)</f>
        <v>2015</v>
      </c>
      <c r="E117" s="2">
        <f>IFERROR(__xludf.DUMMYFUNCTION("""COMPUTED_VALUE"""),71.0)</f>
        <v>71</v>
      </c>
      <c r="F117" s="2">
        <f>IFERROR(__xludf.DUMMYFUNCTION("""COMPUTED_VALUE"""),169.0)</f>
        <v>169</v>
      </c>
      <c r="G117" s="2">
        <f>IFERROR(__xludf.DUMMYFUNCTION("""COMPUTED_VALUE"""),240.0)</f>
        <v>240</v>
      </c>
      <c r="H117" s="7">
        <f>IFERROR(__xludf.DUMMYFUNCTION("""COMPUTED_VALUE"""),3.51)</f>
        <v>3.51</v>
      </c>
      <c r="I117" s="2">
        <f>IFERROR(__xludf.DUMMYFUNCTION("""COMPUTED_VALUE"""),8.33)</f>
        <v>8.33</v>
      </c>
      <c r="J117" s="4">
        <f>IFERROR(__xludf.DUMMYFUNCTION("""COMPUTED_VALUE"""),5.92)</f>
        <v>5.92</v>
      </c>
      <c r="K117" s="8">
        <f>IFERROR(__xludf.DUMMYFUNCTION("""COMPUTED_VALUE"""),-0.0736)</f>
        <v>-0.0736</v>
      </c>
    </row>
    <row r="118" ht="15.75" customHeight="1">
      <c r="C118" s="2" t="str">
        <f>IFERROR(__xludf.DUMMYFUNCTION("""COMPUTED_VALUE"""),"Malta [+]")</f>
        <v>Malta [+]</v>
      </c>
      <c r="D118" s="5">
        <f>IFERROR(__xludf.DUMMYFUNCTION("""COMPUTED_VALUE"""),2016.0)</f>
        <v>2016</v>
      </c>
      <c r="E118" s="5">
        <f>IFERROR(__xludf.DUMMYFUNCTION("""COMPUTED_VALUE"""),5.0)</f>
        <v>5</v>
      </c>
      <c r="F118" s="2">
        <f>IFERROR(__xludf.DUMMYFUNCTION("""COMPUTED_VALUE"""),21.0)</f>
        <v>21</v>
      </c>
      <c r="G118" s="2">
        <f>IFERROR(__xludf.DUMMYFUNCTION("""COMPUTED_VALUE"""),26.0)</f>
        <v>26</v>
      </c>
      <c r="H118" s="7">
        <f>IFERROR(__xludf.DUMMYFUNCTION("""COMPUTED_VALUE"""),1.77)</f>
        <v>1.77</v>
      </c>
      <c r="I118" s="2">
        <f>IFERROR(__xludf.DUMMYFUNCTION("""COMPUTED_VALUE"""),8.73)</f>
        <v>8.73</v>
      </c>
      <c r="J118" s="4">
        <f>IFERROR(__xludf.DUMMYFUNCTION("""COMPUTED_VALUE"""),5.27)</f>
        <v>5.27</v>
      </c>
      <c r="K118" s="8">
        <f>IFERROR(__xludf.DUMMYFUNCTION("""COMPUTED_VALUE"""),-0.3102)</f>
        <v>-0.3102</v>
      </c>
    </row>
    <row r="119" ht="15.75" customHeight="1">
      <c r="C119" s="2" t="str">
        <f>IFERROR(__xludf.DUMMYFUNCTION("""COMPUTED_VALUE"""),"Mauricio [+]")</f>
        <v>Mauricio [+]</v>
      </c>
      <c r="D119" s="5">
        <f>IFERROR(__xludf.DUMMYFUNCTION("""COMPUTED_VALUE"""),2015.0)</f>
        <v>2015</v>
      </c>
      <c r="E119" s="2">
        <f>IFERROR(__xludf.DUMMYFUNCTION("""COMPUTED_VALUE"""),24.0)</f>
        <v>24</v>
      </c>
      <c r="F119" s="2">
        <f>IFERROR(__xludf.DUMMYFUNCTION("""COMPUTED_VALUE"""),95.0)</f>
        <v>95</v>
      </c>
      <c r="G119" s="2">
        <f>IFERROR(__xludf.DUMMYFUNCTION("""COMPUTED_VALUE"""),119.0)</f>
        <v>119</v>
      </c>
      <c r="H119" s="7">
        <f>IFERROR(__xludf.DUMMYFUNCTION("""COMPUTED_VALUE"""),3.77)</f>
        <v>3.77</v>
      </c>
      <c r="I119" s="2">
        <f>IFERROR(__xludf.DUMMYFUNCTION("""COMPUTED_VALUE"""),15.16)</f>
        <v>15.16</v>
      </c>
      <c r="J119" s="4">
        <f>IFERROR(__xludf.DUMMYFUNCTION("""COMPUTED_VALUE"""),9.41)</f>
        <v>9.41</v>
      </c>
      <c r="K119" s="8">
        <f>IFERROR(__xludf.DUMMYFUNCTION("""COMPUTED_VALUE"""),-0.0683)</f>
        <v>-0.0683</v>
      </c>
    </row>
    <row r="120" ht="15.75" customHeight="1">
      <c r="C120" s="2" t="str">
        <f>IFERROR(__xludf.DUMMYFUNCTION("""COMPUTED_VALUE"""),"Maldivas [+]")</f>
        <v>Maldivas [+]</v>
      </c>
      <c r="D120" s="2">
        <f>IFERROR(__xludf.DUMMYFUNCTION("""COMPUTED_VALUE"""),2015.0)</f>
        <v>2015</v>
      </c>
      <c r="E120" s="2">
        <f>IFERROR(__xludf.DUMMYFUNCTION("""COMPUTED_VALUE"""),12.0)</f>
        <v>12</v>
      </c>
      <c r="F120" s="2">
        <f>IFERROR(__xludf.DUMMYFUNCTION("""COMPUTED_VALUE"""),19.0)</f>
        <v>19</v>
      </c>
      <c r="G120" s="2">
        <f>IFERROR(__xludf.DUMMYFUNCTION("""COMPUTED_VALUE"""),31.0)</f>
        <v>31</v>
      </c>
      <c r="H120" s="7">
        <f>IFERROR(__xludf.DUMMYFUNCTION("""COMPUTED_VALUE"""),6.47)</f>
        <v>6.47</v>
      </c>
      <c r="I120" s="2">
        <f>IFERROR(__xludf.DUMMYFUNCTION("""COMPUTED_VALUE"""),7.18)</f>
        <v>7.18</v>
      </c>
      <c r="J120" s="4">
        <f>IFERROR(__xludf.DUMMYFUNCTION("""COMPUTED_VALUE"""),6.89)</f>
        <v>6.89</v>
      </c>
      <c r="K120" s="8">
        <f>IFERROR(__xludf.DUMMYFUNCTION("""COMPUTED_VALUE"""),-0.2551)</f>
        <v>-0.2551</v>
      </c>
    </row>
    <row r="121" ht="15.75" customHeight="1">
      <c r="C121" s="2" t="str">
        <f>IFERROR(__xludf.DUMMYFUNCTION("""COMPUTED_VALUE"""),"Malaui [+]")</f>
        <v>Malaui [+]</v>
      </c>
      <c r="D121" s="2">
        <f>IFERROR(__xludf.DUMMYFUNCTION("""COMPUTED_VALUE"""),2015.0)</f>
        <v>2015</v>
      </c>
      <c r="E121" s="2">
        <f>IFERROR(__xludf.DUMMYFUNCTION("""COMPUTED_VALUE"""),218.0)</f>
        <v>218</v>
      </c>
      <c r="F121" s="2">
        <f>IFERROR(__xludf.DUMMYFUNCTION("""COMPUTED_VALUE"""),728.0)</f>
        <v>728</v>
      </c>
      <c r="G121" s="2">
        <f>IFERROR(__xludf.DUMMYFUNCTION("""COMPUTED_VALUE"""),947.0)</f>
        <v>947</v>
      </c>
      <c r="H121" s="7">
        <f>IFERROR(__xludf.DUMMYFUNCTION("""COMPUTED_VALUE"""),2.57)</f>
        <v>2.57</v>
      </c>
      <c r="I121" s="2">
        <f>IFERROR(__xludf.DUMMYFUNCTION("""COMPUTED_VALUE"""),8.83)</f>
        <v>8.83</v>
      </c>
      <c r="J121" s="4">
        <f>IFERROR(__xludf.DUMMYFUNCTION("""COMPUTED_VALUE"""),5.23)</f>
        <v>5.23</v>
      </c>
      <c r="K121" s="8">
        <f>IFERROR(__xludf.DUMMYFUNCTION("""COMPUTED_VALUE"""),0.0155)</f>
        <v>0.0155</v>
      </c>
    </row>
    <row r="122" ht="15.75" customHeight="1">
      <c r="C122" s="2" t="str">
        <f>IFERROR(__xludf.DUMMYFUNCTION("""COMPUTED_VALUE"""),"México [+]")</f>
        <v>México [+]</v>
      </c>
      <c r="D122" s="2">
        <f>IFERROR(__xludf.DUMMYFUNCTION("""COMPUTED_VALUE"""),2016.0)</f>
        <v>2016</v>
      </c>
      <c r="E122" s="6">
        <f>IFERROR(__xludf.DUMMYFUNCTION("""COMPUTED_VALUE"""),1173.0)</f>
        <v>1173</v>
      </c>
      <c r="F122" s="6">
        <f>IFERROR(__xludf.DUMMYFUNCTION("""COMPUTED_VALUE"""),5116.0)</f>
        <v>5116</v>
      </c>
      <c r="G122" s="6">
        <f>IFERROR(__xludf.DUMMYFUNCTION("""COMPUTED_VALUE"""),6370.0)</f>
        <v>6370</v>
      </c>
      <c r="H122" s="7">
        <f>IFERROR(__xludf.DUMMYFUNCTION("""COMPUTED_VALUE"""),1.9)</f>
        <v>1.9</v>
      </c>
      <c r="I122" s="2">
        <f>IFERROR(__xludf.DUMMYFUNCTION("""COMPUTED_VALUE"""),8.5)</f>
        <v>8.5</v>
      </c>
      <c r="J122" s="4">
        <f>IFERROR(__xludf.DUMMYFUNCTION("""COMPUTED_VALUE"""),5.1)</f>
        <v>5.1</v>
      </c>
      <c r="K122" s="8">
        <f>IFERROR(__xludf.DUMMYFUNCTION("""COMPUTED_VALUE"""),-0.0192)</f>
        <v>-0.0192</v>
      </c>
    </row>
    <row r="123" ht="15.75" customHeight="1">
      <c r="C123" s="4" t="str">
        <f>IFERROR(__xludf.DUMMYFUNCTION("""COMPUTED_VALUE"""),"Malasia [+]")</f>
        <v>Malasia [+]</v>
      </c>
      <c r="D123" s="4">
        <f>IFERROR(__xludf.DUMMYFUNCTION("""COMPUTED_VALUE"""),2015.0)</f>
        <v>2015</v>
      </c>
      <c r="E123" s="4">
        <f>IFERROR(__xludf.DUMMYFUNCTION("""COMPUTED_VALUE"""),435.0)</f>
        <v>435</v>
      </c>
      <c r="F123" s="9">
        <f>IFERROR(__xludf.DUMMYFUNCTION("""COMPUTED_VALUE"""),1317.0)</f>
        <v>1317</v>
      </c>
      <c r="G123" s="9">
        <f>IFERROR(__xludf.DUMMYFUNCTION("""COMPUTED_VALUE"""),1752.0)</f>
        <v>1752</v>
      </c>
      <c r="H123" s="4">
        <f>IFERROR(__xludf.DUMMYFUNCTION("""COMPUTED_VALUE"""),2.96)</f>
        <v>2.96</v>
      </c>
      <c r="I123" s="4">
        <f>IFERROR(__xludf.DUMMYFUNCTION("""COMPUTED_VALUE"""),8.45)</f>
        <v>8.45</v>
      </c>
      <c r="J123" s="4">
        <f>IFERROR(__xludf.DUMMYFUNCTION("""COMPUTED_VALUE"""),5.62)</f>
        <v>5.62</v>
      </c>
      <c r="K123" s="8">
        <f>IFERROR(__xludf.DUMMYFUNCTION("""COMPUTED_VALUE"""),0.0237)</f>
        <v>0.0237</v>
      </c>
    </row>
    <row r="124" ht="15.75" customHeight="1">
      <c r="C124" s="4" t="str">
        <f>IFERROR(__xludf.DUMMYFUNCTION("""COMPUTED_VALUE"""),"Mozambique [+]")</f>
        <v>Mozambique [+]</v>
      </c>
      <c r="D124" s="4">
        <f>IFERROR(__xludf.DUMMYFUNCTION("""COMPUTED_VALUE"""),2015.0)</f>
        <v>2015</v>
      </c>
      <c r="E124" s="4">
        <f>IFERROR(__xludf.DUMMYFUNCTION("""COMPUTED_VALUE"""),654.0)</f>
        <v>654</v>
      </c>
      <c r="F124" s="9">
        <f>IFERROR(__xludf.DUMMYFUNCTION("""COMPUTED_VALUE"""),1687.0)</f>
        <v>1687</v>
      </c>
      <c r="G124" s="9">
        <f>IFERROR(__xludf.DUMMYFUNCTION("""COMPUTED_VALUE"""),2341.0)</f>
        <v>2341</v>
      </c>
      <c r="H124" s="4">
        <f>IFERROR(__xludf.DUMMYFUNCTION("""COMPUTED_VALUE"""),4.69)</f>
        <v>4.69</v>
      </c>
      <c r="I124" s="4">
        <f>IFERROR(__xludf.DUMMYFUNCTION("""COMPUTED_VALUE"""),12.88)</f>
        <v>12.88</v>
      </c>
      <c r="J124" s="4">
        <f>IFERROR(__xludf.DUMMYFUNCTION("""COMPUTED_VALUE"""),8.66)</f>
        <v>8.66</v>
      </c>
      <c r="K124" s="8">
        <f>IFERROR(__xludf.DUMMYFUNCTION("""COMPUTED_VALUE"""),-0.0069)</f>
        <v>-0.0069</v>
      </c>
    </row>
    <row r="125" ht="15.75" customHeight="1">
      <c r="C125" s="4" t="str">
        <f>IFERROR(__xludf.DUMMYFUNCTION("""COMPUTED_VALUE"""),"Namibia [+]")</f>
        <v>Namibia [+]</v>
      </c>
      <c r="D125" s="4">
        <f>IFERROR(__xludf.DUMMYFUNCTION("""COMPUTED_VALUE"""),2015.0)</f>
        <v>2015</v>
      </c>
      <c r="E125" s="4">
        <f>IFERROR(__xludf.DUMMYFUNCTION("""COMPUTED_VALUE"""),48.0)</f>
        <v>48</v>
      </c>
      <c r="F125" s="4">
        <f>IFERROR(__xludf.DUMMYFUNCTION("""COMPUTED_VALUE"""),141.0)</f>
        <v>141</v>
      </c>
      <c r="G125" s="4">
        <f>IFERROR(__xludf.DUMMYFUNCTION("""COMPUTED_VALUE"""),188.0)</f>
        <v>188</v>
      </c>
      <c r="H125" s="4">
        <f>IFERROR(__xludf.DUMMYFUNCTION("""COMPUTED_VALUE"""),3.98)</f>
        <v>3.98</v>
      </c>
      <c r="I125" s="4">
        <f>IFERROR(__xludf.DUMMYFUNCTION("""COMPUTED_VALUE"""),12.54)</f>
        <v>12.54</v>
      </c>
      <c r="J125" s="4">
        <f>IFERROR(__xludf.DUMMYFUNCTION("""COMPUTED_VALUE"""),8.24)</f>
        <v>8.24</v>
      </c>
      <c r="K125" s="8">
        <f>IFERROR(__xludf.DUMMYFUNCTION("""COMPUTED_VALUE"""),-0.0167)</f>
        <v>-0.0167</v>
      </c>
    </row>
    <row r="126" ht="15.75" customHeight="1">
      <c r="C126" s="4" t="str">
        <f>IFERROR(__xludf.DUMMYFUNCTION("""COMPUTED_VALUE"""),"Níger [+]")</f>
        <v>Níger [+]</v>
      </c>
      <c r="D126" s="4">
        <f>IFERROR(__xludf.DUMMYFUNCTION("""COMPUTED_VALUE"""),2015.0)</f>
        <v>2015</v>
      </c>
      <c r="E126" s="4">
        <f>IFERROR(__xludf.DUMMYFUNCTION("""COMPUTED_VALUE"""),270.0)</f>
        <v>270</v>
      </c>
      <c r="F126" s="4">
        <f>IFERROR(__xludf.DUMMYFUNCTION("""COMPUTED_VALUE"""),552.0)</f>
        <v>552</v>
      </c>
      <c r="G126" s="4">
        <f>IFERROR(__xludf.DUMMYFUNCTION("""COMPUTED_VALUE"""),822.0)</f>
        <v>822</v>
      </c>
      <c r="H126" s="4">
        <f>IFERROR(__xludf.DUMMYFUNCTION("""COMPUTED_VALUE"""),2.71)</f>
        <v>2.71</v>
      </c>
      <c r="I126" s="4">
        <f>IFERROR(__xludf.DUMMYFUNCTION("""COMPUTED_VALUE"""),5.5)</f>
        <v>5.5</v>
      </c>
      <c r="J126" s="4">
        <f>IFERROR(__xludf.DUMMYFUNCTION("""COMPUTED_VALUE"""),4.11)</f>
        <v>4.11</v>
      </c>
      <c r="K126" s="8">
        <f>IFERROR(__xludf.DUMMYFUNCTION("""COMPUTED_VALUE"""),-0.0167)</f>
        <v>-0.0167</v>
      </c>
    </row>
    <row r="127" ht="15.75" customHeight="1">
      <c r="C127" s="4" t="str">
        <f>IFERROR(__xludf.DUMMYFUNCTION("""COMPUTED_VALUE"""),"Nigeria [+]")</f>
        <v>Nigeria [+]</v>
      </c>
      <c r="D127" s="4">
        <f>IFERROR(__xludf.DUMMYFUNCTION("""COMPUTED_VALUE"""),2015.0)</f>
        <v>2015</v>
      </c>
      <c r="E127" s="9">
        <f>IFERROR(__xludf.DUMMYFUNCTION("""COMPUTED_VALUE"""),5477.0)</f>
        <v>5477</v>
      </c>
      <c r="F127" s="9">
        <f>IFERROR(__xludf.DUMMYFUNCTION("""COMPUTED_VALUE"""),12618.0)</f>
        <v>12618</v>
      </c>
      <c r="G127" s="9">
        <f>IFERROR(__xludf.DUMMYFUNCTION("""COMPUTED_VALUE"""),18095.0)</f>
        <v>18095</v>
      </c>
      <c r="H127" s="4">
        <f>IFERROR(__xludf.DUMMYFUNCTION("""COMPUTED_VALUE"""),6.13)</f>
        <v>6.13</v>
      </c>
      <c r="I127" s="4">
        <f>IFERROR(__xludf.DUMMYFUNCTION("""COMPUTED_VALUE"""),13.76)</f>
        <v>13.76</v>
      </c>
      <c r="J127" s="4">
        <f>IFERROR(__xludf.DUMMYFUNCTION("""COMPUTED_VALUE"""),9.99)</f>
        <v>9.99</v>
      </c>
      <c r="K127" s="8">
        <f>IFERROR(__xludf.DUMMYFUNCTION("""COMPUTED_VALUE"""),-0.0089)</f>
        <v>-0.0089</v>
      </c>
    </row>
    <row r="128" ht="15.75" customHeight="1">
      <c r="C128" s="4" t="str">
        <f>IFERROR(__xludf.DUMMYFUNCTION("""COMPUTED_VALUE"""),"Nicaragua [+]")</f>
        <v>Nicaragua [+]</v>
      </c>
      <c r="D128" s="4">
        <f>IFERROR(__xludf.DUMMYFUNCTION("""COMPUTED_VALUE"""),2015.0)</f>
        <v>2015</v>
      </c>
      <c r="E128" s="4">
        <f>IFERROR(__xludf.DUMMYFUNCTION("""COMPUTED_VALUE"""),134.0)</f>
        <v>134</v>
      </c>
      <c r="F128" s="4">
        <f>IFERROR(__xludf.DUMMYFUNCTION("""COMPUTED_VALUE"""),443.0)</f>
        <v>443</v>
      </c>
      <c r="G128" s="4">
        <f>IFERROR(__xludf.DUMMYFUNCTION("""COMPUTED_VALUE"""),577.0)</f>
        <v>577</v>
      </c>
      <c r="H128" s="4">
        <f>IFERROR(__xludf.DUMMYFUNCTION("""COMPUTED_VALUE"""),4.25)</f>
        <v>4.25</v>
      </c>
      <c r="I128" s="4">
        <f>IFERROR(__xludf.DUMMYFUNCTION("""COMPUTED_VALUE"""),14.44)</f>
        <v>14.44</v>
      </c>
      <c r="J128" s="4">
        <f>IFERROR(__xludf.DUMMYFUNCTION("""COMPUTED_VALUE"""),9.18)</f>
        <v>9.18</v>
      </c>
      <c r="K128" s="8">
        <f>IFERROR(__xludf.DUMMYFUNCTION("""COMPUTED_VALUE"""),-0.0192)</f>
        <v>-0.0192</v>
      </c>
    </row>
    <row r="129" ht="15.75" customHeight="1">
      <c r="C129" s="4" t="str">
        <f>IFERROR(__xludf.DUMMYFUNCTION("""COMPUTED_VALUE"""),"Países Bajos [+]")</f>
        <v>Países Bajos [+]</v>
      </c>
      <c r="D129" s="4">
        <f>IFERROR(__xludf.DUMMYFUNCTION("""COMPUTED_VALUE"""),2016.0)</f>
        <v>2016</v>
      </c>
      <c r="E129" s="4">
        <f>IFERROR(__xludf.DUMMYFUNCTION("""COMPUTED_VALUE"""),624.0)</f>
        <v>624</v>
      </c>
      <c r="F129" s="9">
        <f>IFERROR(__xludf.DUMMYFUNCTION("""COMPUTED_VALUE"""),1333.0)</f>
        <v>1333</v>
      </c>
      <c r="G129" s="9">
        <f>IFERROR(__xludf.DUMMYFUNCTION("""COMPUTED_VALUE"""),1957.0)</f>
        <v>1957</v>
      </c>
      <c r="H129" s="4">
        <f>IFERROR(__xludf.DUMMYFUNCTION("""COMPUTED_VALUE"""),7.19)</f>
        <v>7.19</v>
      </c>
      <c r="I129" s="4">
        <f>IFERROR(__xludf.DUMMYFUNCTION("""COMPUTED_VALUE"""),15.31)</f>
        <v>15.31</v>
      </c>
      <c r="J129" s="4">
        <f>IFERROR(__xludf.DUMMYFUNCTION("""COMPUTED_VALUE"""),11.22)</f>
        <v>11.22</v>
      </c>
      <c r="K129" s="8">
        <f>IFERROR(__xludf.DUMMYFUNCTION("""COMPUTED_VALUE"""),-0.0018)</f>
        <v>-0.0018</v>
      </c>
    </row>
    <row r="130" ht="15.75" customHeight="1">
      <c r="C130" s="4" t="str">
        <f>IFERROR(__xludf.DUMMYFUNCTION("""COMPUTED_VALUE"""),"Noruega [+]")</f>
        <v>Noruega [+]</v>
      </c>
      <c r="D130" s="4">
        <f>IFERROR(__xludf.DUMMYFUNCTION("""COMPUTED_VALUE"""),2016.0)</f>
        <v>2016</v>
      </c>
      <c r="E130" s="4">
        <f>IFERROR(__xludf.DUMMYFUNCTION("""COMPUTED_VALUE"""),198.0)</f>
        <v>198</v>
      </c>
      <c r="F130" s="4">
        <f>IFERROR(__xludf.DUMMYFUNCTION("""COMPUTED_VALUE"""),429.0)</f>
        <v>429</v>
      </c>
      <c r="G130" s="4">
        <f>IFERROR(__xludf.DUMMYFUNCTION("""COMPUTED_VALUE"""),627.0)</f>
        <v>627</v>
      </c>
      <c r="H130" s="4">
        <f>IFERROR(__xludf.DUMMYFUNCTION("""COMPUTED_VALUE"""),7.62)</f>
        <v>7.62</v>
      </c>
      <c r="I130" s="4">
        <f>IFERROR(__xludf.DUMMYFUNCTION("""COMPUTED_VALUE"""),15.97)</f>
        <v>15.97</v>
      </c>
      <c r="J130" s="4">
        <f>IFERROR(__xludf.DUMMYFUNCTION("""COMPUTED_VALUE"""),11.83)</f>
        <v>11.83</v>
      </c>
      <c r="K130" s="8">
        <f>IFERROR(__xludf.DUMMYFUNCTION("""COMPUTED_VALUE"""),0.0405)</f>
        <v>0.0405</v>
      </c>
    </row>
    <row r="131" ht="15.75" customHeight="1">
      <c r="C131" s="4" t="str">
        <f>IFERROR(__xludf.DUMMYFUNCTION("""COMPUTED_VALUE"""),"Nepal [+]")</f>
        <v>Nepal [+]</v>
      </c>
      <c r="D131" s="4">
        <f>IFERROR(__xludf.DUMMYFUNCTION("""COMPUTED_VALUE"""),2015.0)</f>
        <v>2015</v>
      </c>
      <c r="E131" s="4">
        <f>IFERROR(__xludf.DUMMYFUNCTION("""COMPUTED_VALUE"""),812.0)</f>
        <v>812</v>
      </c>
      <c r="F131" s="4">
        <f>IFERROR(__xludf.DUMMYFUNCTION("""COMPUTED_VALUE"""),897.0)</f>
        <v>897</v>
      </c>
      <c r="G131" s="9">
        <f>IFERROR(__xludf.DUMMYFUNCTION("""COMPUTED_VALUE"""),1709.0)</f>
        <v>1709</v>
      </c>
      <c r="H131" s="4">
        <f>IFERROR(__xludf.DUMMYFUNCTION("""COMPUTED_VALUE"""),5.55)</f>
        <v>5.55</v>
      </c>
      <c r="I131" s="4">
        <f>IFERROR(__xludf.DUMMYFUNCTION("""COMPUTED_VALUE"""),7.24)</f>
        <v>7.24</v>
      </c>
      <c r="J131" s="4">
        <f>IFERROR(__xludf.DUMMYFUNCTION("""COMPUTED_VALUE"""),6.33)</f>
        <v>6.33</v>
      </c>
      <c r="K131" s="8">
        <f>IFERROR(__xludf.DUMMYFUNCTION("""COMPUTED_VALUE"""),-0.014)</f>
        <v>-0.014</v>
      </c>
    </row>
    <row r="132" ht="15.75" customHeight="1">
      <c r="C132" s="4" t="str">
        <f>IFERROR(__xludf.DUMMYFUNCTION("""COMPUTED_VALUE"""),"Nueva Zelanda [+]")</f>
        <v>Nueva Zelanda [+]</v>
      </c>
      <c r="D132" s="4">
        <f>IFERROR(__xludf.DUMMYFUNCTION("""COMPUTED_VALUE"""),2016.0)</f>
        <v>2016</v>
      </c>
      <c r="E132" s="4">
        <f>IFERROR(__xludf.DUMMYFUNCTION("""COMPUTED_VALUE"""),145.0)</f>
        <v>145</v>
      </c>
      <c r="F132" s="4">
        <f>IFERROR(__xludf.DUMMYFUNCTION("""COMPUTED_VALUE"""),415.0)</f>
        <v>415</v>
      </c>
      <c r="G132" s="4">
        <f>IFERROR(__xludf.DUMMYFUNCTION("""COMPUTED_VALUE"""),560.0)</f>
        <v>560</v>
      </c>
      <c r="H132" s="4">
        <f>IFERROR(__xludf.DUMMYFUNCTION("""COMPUTED_VALUE"""),6.1)</f>
        <v>6.1</v>
      </c>
      <c r="I132" s="4">
        <f>IFERROR(__xludf.DUMMYFUNCTION("""COMPUTED_VALUE"""),17.8)</f>
        <v>17.8</v>
      </c>
      <c r="J132" s="4">
        <f>IFERROR(__xludf.DUMMYFUNCTION("""COMPUTED_VALUE"""),11.9)</f>
        <v>11.9</v>
      </c>
      <c r="K132" s="8">
        <f>IFERROR(__xludf.DUMMYFUNCTION("""COMPUTED_VALUE"""),0.0348)</f>
        <v>0.0348</v>
      </c>
    </row>
    <row r="133" ht="15.75" customHeight="1">
      <c r="C133" s="4" t="str">
        <f>IFERROR(__xludf.DUMMYFUNCTION("""COMPUTED_VALUE"""),"Omán [+]")</f>
        <v>Omán [+]</v>
      </c>
      <c r="D133" s="4">
        <f>IFERROR(__xludf.DUMMYFUNCTION("""COMPUTED_VALUE"""),2015.0)</f>
        <v>2015</v>
      </c>
      <c r="E133" s="4">
        <f>IFERROR(__xludf.DUMMYFUNCTION("""COMPUTED_VALUE"""),17.0)</f>
        <v>17</v>
      </c>
      <c r="F133" s="4">
        <f>IFERROR(__xludf.DUMMYFUNCTION("""COMPUTED_VALUE"""),232.0)</f>
        <v>232</v>
      </c>
      <c r="G133" s="4">
        <f>IFERROR(__xludf.DUMMYFUNCTION("""COMPUTED_VALUE"""),250.0)</f>
        <v>250</v>
      </c>
      <c r="H133" s="4">
        <f>IFERROR(__xludf.DUMMYFUNCTION("""COMPUTED_VALUE"""),1.18)</f>
        <v>1.18</v>
      </c>
      <c r="I133" s="4">
        <f>IFERROR(__xludf.DUMMYFUNCTION("""COMPUTED_VALUE"""),8.35)</f>
        <v>8.35</v>
      </c>
      <c r="J133" s="4">
        <f>IFERROR(__xludf.DUMMYFUNCTION("""COMPUTED_VALUE"""),6.01)</f>
        <v>6.01</v>
      </c>
      <c r="K133" s="8">
        <f>IFERROR(__xludf.DUMMYFUNCTION("""COMPUTED_VALUE"""),0.0017)</f>
        <v>0.0017</v>
      </c>
    </row>
    <row r="134" ht="15.75" customHeight="1">
      <c r="C134" s="4" t="str">
        <f>IFERROR(__xludf.DUMMYFUNCTION("""COMPUTED_VALUE"""),"Panamá [+]")</f>
        <v>Panamá [+]</v>
      </c>
      <c r="D134" s="4">
        <f>IFERROR(__xludf.DUMMYFUNCTION("""COMPUTED_VALUE"""),2015.0)</f>
        <v>2015</v>
      </c>
      <c r="E134" s="4">
        <f>IFERROR(__xludf.DUMMYFUNCTION("""COMPUTED_VALUE"""),21.0)</f>
        <v>21</v>
      </c>
      <c r="F134" s="4">
        <f>IFERROR(__xludf.DUMMYFUNCTION("""COMPUTED_VALUE"""),195.0)</f>
        <v>195</v>
      </c>
      <c r="G134" s="4">
        <f>IFERROR(__xludf.DUMMYFUNCTION("""COMPUTED_VALUE"""),216.0)</f>
        <v>216</v>
      </c>
      <c r="H134" s="4">
        <f>IFERROR(__xludf.DUMMYFUNCTION("""COMPUTED_VALUE"""),1.08)</f>
        <v>1.08</v>
      </c>
      <c r="I134" s="4">
        <f>IFERROR(__xludf.DUMMYFUNCTION("""COMPUTED_VALUE"""),9.79)</f>
        <v>9.79</v>
      </c>
      <c r="J134" s="4">
        <f>IFERROR(__xludf.DUMMYFUNCTION("""COMPUTED_VALUE"""),5.44)</f>
        <v>5.44</v>
      </c>
      <c r="K134" s="8">
        <f>IFERROR(__xludf.DUMMYFUNCTION("""COMPUTED_VALUE"""),-0.1008)</f>
        <v>-0.1008</v>
      </c>
    </row>
    <row r="135" ht="15.75" customHeight="1">
      <c r="C135" s="4" t="str">
        <f>IFERROR(__xludf.DUMMYFUNCTION("""COMPUTED_VALUE"""),"Perú [+]")</f>
        <v>Perú [+]</v>
      </c>
      <c r="D135" s="4">
        <f>IFERROR(__xludf.DUMMYFUNCTION("""COMPUTED_VALUE"""),2016.0)</f>
        <v>2016</v>
      </c>
      <c r="E135" s="4">
        <f>IFERROR(__xludf.DUMMYFUNCTION("""COMPUTED_VALUE"""),130.0)</f>
        <v>130</v>
      </c>
      <c r="F135" s="4">
        <f>IFERROR(__xludf.DUMMYFUNCTION("""COMPUTED_VALUE"""),288.0)</f>
        <v>288</v>
      </c>
      <c r="G135" s="4">
        <f>IFERROR(__xludf.DUMMYFUNCTION("""COMPUTED_VALUE"""),418.0)</f>
        <v>418</v>
      </c>
      <c r="H135" s="4">
        <f>IFERROR(__xludf.DUMMYFUNCTION("""COMPUTED_VALUE"""),0.8)</f>
        <v>0.8</v>
      </c>
      <c r="I135" s="4">
        <f>IFERROR(__xludf.DUMMYFUNCTION("""COMPUTED_VALUE"""),1.9)</f>
        <v>1.9</v>
      </c>
      <c r="J135" s="4">
        <f>IFERROR(__xludf.DUMMYFUNCTION("""COMPUTED_VALUE"""),1.4)</f>
        <v>1.4</v>
      </c>
      <c r="K135" s="8">
        <f>IFERROR(__xludf.DUMMYFUNCTION("""COMPUTED_VALUE"""),0.5556)</f>
        <v>0.5556</v>
      </c>
    </row>
    <row r="136" ht="15.75" customHeight="1">
      <c r="C136" s="4" t="str">
        <f>IFERROR(__xludf.DUMMYFUNCTION("""COMPUTED_VALUE"""),"Papúa Nueva Guinea [+]")</f>
        <v>Papúa Nueva Guinea [+]</v>
      </c>
      <c r="D136" s="4">
        <f>IFERROR(__xludf.DUMMYFUNCTION("""COMPUTED_VALUE"""),2015.0)</f>
        <v>2015</v>
      </c>
      <c r="E136" s="4">
        <f>IFERROR(__xludf.DUMMYFUNCTION("""COMPUTED_VALUE"""),199.0)</f>
        <v>199</v>
      </c>
      <c r="F136" s="4">
        <f>IFERROR(__xludf.DUMMYFUNCTION("""COMPUTED_VALUE"""),588.0)</f>
        <v>588</v>
      </c>
      <c r="G136" s="4">
        <f>IFERROR(__xludf.DUMMYFUNCTION("""COMPUTED_VALUE"""),787.0)</f>
        <v>787</v>
      </c>
      <c r="H136" s="4">
        <f>IFERROR(__xludf.DUMMYFUNCTION("""COMPUTED_VALUE"""),5.01)</f>
        <v>5.01</v>
      </c>
      <c r="I136" s="4">
        <f>IFERROR(__xludf.DUMMYFUNCTION("""COMPUTED_VALUE"""),14.22)</f>
        <v>14.22</v>
      </c>
      <c r="J136" s="4">
        <f>IFERROR(__xludf.DUMMYFUNCTION("""COMPUTED_VALUE"""),9.94)</f>
        <v>9.94</v>
      </c>
      <c r="K136" s="8">
        <f>IFERROR(__xludf.DUMMYFUNCTION("""COMPUTED_VALUE"""),-0.0178)</f>
        <v>-0.0178</v>
      </c>
    </row>
    <row r="137" ht="15.75" customHeight="1">
      <c r="C137" s="4" t="str">
        <f>IFERROR(__xludf.DUMMYFUNCTION("""COMPUTED_VALUE"""),"Filipinas [+]")</f>
        <v>Filipinas [+]</v>
      </c>
      <c r="D137" s="4">
        <f>IFERROR(__xludf.DUMMYFUNCTION("""COMPUTED_VALUE"""),2015.0)</f>
        <v>2015</v>
      </c>
      <c r="E137" s="4">
        <f>IFERROR(__xludf.DUMMYFUNCTION("""COMPUTED_VALUE"""),837.0)</f>
        <v>837</v>
      </c>
      <c r="F137" s="9">
        <f>IFERROR(__xludf.DUMMYFUNCTION("""COMPUTED_VALUE"""),2563.0)</f>
        <v>2563</v>
      </c>
      <c r="G137" s="9">
        <f>IFERROR(__xludf.DUMMYFUNCTION("""COMPUTED_VALUE"""),3400.0)</f>
        <v>3400</v>
      </c>
      <c r="H137" s="4">
        <f>IFERROR(__xludf.DUMMYFUNCTION("""COMPUTED_VALUE"""),1.65)</f>
        <v>1.65</v>
      </c>
      <c r="I137" s="4">
        <f>IFERROR(__xludf.DUMMYFUNCTION("""COMPUTED_VALUE"""),4.99)</f>
        <v>4.99</v>
      </c>
      <c r="J137" s="4">
        <f>IFERROR(__xludf.DUMMYFUNCTION("""COMPUTED_VALUE"""),3.37)</f>
        <v>3.37</v>
      </c>
      <c r="K137" s="8">
        <f>IFERROR(__xludf.DUMMYFUNCTION("""COMPUTED_VALUE"""),-0.0344)</f>
        <v>-0.0344</v>
      </c>
    </row>
    <row r="138" ht="15.75" customHeight="1">
      <c r="C138" s="4" t="str">
        <f>IFERROR(__xludf.DUMMYFUNCTION("""COMPUTED_VALUE"""),"Pakistán [+]")</f>
        <v>Pakistán [+]</v>
      </c>
      <c r="D138" s="4">
        <f>IFERROR(__xludf.DUMMYFUNCTION("""COMPUTED_VALUE"""),2015.0)</f>
        <v>2015</v>
      </c>
      <c r="E138" s="9">
        <f>IFERROR(__xludf.DUMMYFUNCTION("""COMPUTED_VALUE"""),1828.0)</f>
        <v>1828</v>
      </c>
      <c r="F138" s="9">
        <f>IFERROR(__xludf.DUMMYFUNCTION("""COMPUTED_VALUE"""),2086.0)</f>
        <v>2086</v>
      </c>
      <c r="G138" s="9">
        <f>IFERROR(__xludf.DUMMYFUNCTION("""COMPUTED_VALUE"""),3914.0)</f>
        <v>3914</v>
      </c>
      <c r="H138" s="4">
        <f>IFERROR(__xludf.DUMMYFUNCTION("""COMPUTED_VALUE"""),1.89)</f>
        <v>1.89</v>
      </c>
      <c r="I138" s="4">
        <f>IFERROR(__xludf.DUMMYFUNCTION("""COMPUTED_VALUE"""),2.03)</f>
        <v>2.03</v>
      </c>
      <c r="J138" s="4">
        <f>IFERROR(__xludf.DUMMYFUNCTION("""COMPUTED_VALUE"""),1.99)</f>
        <v>1.99</v>
      </c>
      <c r="K138" s="8">
        <f>IFERROR(__xludf.DUMMYFUNCTION("""COMPUTED_VALUE"""),0.0051)</f>
        <v>0.0051</v>
      </c>
    </row>
    <row r="139" ht="15.75" customHeight="1">
      <c r="C139" s="4" t="str">
        <f>IFERROR(__xludf.DUMMYFUNCTION("""COMPUTED_VALUE"""),"Polonia [+]")</f>
        <v>Polonia [+]</v>
      </c>
      <c r="D139" s="4">
        <f>IFERROR(__xludf.DUMMYFUNCTION("""COMPUTED_VALUE"""),2016.0)</f>
        <v>2016</v>
      </c>
      <c r="E139" s="4">
        <f>IFERROR(__xludf.DUMMYFUNCTION("""COMPUTED_VALUE"""),597.0)</f>
        <v>597</v>
      </c>
      <c r="F139" s="9">
        <f>IFERROR(__xludf.DUMMYFUNCTION("""COMPUTED_VALUE"""),4091.0)</f>
        <v>4091</v>
      </c>
      <c r="G139" s="9">
        <f>IFERROR(__xludf.DUMMYFUNCTION("""COMPUTED_VALUE"""),4688.0)</f>
        <v>4688</v>
      </c>
      <c r="H139" s="4">
        <f>IFERROR(__xludf.DUMMYFUNCTION("""COMPUTED_VALUE"""),3.08)</f>
        <v>3.08</v>
      </c>
      <c r="I139" s="4">
        <f>IFERROR(__xludf.DUMMYFUNCTION("""COMPUTED_VALUE"""),22.39)</f>
        <v>22.39</v>
      </c>
      <c r="J139" s="4">
        <f>IFERROR(__xludf.DUMMYFUNCTION("""COMPUTED_VALUE"""),12.43)</f>
        <v>12.43</v>
      </c>
      <c r="K139" s="8">
        <f>IFERROR(__xludf.DUMMYFUNCTION("""COMPUTED_VALUE"""),-0.1392)</f>
        <v>-0.1392</v>
      </c>
    </row>
    <row r="140" ht="15.75" customHeight="1">
      <c r="C140" s="4" t="str">
        <f>IFERROR(__xludf.DUMMYFUNCTION("""COMPUTED_VALUE"""),"Paraguay [+]")</f>
        <v>Paraguay [+]</v>
      </c>
      <c r="D140" s="4">
        <f>IFERROR(__xludf.DUMMYFUNCTION("""COMPUTED_VALUE"""),2015.0)</f>
        <v>2015</v>
      </c>
      <c r="E140" s="4">
        <f>IFERROR(__xludf.DUMMYFUNCTION("""COMPUTED_VALUE"""),210.0)</f>
        <v>210</v>
      </c>
      <c r="F140" s="4">
        <f>IFERROR(__xludf.DUMMYFUNCTION("""COMPUTED_VALUE"""),470.0)</f>
        <v>470</v>
      </c>
      <c r="G140" s="4">
        <f>IFERROR(__xludf.DUMMYFUNCTION("""COMPUTED_VALUE"""),680.0)</f>
        <v>680</v>
      </c>
      <c r="H140" s="4">
        <f>IFERROR(__xludf.DUMMYFUNCTION("""COMPUTED_VALUE"""),6.4)</f>
        <v>6.4</v>
      </c>
      <c r="I140" s="4">
        <f>IFERROR(__xludf.DUMMYFUNCTION("""COMPUTED_VALUE"""),13.81)</f>
        <v>13.81</v>
      </c>
      <c r="J140" s="4">
        <f>IFERROR(__xludf.DUMMYFUNCTION("""COMPUTED_VALUE"""),10.07)</f>
        <v>10.07</v>
      </c>
      <c r="K140" s="8">
        <f>IFERROR(__xludf.DUMMYFUNCTION("""COMPUTED_VALUE"""),0.001)</f>
        <v>0.001</v>
      </c>
    </row>
    <row r="141" ht="15.75" customHeight="1">
      <c r="C141" s="4" t="str">
        <f>IFERROR(__xludf.DUMMYFUNCTION("""COMPUTED_VALUE"""),"Catar [+]")</f>
        <v>Catar [+]</v>
      </c>
      <c r="D141" s="4">
        <f>IFERROR(__xludf.DUMMYFUNCTION("""COMPUTED_VALUE"""),2015.0)</f>
        <v>2015</v>
      </c>
      <c r="E141" s="4">
        <f>IFERROR(__xludf.DUMMYFUNCTION("""COMPUTED_VALUE"""),6.0)</f>
        <v>6</v>
      </c>
      <c r="F141" s="4">
        <f>IFERROR(__xludf.DUMMYFUNCTION("""COMPUTED_VALUE"""),137.0)</f>
        <v>137</v>
      </c>
      <c r="G141" s="4">
        <f>IFERROR(__xludf.DUMMYFUNCTION("""COMPUTED_VALUE"""),143.0)</f>
        <v>143</v>
      </c>
      <c r="H141" s="4">
        <f>IFERROR(__xludf.DUMMYFUNCTION("""COMPUTED_VALUE"""),0.94)</f>
        <v>0.94</v>
      </c>
      <c r="I141" s="4">
        <f>IFERROR(__xludf.DUMMYFUNCTION("""COMPUTED_VALUE"""),7.03)</f>
        <v>7.03</v>
      </c>
      <c r="J141" s="4">
        <f>IFERROR(__xludf.DUMMYFUNCTION("""COMPUTED_VALUE"""),5.86)</f>
        <v>5.86</v>
      </c>
      <c r="K141" s="8">
        <f>IFERROR(__xludf.DUMMYFUNCTION("""COMPUTED_VALUE"""),-0.0594)</f>
        <v>-0.0594</v>
      </c>
    </row>
    <row r="142" ht="15.75" customHeight="1">
      <c r="C142" s="4" t="str">
        <f>IFERROR(__xludf.DUMMYFUNCTION("""COMPUTED_VALUE"""),"Rumanía [+]")</f>
        <v>Rumanía [+]</v>
      </c>
      <c r="D142" s="4">
        <f>IFERROR(__xludf.DUMMYFUNCTION("""COMPUTED_VALUE"""),2016.0)</f>
        <v>2016</v>
      </c>
      <c r="E142" s="4">
        <f>IFERROR(__xludf.DUMMYFUNCTION("""COMPUTED_VALUE"""),318.0)</f>
        <v>318</v>
      </c>
      <c r="F142" s="9">
        <f>IFERROR(__xludf.DUMMYFUNCTION("""COMPUTED_VALUE"""),1656.0)</f>
        <v>1656</v>
      </c>
      <c r="G142" s="9">
        <f>IFERROR(__xludf.DUMMYFUNCTION("""COMPUTED_VALUE"""),1974.0)</f>
        <v>1974</v>
      </c>
      <c r="H142" s="4">
        <f>IFERROR(__xludf.DUMMYFUNCTION("""COMPUTED_VALUE"""),3.17)</f>
        <v>3.17</v>
      </c>
      <c r="I142" s="4">
        <f>IFERROR(__xludf.DUMMYFUNCTION("""COMPUTED_VALUE"""),17.37)</f>
        <v>17.37</v>
      </c>
      <c r="J142" s="4">
        <f>IFERROR(__xludf.DUMMYFUNCTION("""COMPUTED_VALUE"""),10.11)</f>
        <v>10.11</v>
      </c>
      <c r="K142" s="8">
        <f>IFERROR(__xludf.DUMMYFUNCTION("""COMPUTED_VALUE"""),-0.11)</f>
        <v>-0.11</v>
      </c>
    </row>
    <row r="143" ht="15.75" customHeight="1">
      <c r="C143" s="4" t="str">
        <f>IFERROR(__xludf.DUMMYFUNCTION("""COMPUTED_VALUE"""),"Serbia [+]")</f>
        <v>Serbia [+]</v>
      </c>
      <c r="D143" s="4">
        <f>IFERROR(__xludf.DUMMYFUNCTION("""COMPUTED_VALUE"""),2016.0)</f>
        <v>2016</v>
      </c>
      <c r="E143" s="4">
        <f>IFERROR(__xludf.DUMMYFUNCTION("""COMPUTED_VALUE"""),258.0)</f>
        <v>258</v>
      </c>
      <c r="F143" s="4">
        <f>IFERROR(__xludf.DUMMYFUNCTION("""COMPUTED_VALUE"""),704.0)</f>
        <v>704</v>
      </c>
      <c r="G143" s="4">
        <f>IFERROR(__xludf.DUMMYFUNCTION("""COMPUTED_VALUE"""),962.0)</f>
        <v>962</v>
      </c>
      <c r="H143" s="4">
        <f>IFERROR(__xludf.DUMMYFUNCTION("""COMPUTED_VALUE"""),7.15)</f>
        <v>7.15</v>
      </c>
      <c r="I143" s="4">
        <f>IFERROR(__xludf.DUMMYFUNCTION("""COMPUTED_VALUE"""),20.48)</f>
        <v>20.48</v>
      </c>
      <c r="J143" s="4">
        <f>IFERROR(__xludf.DUMMYFUNCTION("""COMPUTED_VALUE"""),13.64)</f>
        <v>13.64</v>
      </c>
      <c r="K143" s="8">
        <f>IFERROR(__xludf.DUMMYFUNCTION("""COMPUTED_VALUE"""),-0.0913)</f>
        <v>-0.0913</v>
      </c>
    </row>
    <row r="144" ht="15.75" customHeight="1">
      <c r="C144" s="4" t="str">
        <f>IFERROR(__xludf.DUMMYFUNCTION("""COMPUTED_VALUE"""),"Rusia [+]")</f>
        <v>Rusia [+]</v>
      </c>
      <c r="D144" s="4">
        <f>IFERROR(__xludf.DUMMYFUNCTION("""COMPUTED_VALUE"""),2015.0)</f>
        <v>2015</v>
      </c>
      <c r="E144" s="9">
        <f>IFERROR(__xludf.DUMMYFUNCTION("""COMPUTED_VALUE"""),4575.0)</f>
        <v>4575</v>
      </c>
      <c r="F144" s="9">
        <f>IFERROR(__xludf.DUMMYFUNCTION("""COMPUTED_VALUE"""),20901.0)</f>
        <v>20901</v>
      </c>
      <c r="G144" s="9">
        <f>IFERROR(__xludf.DUMMYFUNCTION("""COMPUTED_VALUE"""),25476.0)</f>
        <v>25476</v>
      </c>
      <c r="H144" s="4">
        <f>IFERROR(__xludf.DUMMYFUNCTION("""COMPUTED_VALUE"""),5.8)</f>
        <v>5.8</v>
      </c>
      <c r="I144" s="4">
        <f>IFERROR(__xludf.DUMMYFUNCTION("""COMPUTED_VALUE"""),30.8)</f>
        <v>30.8</v>
      </c>
      <c r="J144" s="4">
        <f>IFERROR(__xludf.DUMMYFUNCTION("""COMPUTED_VALUE"""),17.4)</f>
        <v>17.4</v>
      </c>
      <c r="K144" s="8">
        <f>IFERROR(__xludf.DUMMYFUNCTION("""COMPUTED_VALUE"""),-0.0595)</f>
        <v>-0.0595</v>
      </c>
    </row>
    <row r="145" ht="15.75" customHeight="1">
      <c r="C145" s="4" t="str">
        <f>IFERROR(__xludf.DUMMYFUNCTION("""COMPUTED_VALUE"""),"Ruanda [+]")</f>
        <v>Ruanda [+]</v>
      </c>
      <c r="D145" s="4">
        <f>IFERROR(__xludf.DUMMYFUNCTION("""COMPUTED_VALUE"""),2015.0)</f>
        <v>2015</v>
      </c>
      <c r="E145" s="4">
        <f>IFERROR(__xludf.DUMMYFUNCTION("""COMPUTED_VALUE"""),129.0)</f>
        <v>129</v>
      </c>
      <c r="F145" s="4">
        <f>IFERROR(__xludf.DUMMYFUNCTION("""COMPUTED_VALUE"""),863.0)</f>
        <v>863</v>
      </c>
      <c r="G145" s="4">
        <f>IFERROR(__xludf.DUMMYFUNCTION("""COMPUTED_VALUE"""),992.0)</f>
        <v>992</v>
      </c>
      <c r="H145" s="4">
        <f>IFERROR(__xludf.DUMMYFUNCTION("""COMPUTED_VALUE"""),2.23)</f>
        <v>2.23</v>
      </c>
      <c r="I145" s="4">
        <f>IFERROR(__xludf.DUMMYFUNCTION("""COMPUTED_VALUE"""),15.46)</f>
        <v>15.46</v>
      </c>
      <c r="J145" s="4">
        <f>IFERROR(__xludf.DUMMYFUNCTION("""COMPUTED_VALUE"""),8.73)</f>
        <v>8.73</v>
      </c>
      <c r="K145" s="8">
        <f>IFERROR(__xludf.DUMMYFUNCTION("""COMPUTED_VALUE"""),-0.0091)</f>
        <v>-0.0091</v>
      </c>
    </row>
    <row r="146" ht="15.75" customHeight="1">
      <c r="C146" s="4" t="str">
        <f>IFERROR(__xludf.DUMMYFUNCTION("""COMPUTED_VALUE"""),"Arabia Saudita [+]")</f>
        <v>Arabia Saudita [+]</v>
      </c>
      <c r="D146" s="4">
        <f>IFERROR(__xludf.DUMMYFUNCTION("""COMPUTED_VALUE"""),2015.0)</f>
        <v>2015</v>
      </c>
      <c r="E146" s="4">
        <f>IFERROR(__xludf.DUMMYFUNCTION("""COMPUTED_VALUE"""),262.0)</f>
        <v>262</v>
      </c>
      <c r="F146" s="4">
        <f>IFERROR(__xludf.DUMMYFUNCTION("""COMPUTED_VALUE"""),796.0)</f>
        <v>796</v>
      </c>
      <c r="G146" s="9">
        <f>IFERROR(__xludf.DUMMYFUNCTION("""COMPUTED_VALUE"""),1057.0)</f>
        <v>1057</v>
      </c>
      <c r="H146" s="4">
        <f>IFERROR(__xludf.DUMMYFUNCTION("""COMPUTED_VALUE"""),1.91)</f>
        <v>1.91</v>
      </c>
      <c r="I146" s="4">
        <f>IFERROR(__xludf.DUMMYFUNCTION("""COMPUTED_VALUE"""),4.41)</f>
        <v>4.41</v>
      </c>
      <c r="J146" s="4">
        <f>IFERROR(__xludf.DUMMYFUNCTION("""COMPUTED_VALUE"""),3.4)</f>
        <v>3.4</v>
      </c>
      <c r="K146" s="8">
        <f>IFERROR(__xludf.DUMMYFUNCTION("""COMPUTED_VALUE"""),-0.0258)</f>
        <v>-0.0258</v>
      </c>
    </row>
    <row r="147" ht="15.75" customHeight="1">
      <c r="C147" s="4" t="str">
        <f>IFERROR(__xludf.DUMMYFUNCTION("""COMPUTED_VALUE"""),"Islas Salomón [+]")</f>
        <v>Islas Salomón [+]</v>
      </c>
      <c r="D147" s="4">
        <f>IFERROR(__xludf.DUMMYFUNCTION("""COMPUTED_VALUE"""),2015.0)</f>
        <v>2015</v>
      </c>
      <c r="E147" s="4">
        <f>IFERROR(__xludf.DUMMYFUNCTION("""COMPUTED_VALUE"""),13.0)</f>
        <v>13</v>
      </c>
      <c r="F147" s="4">
        <f>IFERROR(__xludf.DUMMYFUNCTION("""COMPUTED_VALUE"""),34.0)</f>
        <v>34</v>
      </c>
      <c r="G147" s="4">
        <f>IFERROR(__xludf.DUMMYFUNCTION("""COMPUTED_VALUE"""),46.0)</f>
        <v>46</v>
      </c>
      <c r="H147" s="4">
        <f>IFERROR(__xludf.DUMMYFUNCTION("""COMPUTED_VALUE"""),4.25)</f>
        <v>4.25</v>
      </c>
      <c r="I147" s="4">
        <f>IFERROR(__xludf.DUMMYFUNCTION("""COMPUTED_VALUE"""),10.94)</f>
        <v>10.94</v>
      </c>
      <c r="J147" s="4">
        <f>IFERROR(__xludf.DUMMYFUNCTION("""COMPUTED_VALUE"""),7.66)</f>
        <v>7.66</v>
      </c>
      <c r="K147" s="8">
        <f>IFERROR(__xludf.DUMMYFUNCTION("""COMPUTED_VALUE"""),-0.0279)</f>
        <v>-0.0279</v>
      </c>
    </row>
    <row r="148" ht="15.75" customHeight="1">
      <c r="C148" s="4" t="str">
        <f>IFERROR(__xludf.DUMMYFUNCTION("""COMPUTED_VALUE"""),"Seychelles [+]")</f>
        <v>Seychelles [+]</v>
      </c>
      <c r="D148" s="4">
        <f>IFERROR(__xludf.DUMMYFUNCTION("""COMPUTED_VALUE"""),2015.0)</f>
        <v>2015</v>
      </c>
      <c r="E148" s="4">
        <f>IFERROR(__xludf.DUMMYFUNCTION("""COMPUTED_VALUE"""),1.0)</f>
        <v>1</v>
      </c>
      <c r="F148" s="4">
        <f>IFERROR(__xludf.DUMMYFUNCTION("""COMPUTED_VALUE"""),8.0)</f>
        <v>8</v>
      </c>
      <c r="G148" s="4">
        <f>IFERROR(__xludf.DUMMYFUNCTION("""COMPUTED_VALUE"""),9.0)</f>
        <v>9</v>
      </c>
      <c r="H148" s="4">
        <f>IFERROR(__xludf.DUMMYFUNCTION("""COMPUTED_VALUE"""),2.15)</f>
        <v>2.15</v>
      </c>
      <c r="I148" s="4">
        <f>IFERROR(__xludf.DUMMYFUNCTION("""COMPUTED_VALUE"""),16.62)</f>
        <v>16.62</v>
      </c>
      <c r="J148" s="4">
        <f>IFERROR(__xludf.DUMMYFUNCTION("""COMPUTED_VALUE"""),9.64)</f>
        <v>9.64</v>
      </c>
      <c r="K148" s="8">
        <f>IFERROR(__xludf.DUMMYFUNCTION("""COMPUTED_VALUE"""),-0.0223)</f>
        <v>-0.0223</v>
      </c>
    </row>
    <row r="149" ht="15.75" customHeight="1">
      <c r="C149" s="4" t="str">
        <f>IFERROR(__xludf.DUMMYFUNCTION("""COMPUTED_VALUE"""),"Sudán [+]")</f>
        <v>Sudán [+]</v>
      </c>
      <c r="D149" s="4">
        <f>IFERROR(__xludf.DUMMYFUNCTION("""COMPUTED_VALUE"""),2015.0)</f>
        <v>2015</v>
      </c>
      <c r="E149" s="9">
        <f>IFERROR(__xludf.DUMMYFUNCTION("""COMPUTED_VALUE"""),1149.0)</f>
        <v>1149</v>
      </c>
      <c r="F149" s="9">
        <f>IFERROR(__xludf.DUMMYFUNCTION("""COMPUTED_VALUE"""),2960.0)</f>
        <v>2960</v>
      </c>
      <c r="G149" s="9">
        <f>IFERROR(__xludf.DUMMYFUNCTION("""COMPUTED_VALUE"""),4109.0)</f>
        <v>4109</v>
      </c>
      <c r="H149" s="4">
        <f>IFERROR(__xludf.DUMMYFUNCTION("""COMPUTED_VALUE"""),5.9)</f>
        <v>5.9</v>
      </c>
      <c r="I149" s="4">
        <f>IFERROR(__xludf.DUMMYFUNCTION("""COMPUTED_VALUE"""),15.24)</f>
        <v>15.24</v>
      </c>
      <c r="J149" s="4">
        <f>IFERROR(__xludf.DUMMYFUNCTION("""COMPUTED_VALUE"""),10.56)</f>
        <v>10.56</v>
      </c>
      <c r="K149" s="8">
        <f>IFERROR(__xludf.DUMMYFUNCTION("""COMPUTED_VALUE"""),-0.0085)</f>
        <v>-0.0085</v>
      </c>
    </row>
    <row r="150" ht="15.75" customHeight="1">
      <c r="C150" s="4" t="str">
        <f>IFERROR(__xludf.DUMMYFUNCTION("""COMPUTED_VALUE"""),"Suecia [+]")</f>
        <v>Suecia [+]</v>
      </c>
      <c r="D150" s="4">
        <f>IFERROR(__xludf.DUMMYFUNCTION("""COMPUTED_VALUE"""),2016.0)</f>
        <v>2016</v>
      </c>
      <c r="E150" s="4">
        <f>IFERROR(__xludf.DUMMYFUNCTION("""COMPUTED_VALUE"""),352.0)</f>
        <v>352</v>
      </c>
      <c r="F150" s="4">
        <f>IFERROR(__xludf.DUMMYFUNCTION("""COMPUTED_VALUE"""),787.0)</f>
        <v>787</v>
      </c>
      <c r="G150" s="9">
        <f>IFERROR(__xludf.DUMMYFUNCTION("""COMPUTED_VALUE"""),1155.0)</f>
        <v>1155</v>
      </c>
      <c r="H150" s="4">
        <f>IFERROR(__xludf.DUMMYFUNCTION("""COMPUTED_VALUE"""),7.09)</f>
        <v>7.09</v>
      </c>
      <c r="I150" s="4">
        <f>IFERROR(__xludf.DUMMYFUNCTION("""COMPUTED_VALUE"""),15.87)</f>
        <v>15.87</v>
      </c>
      <c r="J150" s="4">
        <f>IFERROR(__xludf.DUMMYFUNCTION("""COMPUTED_VALUE"""),11.49)</f>
        <v>11.49</v>
      </c>
      <c r="K150" s="8">
        <f>IFERROR(__xludf.DUMMYFUNCTION("""COMPUTED_VALUE"""),-0.0449)</f>
        <v>-0.0449</v>
      </c>
    </row>
    <row r="151" ht="15.75" customHeight="1">
      <c r="C151" s="4" t="str">
        <f>IFERROR(__xludf.DUMMYFUNCTION("""COMPUTED_VALUE"""),"Singapur [+]")</f>
        <v>Singapur [+]</v>
      </c>
      <c r="D151" s="4">
        <f>IFERROR(__xludf.DUMMYFUNCTION("""COMPUTED_VALUE"""),2015.0)</f>
        <v>2015</v>
      </c>
      <c r="E151" s="4">
        <f>IFERROR(__xludf.DUMMYFUNCTION("""COMPUTED_VALUE"""),180.0)</f>
        <v>180</v>
      </c>
      <c r="F151" s="4">
        <f>IFERROR(__xludf.DUMMYFUNCTION("""COMPUTED_VALUE"""),375.0)</f>
        <v>375</v>
      </c>
      <c r="G151" s="4">
        <f>IFERROR(__xludf.DUMMYFUNCTION("""COMPUTED_VALUE"""),555.0)</f>
        <v>555</v>
      </c>
      <c r="H151" s="4">
        <f>IFERROR(__xludf.DUMMYFUNCTION("""COMPUTED_VALUE"""),6.83)</f>
        <v>6.83</v>
      </c>
      <c r="I151" s="4">
        <f>IFERROR(__xludf.DUMMYFUNCTION("""COMPUTED_VALUE"""),12.94)</f>
        <v>12.94</v>
      </c>
      <c r="J151" s="4">
        <f>IFERROR(__xludf.DUMMYFUNCTION("""COMPUTED_VALUE"""),10.03)</f>
        <v>10.03</v>
      </c>
      <c r="K151" s="8">
        <f>IFERROR(__xludf.DUMMYFUNCTION("""COMPUTED_VALUE"""),-0.15)</f>
        <v>-0.15</v>
      </c>
    </row>
    <row r="152" ht="15.75" customHeight="1">
      <c r="C152" s="4" t="str">
        <f>IFERROR(__xludf.DUMMYFUNCTION("""COMPUTED_VALUE"""),"Eslovenia [+]")</f>
        <v>Eslovenia [+]</v>
      </c>
      <c r="D152" s="4">
        <f>IFERROR(__xludf.DUMMYFUNCTION("""COMPUTED_VALUE"""),2016.0)</f>
        <v>2016</v>
      </c>
      <c r="E152" s="4">
        <f>IFERROR(__xludf.DUMMYFUNCTION("""COMPUTED_VALUE"""),77.0)</f>
        <v>77</v>
      </c>
      <c r="F152" s="4">
        <f>IFERROR(__xludf.DUMMYFUNCTION("""COMPUTED_VALUE"""),300.0)</f>
        <v>300</v>
      </c>
      <c r="G152" s="4">
        <f>IFERROR(__xludf.DUMMYFUNCTION("""COMPUTED_VALUE"""),377.0)</f>
        <v>377</v>
      </c>
      <c r="H152" s="4">
        <f>IFERROR(__xludf.DUMMYFUNCTION("""COMPUTED_VALUE"""),7.59)</f>
        <v>7.59</v>
      </c>
      <c r="I152" s="4">
        <f>IFERROR(__xludf.DUMMYFUNCTION("""COMPUTED_VALUE"""),29.29)</f>
        <v>29.29</v>
      </c>
      <c r="J152" s="4">
        <f>IFERROR(__xludf.DUMMYFUNCTION("""COMPUTED_VALUE"""),18.35)</f>
        <v>18.35</v>
      </c>
      <c r="K152" s="8">
        <f>IFERROR(__xludf.DUMMYFUNCTION("""COMPUTED_VALUE"""),-0.1295)</f>
        <v>-0.1295</v>
      </c>
    </row>
    <row r="153" ht="15.75" customHeight="1">
      <c r="C153" s="4" t="str">
        <f>IFERROR(__xludf.DUMMYFUNCTION("""COMPUTED_VALUE"""),"Eslovaquia [+]")</f>
        <v>Eslovaquia [+]</v>
      </c>
      <c r="D153" s="4">
        <f>IFERROR(__xludf.DUMMYFUNCTION("""COMPUTED_VALUE"""),2016.0)</f>
        <v>2016</v>
      </c>
      <c r="E153" s="4">
        <f>IFERROR(__xludf.DUMMYFUNCTION("""COMPUTED_VALUE"""),60.0)</f>
        <v>60</v>
      </c>
      <c r="F153" s="4">
        <f>IFERROR(__xludf.DUMMYFUNCTION("""COMPUTED_VALUE"""),330.0)</f>
        <v>330</v>
      </c>
      <c r="G153" s="4">
        <f>IFERROR(__xludf.DUMMYFUNCTION("""COMPUTED_VALUE"""),390.0)</f>
        <v>390</v>
      </c>
      <c r="H153" s="4">
        <f>IFERROR(__xludf.DUMMYFUNCTION("""COMPUTED_VALUE"""),2.23)</f>
        <v>2.23</v>
      </c>
      <c r="I153" s="4">
        <f>IFERROR(__xludf.DUMMYFUNCTION("""COMPUTED_VALUE"""),13.06)</f>
        <v>13.06</v>
      </c>
      <c r="J153" s="4">
        <f>IFERROR(__xludf.DUMMYFUNCTION("""COMPUTED_VALUE"""),7.51)</f>
        <v>7.51</v>
      </c>
      <c r="K153" s="8">
        <f>IFERROR(__xludf.DUMMYFUNCTION("""COMPUTED_VALUE"""),-0.1756)</f>
        <v>-0.1756</v>
      </c>
    </row>
    <row r="154" ht="15.75" customHeight="1">
      <c r="C154" s="4" t="str">
        <f>IFERROR(__xludf.DUMMYFUNCTION("""COMPUTED_VALUE"""),"Sierra Leona [+]")</f>
        <v>Sierra Leona [+]</v>
      </c>
      <c r="D154" s="4">
        <f>IFERROR(__xludf.DUMMYFUNCTION("""COMPUTED_VALUE"""),2015.0)</f>
        <v>2015</v>
      </c>
      <c r="E154" s="4">
        <f>IFERROR(__xludf.DUMMYFUNCTION("""COMPUTED_VALUE"""),320.0)</f>
        <v>320</v>
      </c>
      <c r="F154" s="4">
        <f>IFERROR(__xludf.DUMMYFUNCTION("""COMPUTED_VALUE"""),670.0)</f>
        <v>670</v>
      </c>
      <c r="G154" s="4">
        <f>IFERROR(__xludf.DUMMYFUNCTION("""COMPUTED_VALUE"""),990.0)</f>
        <v>990</v>
      </c>
      <c r="H154" s="4">
        <f>IFERROR(__xludf.DUMMYFUNCTION("""COMPUTED_VALUE"""),8.9)</f>
        <v>8.9</v>
      </c>
      <c r="I154" s="4">
        <f>IFERROR(__xludf.DUMMYFUNCTION("""COMPUTED_VALUE"""),18.75)</f>
        <v>18.75</v>
      </c>
      <c r="J154" s="4">
        <f>IFERROR(__xludf.DUMMYFUNCTION("""COMPUTED_VALUE"""),13.81)</f>
        <v>13.81</v>
      </c>
      <c r="K154" s="8">
        <f>IFERROR(__xludf.DUMMYFUNCTION("""COMPUTED_VALUE"""),0.0237)</f>
        <v>0.0237</v>
      </c>
    </row>
    <row r="155" ht="15.75" customHeight="1">
      <c r="C155" s="4" t="str">
        <f>IFERROR(__xludf.DUMMYFUNCTION("""COMPUTED_VALUE"""),"Senegal [+]")</f>
        <v>Senegal [+]</v>
      </c>
      <c r="D155" s="4">
        <f>IFERROR(__xludf.DUMMYFUNCTION("""COMPUTED_VALUE"""),2015.0)</f>
        <v>2015</v>
      </c>
      <c r="E155" s="4">
        <f>IFERROR(__xludf.DUMMYFUNCTION("""COMPUTED_VALUE"""),229.0)</f>
        <v>229</v>
      </c>
      <c r="F155" s="4">
        <f>IFERROR(__xludf.DUMMYFUNCTION("""COMPUTED_VALUE"""),689.0)</f>
        <v>689</v>
      </c>
      <c r="G155" s="4">
        <f>IFERROR(__xludf.DUMMYFUNCTION("""COMPUTED_VALUE"""),918.0)</f>
        <v>918</v>
      </c>
      <c r="H155" s="4">
        <f>IFERROR(__xludf.DUMMYFUNCTION("""COMPUTED_VALUE"""),3.06)</f>
        <v>3.06</v>
      </c>
      <c r="I155" s="4">
        <f>IFERROR(__xludf.DUMMYFUNCTION("""COMPUTED_VALUE"""),9.72)</f>
        <v>9.72</v>
      </c>
      <c r="J155" s="4">
        <f>IFERROR(__xludf.DUMMYFUNCTION("""COMPUTED_VALUE"""),6.3)</f>
        <v>6.3</v>
      </c>
      <c r="K155" s="8">
        <f>IFERROR(__xludf.DUMMYFUNCTION("""COMPUTED_VALUE"""),-0.0156)</f>
        <v>-0.0156</v>
      </c>
    </row>
    <row r="156" ht="15.75" customHeight="1">
      <c r="C156" s="4" t="str">
        <f>IFERROR(__xludf.DUMMYFUNCTION("""COMPUTED_VALUE"""),"Somalia [+]")</f>
        <v>Somalia [+]</v>
      </c>
      <c r="D156" s="4">
        <f>IFERROR(__xludf.DUMMYFUNCTION("""COMPUTED_VALUE"""),2015.0)</f>
        <v>2015</v>
      </c>
      <c r="E156" s="4">
        <f>IFERROR(__xludf.DUMMYFUNCTION("""COMPUTED_VALUE"""),164.0)</f>
        <v>164</v>
      </c>
      <c r="F156" s="4">
        <f>IFERROR(__xludf.DUMMYFUNCTION("""COMPUTED_VALUE"""),414.0)</f>
        <v>414</v>
      </c>
      <c r="G156" s="4">
        <f>IFERROR(__xludf.DUMMYFUNCTION("""COMPUTED_VALUE"""),578.0)</f>
        <v>578</v>
      </c>
      <c r="H156" s="4">
        <f>IFERROR(__xludf.DUMMYFUNCTION("""COMPUTED_VALUE"""),2.37)</f>
        <v>2.37</v>
      </c>
      <c r="I156" s="4">
        <f>IFERROR(__xludf.DUMMYFUNCTION("""COMPUTED_VALUE"""),6.01)</f>
        <v>6.01</v>
      </c>
      <c r="J156" s="4">
        <f>IFERROR(__xludf.DUMMYFUNCTION("""COMPUTED_VALUE"""),4.19)</f>
        <v>4.19</v>
      </c>
      <c r="K156" s="8">
        <f>IFERROR(__xludf.DUMMYFUNCTION("""COMPUTED_VALUE"""),0.0121)</f>
        <v>0.0121</v>
      </c>
    </row>
    <row r="157" ht="15.75" customHeight="1">
      <c r="C157" s="4" t="str">
        <f>IFERROR(__xludf.DUMMYFUNCTION("""COMPUTED_VALUE"""),"Surinam [+]")</f>
        <v>Surinam [+]</v>
      </c>
      <c r="D157" s="4">
        <f>IFERROR(__xludf.DUMMYFUNCTION("""COMPUTED_VALUE"""),2015.0)</f>
        <v>2015</v>
      </c>
      <c r="E157" s="4">
        <f>IFERROR(__xludf.DUMMYFUNCTION("""COMPUTED_VALUE"""),34.0)</f>
        <v>34</v>
      </c>
      <c r="F157" s="4">
        <f>IFERROR(__xludf.DUMMYFUNCTION("""COMPUTED_VALUE"""),110.0)</f>
        <v>110</v>
      </c>
      <c r="G157" s="4">
        <f>IFERROR(__xludf.DUMMYFUNCTION("""COMPUTED_VALUE"""),145.0)</f>
        <v>145</v>
      </c>
      <c r="H157" s="4">
        <f>IFERROR(__xludf.DUMMYFUNCTION("""COMPUTED_VALUE"""),12.38)</f>
        <v>12.38</v>
      </c>
      <c r="I157" s="4">
        <f>IFERROR(__xludf.DUMMYFUNCTION("""COMPUTED_VALUE"""),39.17)</f>
        <v>39.17</v>
      </c>
      <c r="J157" s="4">
        <f>IFERROR(__xludf.DUMMYFUNCTION("""COMPUTED_VALUE"""),25.5)</f>
        <v>25.5</v>
      </c>
      <c r="K157" s="8">
        <f>IFERROR(__xludf.DUMMYFUNCTION("""COMPUTED_VALUE"""),0.0216)</f>
        <v>0.0216</v>
      </c>
    </row>
    <row r="158" ht="15.75" customHeight="1">
      <c r="C158" s="4" t="str">
        <f>IFERROR(__xludf.DUMMYFUNCTION("""COMPUTED_VALUE"""),"Sudán del Sur [+]")</f>
        <v>Sudán del Sur [+]</v>
      </c>
      <c r="D158" s="4">
        <f>IFERROR(__xludf.DUMMYFUNCTION("""COMPUTED_VALUE"""),2015.0)</f>
        <v>2015</v>
      </c>
      <c r="E158" s="4">
        <f>IFERROR(__xludf.DUMMYFUNCTION("""COMPUTED_VALUE"""),225.0)</f>
        <v>225</v>
      </c>
      <c r="F158" s="4">
        <f>IFERROR(__xludf.DUMMYFUNCTION("""COMPUTED_VALUE"""),559.0)</f>
        <v>559</v>
      </c>
      <c r="G158" s="4">
        <f>IFERROR(__xludf.DUMMYFUNCTION("""COMPUTED_VALUE"""),784.0)</f>
        <v>784</v>
      </c>
      <c r="H158" s="4">
        <f>IFERROR(__xludf.DUMMYFUNCTION("""COMPUTED_VALUE"""),4.21)</f>
        <v>4.21</v>
      </c>
      <c r="I158" s="4">
        <f>IFERROR(__xludf.DUMMYFUNCTION("""COMPUTED_VALUE"""),10.42)</f>
        <v>10.42</v>
      </c>
      <c r="J158" s="4">
        <f>IFERROR(__xludf.DUMMYFUNCTION("""COMPUTED_VALUE"""),7.31)</f>
        <v>7.31</v>
      </c>
      <c r="K158" s="8">
        <f>IFERROR(__xludf.DUMMYFUNCTION("""COMPUTED_VALUE"""),0.0153)</f>
        <v>0.0153</v>
      </c>
    </row>
    <row r="159" ht="15.75" customHeight="1">
      <c r="C159" s="4" t="str">
        <f>IFERROR(__xludf.DUMMYFUNCTION("""COMPUTED_VALUE"""),"Santo Tomé y Príncipe [+]")</f>
        <v>Santo Tomé y Príncipe [+]</v>
      </c>
      <c r="D159" s="4">
        <f>IFERROR(__xludf.DUMMYFUNCTION("""COMPUTED_VALUE"""),2015.0)</f>
        <v>2015</v>
      </c>
      <c r="E159" s="4">
        <f>IFERROR(__xludf.DUMMYFUNCTION("""COMPUTED_VALUE"""),1.0)</f>
        <v>1</v>
      </c>
      <c r="F159" s="4">
        <f>IFERROR(__xludf.DUMMYFUNCTION("""COMPUTED_VALUE"""),3.0)</f>
        <v>3</v>
      </c>
      <c r="G159" s="4">
        <f>IFERROR(__xludf.DUMMYFUNCTION("""COMPUTED_VALUE"""),4.0)</f>
        <v>4</v>
      </c>
      <c r="H159" s="4">
        <f>IFERROR(__xludf.DUMMYFUNCTION("""COMPUTED_VALUE"""),1.21)</f>
        <v>1.21</v>
      </c>
      <c r="I159" s="4">
        <f>IFERROR(__xludf.DUMMYFUNCTION("""COMPUTED_VALUE"""),2.55)</f>
        <v>2.55</v>
      </c>
      <c r="J159" s="4">
        <f>IFERROR(__xludf.DUMMYFUNCTION("""COMPUTED_VALUE"""),1.88)</f>
        <v>1.88</v>
      </c>
      <c r="K159" s="4">
        <f>IFERROR(__xludf.DUMMYFUNCTION("""COMPUTED_VALUE"""),0.0)</f>
        <v>0</v>
      </c>
    </row>
    <row r="160" ht="15.75" customHeight="1">
      <c r="C160" s="4" t="str">
        <f>IFERROR(__xludf.DUMMYFUNCTION("""COMPUTED_VALUE"""),"El Salvador [+]")</f>
        <v>El Salvador [+]</v>
      </c>
      <c r="D160" s="4">
        <f>IFERROR(__xludf.DUMMYFUNCTION("""COMPUTED_VALUE"""),2015.0)</f>
        <v>2015</v>
      </c>
      <c r="E160" s="4">
        <f>IFERROR(__xludf.DUMMYFUNCTION("""COMPUTED_VALUE"""),151.0)</f>
        <v>151</v>
      </c>
      <c r="F160" s="4">
        <f>IFERROR(__xludf.DUMMYFUNCTION("""COMPUTED_VALUE"""),527.0)</f>
        <v>527</v>
      </c>
      <c r="G160" s="4">
        <f>IFERROR(__xludf.DUMMYFUNCTION("""COMPUTED_VALUE"""),678.0)</f>
        <v>678</v>
      </c>
      <c r="H160" s="4">
        <f>IFERROR(__xludf.DUMMYFUNCTION("""COMPUTED_VALUE"""),4.51)</f>
        <v>4.51</v>
      </c>
      <c r="I160" s="4">
        <f>IFERROR(__xludf.DUMMYFUNCTION("""COMPUTED_VALUE"""),17.72)</f>
        <v>17.72</v>
      </c>
      <c r="J160" s="4">
        <f>IFERROR(__xludf.DUMMYFUNCTION("""COMPUTED_VALUE"""),10.72)</f>
        <v>10.72</v>
      </c>
      <c r="K160" s="8">
        <f>IFERROR(__xludf.DUMMYFUNCTION("""COMPUTED_VALUE"""),-0.0281)</f>
        <v>-0.0281</v>
      </c>
    </row>
    <row r="161" ht="15.75" customHeight="1">
      <c r="C161" s="4" t="str">
        <f>IFERROR(__xludf.DUMMYFUNCTION("""COMPUTED_VALUE"""),"Siria [+]")</f>
        <v>Siria [+]</v>
      </c>
      <c r="D161" s="4">
        <f>IFERROR(__xludf.DUMMYFUNCTION("""COMPUTED_VALUE"""),2015.0)</f>
        <v>2015</v>
      </c>
      <c r="E161" s="4">
        <f>IFERROR(__xludf.DUMMYFUNCTION("""COMPUTED_VALUE"""),90.0)</f>
        <v>90</v>
      </c>
      <c r="F161" s="4">
        <f>IFERROR(__xludf.DUMMYFUNCTION("""COMPUTED_VALUE"""),406.0)</f>
        <v>406</v>
      </c>
      <c r="G161" s="4">
        <f>IFERROR(__xludf.DUMMYFUNCTION("""COMPUTED_VALUE"""),495.0)</f>
        <v>495</v>
      </c>
      <c r="H161" s="4">
        <f>IFERROR(__xludf.DUMMYFUNCTION("""COMPUTED_VALUE"""),1.01)</f>
        <v>1.01</v>
      </c>
      <c r="I161" s="4">
        <f>IFERROR(__xludf.DUMMYFUNCTION("""COMPUTED_VALUE"""),4.47)</f>
        <v>4.47</v>
      </c>
      <c r="J161" s="4">
        <f>IFERROR(__xludf.DUMMYFUNCTION("""COMPUTED_VALUE"""),2.75)</f>
        <v>2.75</v>
      </c>
      <c r="K161" s="8">
        <f>IFERROR(__xludf.DUMMYFUNCTION("""COMPUTED_VALUE"""),0.0377)</f>
        <v>0.0377</v>
      </c>
    </row>
    <row r="162" ht="15.75" customHeight="1">
      <c r="C162" s="4" t="str">
        <f>IFERROR(__xludf.DUMMYFUNCTION("""COMPUTED_VALUE"""),"Eswatini [+]")</f>
        <v>Eswatini [+]</v>
      </c>
      <c r="D162" s="4">
        <f>IFERROR(__xludf.DUMMYFUNCTION("""COMPUTED_VALUE"""),2015.0)</f>
        <v>2015</v>
      </c>
      <c r="E162" s="4">
        <f>IFERROR(__xludf.DUMMYFUNCTION("""COMPUTED_VALUE"""),49.0)</f>
        <v>49</v>
      </c>
      <c r="F162" s="4">
        <f>IFERROR(__xludf.DUMMYFUNCTION("""COMPUTED_VALUE"""),140.0)</f>
        <v>140</v>
      </c>
      <c r="G162" s="4">
        <f>IFERROR(__xludf.DUMMYFUNCTION("""COMPUTED_VALUE"""),189.0)</f>
        <v>189</v>
      </c>
      <c r="H162" s="4">
        <f>IFERROR(__xludf.DUMMYFUNCTION("""COMPUTED_VALUE"""),8.53)</f>
        <v>8.53</v>
      </c>
      <c r="I162" s="4">
        <f>IFERROR(__xludf.DUMMYFUNCTION("""COMPUTED_VALUE"""),26.3)</f>
        <v>26.3</v>
      </c>
      <c r="J162" s="4">
        <f>IFERROR(__xludf.DUMMYFUNCTION("""COMPUTED_VALUE"""),17.51)</f>
        <v>17.51</v>
      </c>
      <c r="K162" s="8">
        <f>IFERROR(__xludf.DUMMYFUNCTION("""COMPUTED_VALUE"""),0.0092)</f>
        <v>0.0092</v>
      </c>
    </row>
    <row r="163" ht="15.75" customHeight="1">
      <c r="C163" s="4" t="str">
        <f>IFERROR(__xludf.DUMMYFUNCTION("""COMPUTED_VALUE"""),"Chad [+]")</f>
        <v>Chad [+]</v>
      </c>
      <c r="D163" s="4">
        <f>IFERROR(__xludf.DUMMYFUNCTION("""COMPUTED_VALUE"""),2015.0)</f>
        <v>2015</v>
      </c>
      <c r="E163" s="4">
        <f>IFERROR(__xludf.DUMMYFUNCTION("""COMPUTED_VALUE"""),321.0)</f>
        <v>321</v>
      </c>
      <c r="F163" s="4">
        <f>IFERROR(__xludf.DUMMYFUNCTION("""COMPUTED_VALUE"""),907.0)</f>
        <v>907</v>
      </c>
      <c r="G163" s="9">
        <f>IFERROR(__xludf.DUMMYFUNCTION("""COMPUTED_VALUE"""),1228.0)</f>
        <v>1228</v>
      </c>
      <c r="H163" s="4">
        <f>IFERROR(__xludf.DUMMYFUNCTION("""COMPUTED_VALUE"""),4.54)</f>
        <v>4.54</v>
      </c>
      <c r="I163" s="4">
        <f>IFERROR(__xludf.DUMMYFUNCTION("""COMPUTED_VALUE"""),12.88)</f>
        <v>12.88</v>
      </c>
      <c r="J163" s="4">
        <f>IFERROR(__xludf.DUMMYFUNCTION("""COMPUTED_VALUE"""),8.7)</f>
        <v>8.7</v>
      </c>
      <c r="K163" s="8">
        <f>IFERROR(__xludf.DUMMYFUNCTION("""COMPUTED_VALUE"""),0.0187)</f>
        <v>0.0187</v>
      </c>
    </row>
    <row r="164" ht="15.75" customHeight="1">
      <c r="C164" s="4" t="str">
        <f>IFERROR(__xludf.DUMMYFUNCTION("""COMPUTED_VALUE"""),"Togo [+]")</f>
        <v>Togo [+]</v>
      </c>
      <c r="D164" s="4">
        <f>IFERROR(__xludf.DUMMYFUNCTION("""COMPUTED_VALUE"""),2015.0)</f>
        <v>2015</v>
      </c>
      <c r="E164" s="4">
        <f>IFERROR(__xludf.DUMMYFUNCTION("""COMPUTED_VALUE"""),199.0)</f>
        <v>199</v>
      </c>
      <c r="F164" s="4">
        <f>IFERROR(__xludf.DUMMYFUNCTION("""COMPUTED_VALUE"""),498.0)</f>
        <v>498</v>
      </c>
      <c r="G164" s="4">
        <f>IFERROR(__xludf.DUMMYFUNCTION("""COMPUTED_VALUE"""),696.0)</f>
        <v>696</v>
      </c>
      <c r="H164" s="4">
        <f>IFERROR(__xludf.DUMMYFUNCTION("""COMPUTED_VALUE"""),5.4)</f>
        <v>5.4</v>
      </c>
      <c r="I164" s="4">
        <f>IFERROR(__xludf.DUMMYFUNCTION("""COMPUTED_VALUE"""),13.67)</f>
        <v>13.67</v>
      </c>
      <c r="J164" s="4">
        <f>IFERROR(__xludf.DUMMYFUNCTION("""COMPUTED_VALUE"""),9.51)</f>
        <v>9.51</v>
      </c>
      <c r="K164" s="8">
        <f>IFERROR(__xludf.DUMMYFUNCTION("""COMPUTED_VALUE"""),0.0096)</f>
        <v>0.0096</v>
      </c>
    </row>
    <row r="165" ht="15.75" customHeight="1">
      <c r="C165" s="4" t="str">
        <f>IFERROR(__xludf.DUMMYFUNCTION("""COMPUTED_VALUE"""),"Tailandia [+]")</f>
        <v>Tailandia [+]</v>
      </c>
      <c r="D165" s="4">
        <f>IFERROR(__xludf.DUMMYFUNCTION("""COMPUTED_VALUE"""),2015.0)</f>
        <v>2015</v>
      </c>
      <c r="E165" s="9">
        <f>IFERROR(__xludf.DUMMYFUNCTION("""COMPUTED_VALUE"""),3289.0)</f>
        <v>3289</v>
      </c>
      <c r="F165" s="9">
        <f>IFERROR(__xludf.DUMMYFUNCTION("""COMPUTED_VALUE"""),7575.0)</f>
        <v>7575</v>
      </c>
      <c r="G165" s="9">
        <f>IFERROR(__xludf.DUMMYFUNCTION("""COMPUTED_VALUE"""),10863.0)</f>
        <v>10863</v>
      </c>
      <c r="H165" s="4">
        <f>IFERROR(__xludf.DUMMYFUNCTION("""COMPUTED_VALUE"""),9.35)</f>
        <v>9.35</v>
      </c>
      <c r="I165" s="4">
        <f>IFERROR(__xludf.DUMMYFUNCTION("""COMPUTED_VALUE"""),22.57)</f>
        <v>22.57</v>
      </c>
      <c r="J165" s="4">
        <f>IFERROR(__xludf.DUMMYFUNCTION("""COMPUTED_VALUE"""),15.81)</f>
        <v>15.81</v>
      </c>
      <c r="K165" s="8">
        <f>IFERROR(__xludf.DUMMYFUNCTION("""COMPUTED_VALUE"""),-0.0143)</f>
        <v>-0.0143</v>
      </c>
    </row>
    <row r="166" ht="15.75" customHeight="1">
      <c r="C166" s="4" t="str">
        <f>IFERROR(__xludf.DUMMYFUNCTION("""COMPUTED_VALUE"""),"Tayikistán [+]")</f>
        <v>Tayikistán [+]</v>
      </c>
      <c r="D166" s="4">
        <f>IFERROR(__xludf.DUMMYFUNCTION("""COMPUTED_VALUE"""),2015.0)</f>
        <v>2015</v>
      </c>
      <c r="E166" s="4">
        <f>IFERROR(__xludf.DUMMYFUNCTION("""COMPUTED_VALUE"""),90.0)</f>
        <v>90</v>
      </c>
      <c r="F166" s="4">
        <f>IFERROR(__xludf.DUMMYFUNCTION("""COMPUTED_VALUE"""),248.0)</f>
        <v>248</v>
      </c>
      <c r="G166" s="4">
        <f>IFERROR(__xludf.DUMMYFUNCTION("""COMPUTED_VALUE"""),338.0)</f>
        <v>338</v>
      </c>
      <c r="H166" s="4">
        <f>IFERROR(__xludf.DUMMYFUNCTION("""COMPUTED_VALUE"""),2.16)</f>
        <v>2.16</v>
      </c>
      <c r="I166" s="4">
        <f>IFERROR(__xludf.DUMMYFUNCTION("""COMPUTED_VALUE"""),5.8)</f>
        <v>5.8</v>
      </c>
      <c r="J166" s="4">
        <f>IFERROR(__xludf.DUMMYFUNCTION("""COMPUTED_VALUE"""),4.0)</f>
        <v>4</v>
      </c>
      <c r="K166" s="8">
        <f>IFERROR(__xludf.DUMMYFUNCTION("""COMPUTED_VALUE"""),0.0204)</f>
        <v>0.0204</v>
      </c>
    </row>
    <row r="167" ht="15.75" customHeight="1">
      <c r="C167" s="4" t="str">
        <f>IFERROR(__xludf.DUMMYFUNCTION("""COMPUTED_VALUE"""),"Timor Oriental [+]")</f>
        <v>Timor Oriental [+]</v>
      </c>
      <c r="D167" s="4">
        <f>IFERROR(__xludf.DUMMYFUNCTION("""COMPUTED_VALUE"""),2015.0)</f>
        <v>2015</v>
      </c>
      <c r="E167" s="4">
        <f>IFERROR(__xludf.DUMMYFUNCTION("""COMPUTED_VALUE"""),27.0)</f>
        <v>27</v>
      </c>
      <c r="F167" s="4">
        <f>IFERROR(__xludf.DUMMYFUNCTION("""COMPUTED_VALUE"""),57.0)</f>
        <v>57</v>
      </c>
      <c r="G167" s="4">
        <f>IFERROR(__xludf.DUMMYFUNCTION("""COMPUTED_VALUE"""),84.0)</f>
        <v>84</v>
      </c>
      <c r="H167" s="4">
        <f>IFERROR(__xludf.DUMMYFUNCTION("""COMPUTED_VALUE"""),4.49)</f>
        <v>4.49</v>
      </c>
      <c r="I167" s="4">
        <f>IFERROR(__xludf.DUMMYFUNCTION("""COMPUTED_VALUE"""),9.47)</f>
        <v>9.47</v>
      </c>
      <c r="J167" s="4">
        <f>IFERROR(__xludf.DUMMYFUNCTION("""COMPUTED_VALUE"""),7.01)</f>
        <v>7.01</v>
      </c>
      <c r="K167" s="8">
        <f>IFERROR(__xludf.DUMMYFUNCTION("""COMPUTED_VALUE"""),-0.0715)</f>
        <v>-0.0715</v>
      </c>
    </row>
    <row r="168" ht="15.75" customHeight="1">
      <c r="C168" s="4" t="str">
        <f>IFERROR(__xludf.DUMMYFUNCTION("""COMPUTED_VALUE"""),"Turkmenistán [+]")</f>
        <v>Turkmenistán [+]</v>
      </c>
      <c r="D168" s="4">
        <f>IFERROR(__xludf.DUMMYFUNCTION("""COMPUTED_VALUE"""),2015.0)</f>
        <v>2015</v>
      </c>
      <c r="E168" s="4">
        <f>IFERROR(__xludf.DUMMYFUNCTION("""COMPUTED_VALUE"""),138.0)</f>
        <v>138</v>
      </c>
      <c r="F168" s="4">
        <f>IFERROR(__xludf.DUMMYFUNCTION("""COMPUTED_VALUE"""),401.0)</f>
        <v>401</v>
      </c>
      <c r="G168" s="4">
        <f>IFERROR(__xludf.DUMMYFUNCTION("""COMPUTED_VALUE"""),539.0)</f>
        <v>539</v>
      </c>
      <c r="H168" s="4">
        <f>IFERROR(__xludf.DUMMYFUNCTION("""COMPUTED_VALUE"""),4.9)</f>
        <v>4.9</v>
      </c>
      <c r="I168" s="4">
        <f>IFERROR(__xludf.DUMMYFUNCTION("""COMPUTED_VALUE"""),14.64)</f>
        <v>14.64</v>
      </c>
      <c r="J168" s="4">
        <f>IFERROR(__xludf.DUMMYFUNCTION("""COMPUTED_VALUE"""),9.69)</f>
        <v>9.69</v>
      </c>
      <c r="K168" s="8">
        <f>IFERROR(__xludf.DUMMYFUNCTION("""COMPUTED_VALUE"""),-0.0062)</f>
        <v>-0.0062</v>
      </c>
    </row>
    <row r="169" ht="15.75" customHeight="1">
      <c r="C169" s="4" t="str">
        <f>IFERROR(__xludf.DUMMYFUNCTION("""COMPUTED_VALUE"""),"Túnez [+]")</f>
        <v>Túnez [+]</v>
      </c>
      <c r="D169" s="4">
        <f>IFERROR(__xludf.DUMMYFUNCTION("""COMPUTED_VALUE"""),2015.0)</f>
        <v>2015</v>
      </c>
      <c r="E169" s="4">
        <f>IFERROR(__xludf.DUMMYFUNCTION("""COMPUTED_VALUE"""),250.0)</f>
        <v>250</v>
      </c>
      <c r="F169" s="4">
        <f>IFERROR(__xludf.DUMMYFUNCTION("""COMPUTED_VALUE"""),364.0)</f>
        <v>364</v>
      </c>
      <c r="G169" s="4">
        <f>IFERROR(__xludf.DUMMYFUNCTION("""COMPUTED_VALUE"""),614.0)</f>
        <v>614</v>
      </c>
      <c r="H169" s="4">
        <f>IFERROR(__xludf.DUMMYFUNCTION("""COMPUTED_VALUE"""),4.43)</f>
        <v>4.43</v>
      </c>
      <c r="I169" s="4">
        <f>IFERROR(__xludf.DUMMYFUNCTION("""COMPUTED_VALUE"""),6.57)</f>
        <v>6.57</v>
      </c>
      <c r="J169" s="4">
        <f>IFERROR(__xludf.DUMMYFUNCTION("""COMPUTED_VALUE"""),5.44)</f>
        <v>5.44</v>
      </c>
      <c r="K169" s="8">
        <f>IFERROR(__xludf.DUMMYFUNCTION("""COMPUTED_VALUE"""),-0.0216)</f>
        <v>-0.0216</v>
      </c>
    </row>
    <row r="170" ht="15.75" customHeight="1">
      <c r="C170" s="4" t="str">
        <f>IFERROR(__xludf.DUMMYFUNCTION("""COMPUTED_VALUE"""),"Tonga [+]")</f>
        <v>Tonga [+]</v>
      </c>
      <c r="D170" s="4">
        <f>IFERROR(__xludf.DUMMYFUNCTION("""COMPUTED_VALUE"""),2015.0)</f>
        <v>2015</v>
      </c>
      <c r="E170" s="4">
        <f>IFERROR(__xludf.DUMMYFUNCTION("""COMPUTED_VALUE"""),2.0)</f>
        <v>2</v>
      </c>
      <c r="F170" s="4">
        <f>IFERROR(__xludf.DUMMYFUNCTION("""COMPUTED_VALUE"""),2.0)</f>
        <v>2</v>
      </c>
      <c r="G170" s="4">
        <f>IFERROR(__xludf.DUMMYFUNCTION("""COMPUTED_VALUE"""),4.0)</f>
        <v>4</v>
      </c>
      <c r="H170" s="4">
        <f>IFERROR(__xludf.DUMMYFUNCTION("""COMPUTED_VALUE"""),3.09)</f>
        <v>3.09</v>
      </c>
      <c r="I170" s="4">
        <f>IFERROR(__xludf.DUMMYFUNCTION("""COMPUTED_VALUE"""),4.28)</f>
        <v>4.28</v>
      </c>
      <c r="J170" s="4">
        <f>IFERROR(__xludf.DUMMYFUNCTION("""COMPUTED_VALUE"""),3.64)</f>
        <v>3.64</v>
      </c>
      <c r="K170" s="8">
        <f>IFERROR(__xludf.DUMMYFUNCTION("""COMPUTED_VALUE"""),-0.0055)</f>
        <v>-0.0055</v>
      </c>
    </row>
    <row r="171" ht="15.75" customHeight="1">
      <c r="C171" s="4" t="str">
        <f>IFERROR(__xludf.DUMMYFUNCTION("""COMPUTED_VALUE"""),"Türkiye [+]")</f>
        <v>Türkiye [+]</v>
      </c>
      <c r="D171" s="4">
        <f>IFERROR(__xludf.DUMMYFUNCTION("""COMPUTED_VALUE"""),2016.0)</f>
        <v>2016</v>
      </c>
      <c r="E171" s="4">
        <f>IFERROR(__xludf.DUMMYFUNCTION("""COMPUTED_VALUE"""),434.0)</f>
        <v>434</v>
      </c>
      <c r="F171" s="9">
        <f>IFERROR(__xludf.DUMMYFUNCTION("""COMPUTED_VALUE"""),1422.0)</f>
        <v>1422</v>
      </c>
      <c r="G171" s="9">
        <f>IFERROR(__xludf.DUMMYFUNCTION("""COMPUTED_VALUE"""),1856.0)</f>
        <v>1856</v>
      </c>
      <c r="H171" s="4">
        <f>IFERROR(__xludf.DUMMYFUNCTION("""COMPUTED_VALUE"""),1.08)</f>
        <v>1.08</v>
      </c>
      <c r="I171" s="4">
        <f>IFERROR(__xludf.DUMMYFUNCTION("""COMPUTED_VALUE"""),3.53)</f>
        <v>3.53</v>
      </c>
      <c r="J171" s="4">
        <f>IFERROR(__xludf.DUMMYFUNCTION("""COMPUTED_VALUE"""),2.31)</f>
        <v>2.31</v>
      </c>
      <c r="K171" s="8">
        <f>IFERROR(__xludf.DUMMYFUNCTION("""COMPUTED_VALUE"""),0.1969)</f>
        <v>0.1969</v>
      </c>
    </row>
    <row r="172" ht="15.75" customHeight="1">
      <c r="C172" s="4" t="str">
        <f>IFERROR(__xludf.DUMMYFUNCTION("""COMPUTED_VALUE"""),"Trinidad y Tobago [+]")</f>
        <v>Trinidad y Tobago [+]</v>
      </c>
      <c r="D172" s="4">
        <f>IFERROR(__xludf.DUMMYFUNCTION("""COMPUTED_VALUE"""),2015.0)</f>
        <v>2015</v>
      </c>
      <c r="E172" s="4">
        <f>IFERROR(__xludf.DUMMYFUNCTION("""COMPUTED_VALUE"""),33.0)</f>
        <v>33</v>
      </c>
      <c r="F172" s="4">
        <f>IFERROR(__xludf.DUMMYFUNCTION("""COMPUTED_VALUE"""),165.0)</f>
        <v>165</v>
      </c>
      <c r="G172" s="4">
        <f>IFERROR(__xludf.DUMMYFUNCTION("""COMPUTED_VALUE"""),198.0)</f>
        <v>198</v>
      </c>
      <c r="H172" s="4">
        <f>IFERROR(__xludf.DUMMYFUNCTION("""COMPUTED_VALUE"""),4.78)</f>
        <v>4.78</v>
      </c>
      <c r="I172" s="4">
        <f>IFERROR(__xludf.DUMMYFUNCTION("""COMPUTED_VALUE"""),24.31)</f>
        <v>24.31</v>
      </c>
      <c r="J172" s="4">
        <f>IFERROR(__xludf.DUMMYFUNCTION("""COMPUTED_VALUE"""),14.44)</f>
        <v>14.44</v>
      </c>
      <c r="K172" s="8">
        <f>IFERROR(__xludf.DUMMYFUNCTION("""COMPUTED_VALUE"""),0.0056)</f>
        <v>0.0056</v>
      </c>
    </row>
    <row r="173" ht="15.75" customHeight="1">
      <c r="C173" s="4" t="str">
        <f>IFERROR(__xludf.DUMMYFUNCTION("""COMPUTED_VALUE"""),"Tanzania [+]")</f>
        <v>Tanzania [+]</v>
      </c>
      <c r="D173" s="4">
        <f>IFERROR(__xludf.DUMMYFUNCTION("""COMPUTED_VALUE"""),2015.0)</f>
        <v>2015</v>
      </c>
      <c r="E173" s="4">
        <f>IFERROR(__xludf.DUMMYFUNCTION("""COMPUTED_VALUE"""),965.0)</f>
        <v>965</v>
      </c>
      <c r="F173" s="9">
        <f>IFERROR(__xludf.DUMMYFUNCTION("""COMPUTED_VALUE"""),2769.0)</f>
        <v>2769</v>
      </c>
      <c r="G173" s="9">
        <f>IFERROR(__xludf.DUMMYFUNCTION("""COMPUTED_VALUE"""),3735.0)</f>
        <v>3735</v>
      </c>
      <c r="H173" s="4">
        <f>IFERROR(__xludf.DUMMYFUNCTION("""COMPUTED_VALUE"""),3.74)</f>
        <v>3.74</v>
      </c>
      <c r="I173" s="4">
        <f>IFERROR(__xludf.DUMMYFUNCTION("""COMPUTED_VALUE"""),10.78)</f>
        <v>10.78</v>
      </c>
      <c r="J173" s="4">
        <f>IFERROR(__xludf.DUMMYFUNCTION("""COMPUTED_VALUE"""),7.25)</f>
        <v>7.25</v>
      </c>
      <c r="K173" s="8">
        <f>IFERROR(__xludf.DUMMYFUNCTION("""COMPUTED_VALUE"""),0.0042)</f>
        <v>0.0042</v>
      </c>
    </row>
    <row r="174" ht="15.75" customHeight="1">
      <c r="C174" s="4" t="str">
        <f>IFERROR(__xludf.DUMMYFUNCTION("""COMPUTED_VALUE"""),"Ucrania [+]")</f>
        <v>Ucrania [+]</v>
      </c>
      <c r="D174" s="4">
        <f>IFERROR(__xludf.DUMMYFUNCTION("""COMPUTED_VALUE"""),2015.0)</f>
        <v>2015</v>
      </c>
      <c r="E174" s="9">
        <f>IFERROR(__xludf.DUMMYFUNCTION("""COMPUTED_VALUE"""),1960.0)</f>
        <v>1960</v>
      </c>
      <c r="F174" s="9">
        <f>IFERROR(__xludf.DUMMYFUNCTION("""COMPUTED_VALUE"""),7064.0)</f>
        <v>7064</v>
      </c>
      <c r="G174" s="9">
        <f>IFERROR(__xludf.DUMMYFUNCTION("""COMPUTED_VALUE"""),9024.0)</f>
        <v>9024</v>
      </c>
      <c r="H174" s="4">
        <f>IFERROR(__xludf.DUMMYFUNCTION("""COMPUTED_VALUE"""),8.57)</f>
        <v>8.57</v>
      </c>
      <c r="I174" s="4">
        <f>IFERROR(__xludf.DUMMYFUNCTION("""COMPUTED_VALUE"""),35.82)</f>
        <v>35.82</v>
      </c>
      <c r="J174" s="4">
        <f>IFERROR(__xludf.DUMMYFUNCTION("""COMPUTED_VALUE"""),21.19)</f>
        <v>21.19</v>
      </c>
      <c r="K174" s="8">
        <f>IFERROR(__xludf.DUMMYFUNCTION("""COMPUTED_VALUE"""),0.0262)</f>
        <v>0.0262</v>
      </c>
    </row>
    <row r="175" ht="15.75" customHeight="1">
      <c r="C175" s="4" t="str">
        <f>IFERROR(__xludf.DUMMYFUNCTION("""COMPUTED_VALUE"""),"Uganda [+]")</f>
        <v>Uganda [+]</v>
      </c>
      <c r="D175" s="4">
        <f>IFERROR(__xludf.DUMMYFUNCTION("""COMPUTED_VALUE"""),2015.0)</f>
        <v>2015</v>
      </c>
      <c r="E175" s="4">
        <f>IFERROR(__xludf.DUMMYFUNCTION("""COMPUTED_VALUE"""),868.0)</f>
        <v>868</v>
      </c>
      <c r="F175" s="9">
        <f>IFERROR(__xludf.DUMMYFUNCTION("""COMPUTED_VALUE"""),1923.0)</f>
        <v>1923</v>
      </c>
      <c r="G175" s="9">
        <f>IFERROR(__xludf.DUMMYFUNCTION("""COMPUTED_VALUE"""),2791.0)</f>
        <v>2791</v>
      </c>
      <c r="H175" s="4">
        <f>IFERROR(__xludf.DUMMYFUNCTION("""COMPUTED_VALUE"""),4.46)</f>
        <v>4.46</v>
      </c>
      <c r="I175" s="4">
        <f>IFERROR(__xludf.DUMMYFUNCTION("""COMPUTED_VALUE"""),10.24)</f>
        <v>10.24</v>
      </c>
      <c r="J175" s="4">
        <f>IFERROR(__xludf.DUMMYFUNCTION("""COMPUTED_VALUE"""),7.86)</f>
        <v>7.86</v>
      </c>
      <c r="K175" s="8">
        <f>IFERROR(__xludf.DUMMYFUNCTION("""COMPUTED_VALUE"""),0.0064)</f>
        <v>0.0064</v>
      </c>
    </row>
    <row r="176" ht="15.75" customHeight="1">
      <c r="C176" s="4" t="str">
        <f>IFERROR(__xludf.DUMMYFUNCTION("""COMPUTED_VALUE"""),"Uruguay [+]")</f>
        <v>Uruguay [+]</v>
      </c>
      <c r="D176" s="4">
        <f>IFERROR(__xludf.DUMMYFUNCTION("""COMPUTED_VALUE"""),2015.0)</f>
        <v>2015</v>
      </c>
      <c r="E176" s="4">
        <f>IFERROR(__xludf.DUMMYFUNCTION("""COMPUTED_VALUE"""),129.0)</f>
        <v>129</v>
      </c>
      <c r="F176" s="4">
        <f>IFERROR(__xludf.DUMMYFUNCTION("""COMPUTED_VALUE"""),454.0)</f>
        <v>454</v>
      </c>
      <c r="G176" s="4">
        <f>IFERROR(__xludf.DUMMYFUNCTION("""COMPUTED_VALUE"""),583.0)</f>
        <v>583</v>
      </c>
      <c r="H176" s="4">
        <f>IFERROR(__xludf.DUMMYFUNCTION("""COMPUTED_VALUE"""),7.3)</f>
        <v>7.3</v>
      </c>
      <c r="I176" s="4">
        <f>IFERROR(__xludf.DUMMYFUNCTION("""COMPUTED_VALUE"""),27.57)</f>
        <v>27.57</v>
      </c>
      <c r="J176" s="4">
        <f>IFERROR(__xludf.DUMMYFUNCTION("""COMPUTED_VALUE"""),16.8)</f>
        <v>16.8</v>
      </c>
      <c r="K176" s="8">
        <f>IFERROR(__xludf.DUMMYFUNCTION("""COMPUTED_VALUE"""),-0.021)</f>
        <v>-0.021</v>
      </c>
    </row>
    <row r="177" ht="15.75" customHeight="1">
      <c r="C177" s="4" t="str">
        <f>IFERROR(__xludf.DUMMYFUNCTION("""COMPUTED_VALUE"""),"Uzbekistán [+]")</f>
        <v>Uzbekistán [+]</v>
      </c>
      <c r="D177" s="4">
        <f>IFERROR(__xludf.DUMMYFUNCTION("""COMPUTED_VALUE"""),2015.0)</f>
        <v>2015</v>
      </c>
      <c r="E177" s="4">
        <f>IFERROR(__xludf.DUMMYFUNCTION("""COMPUTED_VALUE"""),835.0)</f>
        <v>835</v>
      </c>
      <c r="F177" s="9">
        <f>IFERROR(__xludf.DUMMYFUNCTION("""COMPUTED_VALUE"""),1957.0)</f>
        <v>1957</v>
      </c>
      <c r="G177" s="9">
        <f>IFERROR(__xludf.DUMMYFUNCTION("""COMPUTED_VALUE"""),2793.0)</f>
        <v>2793</v>
      </c>
      <c r="H177" s="4">
        <f>IFERROR(__xludf.DUMMYFUNCTION("""COMPUTED_VALUE"""),5.32)</f>
        <v>5.32</v>
      </c>
      <c r="I177" s="4">
        <f>IFERROR(__xludf.DUMMYFUNCTION("""COMPUTED_VALUE"""),12.55)</f>
        <v>12.55</v>
      </c>
      <c r="J177" s="4">
        <f>IFERROR(__xludf.DUMMYFUNCTION("""COMPUTED_VALUE"""),9.0)</f>
        <v>9</v>
      </c>
      <c r="K177" s="8">
        <f>IFERROR(__xludf.DUMMYFUNCTION("""COMPUTED_VALUE"""),-0.0731)</f>
        <v>-0.0731</v>
      </c>
    </row>
    <row r="178" ht="15.75" customHeight="1">
      <c r="C178" s="4" t="str">
        <f>IFERROR(__xludf.DUMMYFUNCTION("""COMPUTED_VALUE"""),"San Vicente y las Granadinas [+]")</f>
        <v>San Vicente y las Granadinas [+]</v>
      </c>
      <c r="D178" s="4">
        <f>IFERROR(__xludf.DUMMYFUNCTION("""COMPUTED_VALUE"""),2015.0)</f>
        <v>2015</v>
      </c>
      <c r="E178" s="4">
        <f>IFERROR(__xludf.DUMMYFUNCTION("""COMPUTED_VALUE"""),0.0)</f>
        <v>0</v>
      </c>
      <c r="F178" s="4">
        <f>IFERROR(__xludf.DUMMYFUNCTION("""COMPUTED_VALUE"""),3.0)</f>
        <v>3</v>
      </c>
      <c r="G178" s="4">
        <f>IFERROR(__xludf.DUMMYFUNCTION("""COMPUTED_VALUE"""),3.0)</f>
        <v>3</v>
      </c>
      <c r="H178" s="4">
        <f>IFERROR(__xludf.DUMMYFUNCTION("""COMPUTED_VALUE"""),0.44)</f>
        <v>0.44</v>
      </c>
      <c r="I178" s="4">
        <f>IFERROR(__xludf.DUMMYFUNCTION("""COMPUTED_VALUE"""),4.84)</f>
        <v>4.84</v>
      </c>
      <c r="J178" s="4">
        <f>IFERROR(__xludf.DUMMYFUNCTION("""COMPUTED_VALUE"""),2.66)</f>
        <v>2.66</v>
      </c>
      <c r="K178" s="8">
        <f>IFERROR(__xludf.DUMMYFUNCTION("""COMPUTED_VALUE"""),1.2735)</f>
        <v>1.2735</v>
      </c>
    </row>
    <row r="179" ht="15.75" customHeight="1">
      <c r="C179" s="4" t="str">
        <f>IFERROR(__xludf.DUMMYFUNCTION("""COMPUTED_VALUE"""),"Venezuela [+]")</f>
        <v>Venezuela [+]</v>
      </c>
      <c r="D179" s="4">
        <f>IFERROR(__xludf.DUMMYFUNCTION("""COMPUTED_VALUE"""),2015.0)</f>
        <v>2015</v>
      </c>
      <c r="E179" s="4">
        <f>IFERROR(__xludf.DUMMYFUNCTION("""COMPUTED_VALUE"""),162.0)</f>
        <v>162</v>
      </c>
      <c r="F179" s="4">
        <f>IFERROR(__xludf.DUMMYFUNCTION("""COMPUTED_VALUE"""),762.0)</f>
        <v>762</v>
      </c>
      <c r="G179" s="4">
        <f>IFERROR(__xludf.DUMMYFUNCTION("""COMPUTED_VALUE"""),924.0)</f>
        <v>924</v>
      </c>
      <c r="H179" s="4">
        <f>IFERROR(__xludf.DUMMYFUNCTION("""COMPUTED_VALUE"""),1.07)</f>
        <v>1.07</v>
      </c>
      <c r="I179" s="4">
        <f>IFERROR(__xludf.DUMMYFUNCTION("""COMPUTED_VALUE"""),5.1)</f>
        <v>5.1</v>
      </c>
      <c r="J179" s="4">
        <f>IFERROR(__xludf.DUMMYFUNCTION("""COMPUTED_VALUE"""),3.07)</f>
        <v>3.07</v>
      </c>
      <c r="K179" s="8">
        <f>IFERROR(__xludf.DUMMYFUNCTION("""COMPUTED_VALUE"""),0.0033)</f>
        <v>0.0033</v>
      </c>
    </row>
    <row r="180" ht="15.75" customHeight="1">
      <c r="C180" s="4" t="str">
        <f>IFERROR(__xludf.DUMMYFUNCTION("""COMPUTED_VALUE"""),"Viet Nam [+]")</f>
        <v>Viet Nam [+]</v>
      </c>
      <c r="D180" s="4">
        <f>IFERROR(__xludf.DUMMYFUNCTION("""COMPUTED_VALUE"""),2015.0)</f>
        <v>2015</v>
      </c>
      <c r="E180" s="9">
        <f>IFERROR(__xludf.DUMMYFUNCTION("""COMPUTED_VALUE"""),1749.0)</f>
        <v>1749</v>
      </c>
      <c r="F180" s="9">
        <f>IFERROR(__xludf.DUMMYFUNCTION("""COMPUTED_VALUE"""),5160.0)</f>
        <v>5160</v>
      </c>
      <c r="G180" s="9">
        <f>IFERROR(__xludf.DUMMYFUNCTION("""COMPUTED_VALUE"""),6910.0)</f>
        <v>6910</v>
      </c>
      <c r="H180" s="4">
        <f>IFERROR(__xludf.DUMMYFUNCTION("""COMPUTED_VALUE"""),3.76)</f>
        <v>3.76</v>
      </c>
      <c r="I180" s="4">
        <f>IFERROR(__xludf.DUMMYFUNCTION("""COMPUTED_VALUE"""),11.17)</f>
        <v>11.17</v>
      </c>
      <c r="J180" s="4">
        <f>IFERROR(__xludf.DUMMYFUNCTION("""COMPUTED_VALUE"""),7.53)</f>
        <v>7.53</v>
      </c>
      <c r="K180" s="8">
        <f>IFERROR(__xludf.DUMMYFUNCTION("""COMPUTED_VALUE"""),0.0203)</f>
        <v>0.0203</v>
      </c>
    </row>
    <row r="181" ht="15.75" customHeight="1">
      <c r="C181" s="4" t="str">
        <f>IFERROR(__xludf.DUMMYFUNCTION("""COMPUTED_VALUE"""),"Vanuatu [+]")</f>
        <v>Vanuatu [+]</v>
      </c>
      <c r="D181" s="4">
        <f>IFERROR(__xludf.DUMMYFUNCTION("""COMPUTED_VALUE"""),2015.0)</f>
        <v>2015</v>
      </c>
      <c r="E181" s="4">
        <f>IFERROR(__xludf.DUMMYFUNCTION("""COMPUTED_VALUE"""),4.0)</f>
        <v>4</v>
      </c>
      <c r="F181" s="4">
        <f>IFERROR(__xludf.DUMMYFUNCTION("""COMPUTED_VALUE"""),12.0)</f>
        <v>12</v>
      </c>
      <c r="G181" s="4">
        <f>IFERROR(__xludf.DUMMYFUNCTION("""COMPUTED_VALUE"""),15.0)</f>
        <v>15</v>
      </c>
      <c r="H181" s="4">
        <f>IFERROR(__xludf.DUMMYFUNCTION("""COMPUTED_VALUE"""),2.73)</f>
        <v>2.73</v>
      </c>
      <c r="I181" s="4">
        <f>IFERROR(__xludf.DUMMYFUNCTION("""COMPUTED_VALUE"""),8.48)</f>
        <v>8.48</v>
      </c>
      <c r="J181" s="4">
        <f>IFERROR(__xludf.DUMMYFUNCTION("""COMPUTED_VALUE"""),5.69)</f>
        <v>5.69</v>
      </c>
      <c r="K181" s="8">
        <f>IFERROR(__xludf.DUMMYFUNCTION("""COMPUTED_VALUE"""),-0.0156)</f>
        <v>-0.0156</v>
      </c>
    </row>
    <row r="182" ht="15.75" customHeight="1">
      <c r="C182" s="4" t="str">
        <f>IFERROR(__xludf.DUMMYFUNCTION("""COMPUTED_VALUE"""),"Samoa [+]")</f>
        <v>Samoa [+]</v>
      </c>
      <c r="D182" s="4">
        <f>IFERROR(__xludf.DUMMYFUNCTION("""COMPUTED_VALUE"""),2015.0)</f>
        <v>2015</v>
      </c>
      <c r="E182" s="4">
        <f>IFERROR(__xludf.DUMMYFUNCTION("""COMPUTED_VALUE"""),2.0)</f>
        <v>2</v>
      </c>
      <c r="F182" s="4">
        <f>IFERROR(__xludf.DUMMYFUNCTION("""COMPUTED_VALUE"""),9.0)</f>
        <v>9</v>
      </c>
      <c r="G182" s="4">
        <f>IFERROR(__xludf.DUMMYFUNCTION("""COMPUTED_VALUE"""),11.0)</f>
        <v>11</v>
      </c>
      <c r="H182" s="4">
        <f>IFERROR(__xludf.DUMMYFUNCTION("""COMPUTED_VALUE"""),2.39)</f>
        <v>2.39</v>
      </c>
      <c r="I182" s="4">
        <f>IFERROR(__xludf.DUMMYFUNCTION("""COMPUTED_VALUE"""),8.82)</f>
        <v>8.82</v>
      </c>
      <c r="J182" s="4">
        <f>IFERROR(__xludf.DUMMYFUNCTION("""COMPUTED_VALUE"""),5.7)</f>
        <v>5.7</v>
      </c>
      <c r="K182" s="8">
        <f>IFERROR(__xludf.DUMMYFUNCTION("""COMPUTED_VALUE"""),-0.0206)</f>
        <v>-0.0206</v>
      </c>
    </row>
    <row r="183" ht="15.75" customHeight="1">
      <c r="C183" s="4" t="str">
        <f>IFERROR(__xludf.DUMMYFUNCTION("""COMPUTED_VALUE"""),"Yemen [+]")</f>
        <v>Yemen [+]</v>
      </c>
      <c r="D183" s="4">
        <f>IFERROR(__xludf.DUMMYFUNCTION("""COMPUTED_VALUE"""),2015.0)</f>
        <v>2015</v>
      </c>
      <c r="E183" s="4">
        <f>IFERROR(__xludf.DUMMYFUNCTION("""COMPUTED_VALUE"""),767.0)</f>
        <v>767</v>
      </c>
      <c r="F183" s="9">
        <f>IFERROR(__xludf.DUMMYFUNCTION("""COMPUTED_VALUE"""),1436.0)</f>
        <v>1436</v>
      </c>
      <c r="G183" s="9">
        <f>IFERROR(__xludf.DUMMYFUNCTION("""COMPUTED_VALUE"""),2204.0)</f>
        <v>2204</v>
      </c>
      <c r="H183" s="4">
        <f>IFERROR(__xludf.DUMMYFUNCTION("""COMPUTED_VALUE"""),5.84)</f>
        <v>5.84</v>
      </c>
      <c r="I183" s="4">
        <f>IFERROR(__xludf.DUMMYFUNCTION("""COMPUTED_VALUE"""),10.75)</f>
        <v>10.75</v>
      </c>
      <c r="J183" s="4">
        <f>IFERROR(__xludf.DUMMYFUNCTION("""COMPUTED_VALUE"""),8.19)</f>
        <v>8.19</v>
      </c>
      <c r="K183" s="8">
        <f>IFERROR(__xludf.DUMMYFUNCTION("""COMPUTED_VALUE"""),-0.0036)</f>
        <v>-0.0036</v>
      </c>
    </row>
    <row r="184" ht="15.75" customHeight="1">
      <c r="C184" s="4" t="str">
        <f>IFERROR(__xludf.DUMMYFUNCTION("""COMPUTED_VALUE"""),"Sudáfrica [+]")</f>
        <v>Sudáfrica [+]</v>
      </c>
      <c r="D184" s="4">
        <f>IFERROR(__xludf.DUMMYFUNCTION("""COMPUTED_VALUE"""),2016.0)</f>
        <v>2016</v>
      </c>
      <c r="E184" s="4">
        <f>IFERROR(__xludf.DUMMYFUNCTION("""COMPUTED_VALUE"""),78.0)</f>
        <v>78</v>
      </c>
      <c r="F184" s="4">
        <f>IFERROR(__xludf.DUMMYFUNCTION("""COMPUTED_VALUE"""),353.0)</f>
        <v>353</v>
      </c>
      <c r="G184" s="4">
        <f>IFERROR(__xludf.DUMMYFUNCTION("""COMPUTED_VALUE"""),431.0)</f>
        <v>431</v>
      </c>
      <c r="H184" s="4">
        <f>IFERROR(__xludf.DUMMYFUNCTION("""COMPUTED_VALUE"""),0.3)</f>
        <v>0.3</v>
      </c>
      <c r="I184" s="4">
        <f>IFERROR(__xludf.DUMMYFUNCTION("""COMPUTED_VALUE"""),1.3)</f>
        <v>1.3</v>
      </c>
      <c r="J184" s="4">
        <f>IFERROR(__xludf.DUMMYFUNCTION("""COMPUTED_VALUE"""),0.8)</f>
        <v>0.8</v>
      </c>
      <c r="K184" s="8">
        <f>IFERROR(__xludf.DUMMYFUNCTION("""COMPUTED_VALUE"""),-0.1111)</f>
        <v>-0.1111</v>
      </c>
    </row>
    <row r="185" ht="15.75" customHeight="1">
      <c r="C185" s="4" t="str">
        <f>IFERROR(__xludf.DUMMYFUNCTION("""COMPUTED_VALUE"""),"Zambia [+]")</f>
        <v>Zambia [+]</v>
      </c>
      <c r="D185" s="4">
        <f>IFERROR(__xludf.DUMMYFUNCTION("""COMPUTED_VALUE"""),2015.0)</f>
        <v>2015</v>
      </c>
      <c r="E185" s="4">
        <f>IFERROR(__xludf.DUMMYFUNCTION("""COMPUTED_VALUE"""),239.0)</f>
        <v>239</v>
      </c>
      <c r="F185" s="4">
        <f>IFERROR(__xludf.DUMMYFUNCTION("""COMPUTED_VALUE"""),799.0)</f>
        <v>799</v>
      </c>
      <c r="G185" s="9">
        <f>IFERROR(__xludf.DUMMYFUNCTION("""COMPUTED_VALUE"""),1038.0)</f>
        <v>1038</v>
      </c>
      <c r="H185" s="4">
        <f>IFERROR(__xludf.DUMMYFUNCTION("""COMPUTED_VALUE"""),2.98)</f>
        <v>2.98</v>
      </c>
      <c r="I185" s="4">
        <f>IFERROR(__xludf.DUMMYFUNCTION("""COMPUTED_VALUE"""),10.17)</f>
        <v>10.17</v>
      </c>
      <c r="J185" s="4">
        <f>IFERROR(__xludf.DUMMYFUNCTION("""COMPUTED_VALUE"""),6.4)</f>
        <v>6.4</v>
      </c>
      <c r="K185" s="8">
        <f>IFERROR(__xludf.DUMMYFUNCTION("""COMPUTED_VALUE"""),-0.0154)</f>
        <v>-0.0154</v>
      </c>
    </row>
    <row r="186" ht="15.75" customHeight="1">
      <c r="C186" s="4" t="str">
        <f>IFERROR(__xludf.DUMMYFUNCTION("""COMPUTED_VALUE"""),"Zimbabue [+]")</f>
        <v>Zimbabue [+]</v>
      </c>
      <c r="D186" s="4">
        <f>IFERROR(__xludf.DUMMYFUNCTION("""COMPUTED_VALUE"""),2015.0)</f>
        <v>2015</v>
      </c>
      <c r="E186" s="4">
        <f>IFERROR(__xludf.DUMMYFUNCTION("""COMPUTED_VALUE"""),439.0)</f>
        <v>439</v>
      </c>
      <c r="F186" s="9">
        <f>IFERROR(__xludf.DUMMYFUNCTION("""COMPUTED_VALUE"""),1202.0)</f>
        <v>1202</v>
      </c>
      <c r="G186" s="9">
        <f>IFERROR(__xludf.DUMMYFUNCTION("""COMPUTED_VALUE"""),1641.0)</f>
        <v>1641</v>
      </c>
      <c r="H186" s="4">
        <f>IFERROR(__xludf.DUMMYFUNCTION("""COMPUTED_VALUE"""),6.06)</f>
        <v>6.06</v>
      </c>
      <c r="I186" s="4">
        <f>IFERROR(__xludf.DUMMYFUNCTION("""COMPUTED_VALUE"""),18.29)</f>
        <v>18.29</v>
      </c>
      <c r="J186" s="4">
        <f>IFERROR(__xludf.DUMMYFUNCTION("""COMPUTED_VALUE"""),11.71)</f>
        <v>11.71</v>
      </c>
      <c r="K186" s="8">
        <f>IFERROR(__xludf.DUMMYFUNCTION("""COMPUTED_VALUE"""),-0.0126)</f>
        <v>-0.0126</v>
      </c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3</v>
      </c>
      <c r="B1" s="2" t="str">
        <f>SUBSTITUTE(C1,"[+]","")</f>
        <v/>
      </c>
    </row>
    <row r="2" ht="15.75" customHeight="1">
      <c r="B2" s="3"/>
      <c r="C2" s="2" t="str">
        <f>IFERROR(__xludf.DUMMYFUNCTION("IMPORTXML(A1, ""//table[1]/thead/tr"")"),"Países")</f>
        <v>Países</v>
      </c>
      <c r="D2" s="2" t="str">
        <f>IFERROR(__xludf.DUMMYFUNCTION("""COMPUTED_VALUE"""),"Fecha")</f>
        <v>Fecha</v>
      </c>
      <c r="E2" s="2" t="str">
        <f>IFERROR(__xludf.DUMMYFUNCTION("""COMPUTED_VALUE"""),"Suicidios mujeres")</f>
        <v>Suicidios mujeres</v>
      </c>
      <c r="F2" s="2" t="str">
        <f>IFERROR(__xludf.DUMMYFUNCTION("""COMPUTED_VALUE"""),"Suicidios hombres")</f>
        <v>Suicidios hombres</v>
      </c>
      <c r="G2" s="2" t="str">
        <f>IFERROR(__xludf.DUMMYFUNCTION("""COMPUTED_VALUE"""),"Suicidios ")</f>
        <v>Suicidios </v>
      </c>
      <c r="H2" s="2" t="str">
        <f>IFERROR(__xludf.DUMMYFUNCTION("""COMPUTED_VALUE"""),"Suicidios tasa femenina")</f>
        <v>Suicidios tasa femenina</v>
      </c>
      <c r="I2" s="2" t="str">
        <f>IFERROR(__xludf.DUMMYFUNCTION("""COMPUTED_VALUE"""),"Suicidios tasa masculina")</f>
        <v>Suicidios tasa masculina</v>
      </c>
      <c r="J2" s="4" t="str">
        <f>IFERROR(__xludf.DUMMYFUNCTION("""COMPUTED_VALUE"""),"Suicidios por 100.000")</f>
        <v>Suicidios por 100.000</v>
      </c>
      <c r="K2" s="4" t="str">
        <f>IFERROR(__xludf.DUMMYFUNCTION("""COMPUTED_VALUE"""),"Var.")</f>
        <v>Var.</v>
      </c>
    </row>
    <row r="3" ht="15.75" customHeight="1">
      <c r="C3" s="3" t="str">
        <f>IFERROR(__xludf.DUMMYFUNCTION("IMPORTXML(A1, ""//table[1]/tbody/tr"")"),"España [+]")</f>
        <v>España [+]</v>
      </c>
      <c r="D3" s="5">
        <f>IFERROR(__xludf.DUMMYFUNCTION("""COMPUTED_VALUE"""),2014.0)</f>
        <v>2014</v>
      </c>
      <c r="E3" s="2">
        <f>IFERROR(__xludf.DUMMYFUNCTION("""COMPUTED_VALUE"""),972.0)</f>
        <v>972</v>
      </c>
      <c r="F3" s="6">
        <f>IFERROR(__xludf.DUMMYFUNCTION("""COMPUTED_VALUE"""),2938.0)</f>
        <v>2938</v>
      </c>
      <c r="G3" s="6">
        <f>IFERROR(__xludf.DUMMYFUNCTION("""COMPUTED_VALUE"""),3910.0)</f>
        <v>3910</v>
      </c>
      <c r="H3" s="7">
        <f>IFERROR(__xludf.DUMMYFUNCTION("""COMPUTED_VALUE"""),4.12)</f>
        <v>4.12</v>
      </c>
      <c r="I3" s="2">
        <f>IFERROR(__xludf.DUMMYFUNCTION("""COMPUTED_VALUE"""),12.86)</f>
        <v>12.86</v>
      </c>
      <c r="J3" s="4">
        <f>IFERROR(__xludf.DUMMYFUNCTION("""COMPUTED_VALUE"""),8.42)</f>
        <v>8.42</v>
      </c>
      <c r="K3" s="8">
        <f>IFERROR(__xludf.DUMMYFUNCTION("""COMPUTED_VALUE"""),0.0134)</f>
        <v>0.0134</v>
      </c>
    </row>
    <row r="4" ht="15.75" customHeight="1">
      <c r="C4" s="2" t="str">
        <f>IFERROR(__xludf.DUMMYFUNCTION("""COMPUTED_VALUE"""),"Alemania [+]")</f>
        <v>Alemania [+]</v>
      </c>
      <c r="D4" s="5">
        <f>IFERROR(__xludf.DUMMYFUNCTION("""COMPUTED_VALUE"""),2014.0)</f>
        <v>2014</v>
      </c>
      <c r="E4" s="6">
        <f>IFERROR(__xludf.DUMMYFUNCTION("""COMPUTED_VALUE"""),2603.0)</f>
        <v>2603</v>
      </c>
      <c r="F4" s="6">
        <f>IFERROR(__xludf.DUMMYFUNCTION("""COMPUTED_VALUE"""),7685.0)</f>
        <v>7685</v>
      </c>
      <c r="G4" s="6">
        <f>IFERROR(__xludf.DUMMYFUNCTION("""COMPUTED_VALUE"""),10288.0)</f>
        <v>10288</v>
      </c>
      <c r="H4" s="7">
        <f>IFERROR(__xludf.DUMMYFUNCTION("""COMPUTED_VALUE"""),6.31)</f>
        <v>6.31</v>
      </c>
      <c r="I4" s="2">
        <f>IFERROR(__xludf.DUMMYFUNCTION("""COMPUTED_VALUE"""),19.33)</f>
        <v>19.33</v>
      </c>
      <c r="J4" s="4">
        <f>IFERROR(__xludf.DUMMYFUNCTION("""COMPUTED_VALUE"""),12.69)</f>
        <v>12.69</v>
      </c>
      <c r="K4" s="8">
        <f>IFERROR(__xludf.DUMMYFUNCTION("""COMPUTED_VALUE"""),0.0079)</f>
        <v>0.0079</v>
      </c>
    </row>
    <row r="5" ht="15.75" customHeight="1">
      <c r="C5" s="2" t="str">
        <f>IFERROR(__xludf.DUMMYFUNCTION("""COMPUTED_VALUE"""),"Reino Unido [+]")</f>
        <v>Reino Unido [+]</v>
      </c>
      <c r="D5" s="5">
        <f>IFERROR(__xludf.DUMMYFUNCTION("""COMPUTED_VALUE"""),2014.0)</f>
        <v>2014</v>
      </c>
      <c r="E5" s="6">
        <f>IFERROR(__xludf.DUMMYFUNCTION("""COMPUTED_VALUE"""),1030.0)</f>
        <v>1030</v>
      </c>
      <c r="F5" s="6">
        <f>IFERROR(__xludf.DUMMYFUNCTION("""COMPUTED_VALUE"""),3433.0)</f>
        <v>3433</v>
      </c>
      <c r="G5" s="6">
        <f>IFERROR(__xludf.DUMMYFUNCTION("""COMPUTED_VALUE"""),4463.0)</f>
        <v>4463</v>
      </c>
      <c r="H5" s="7">
        <f>IFERROR(__xludf.DUMMYFUNCTION("""COMPUTED_VALUE"""),3.13)</f>
        <v>3.13</v>
      </c>
      <c r="I5" s="2">
        <f>IFERROR(__xludf.DUMMYFUNCTION("""COMPUTED_VALUE"""),10.85)</f>
        <v>10.85</v>
      </c>
      <c r="J5" s="4">
        <f>IFERROR(__xludf.DUMMYFUNCTION("""COMPUTED_VALUE"""),6.93)</f>
        <v>6.93</v>
      </c>
      <c r="K5" s="8">
        <f>IFERROR(__xludf.DUMMYFUNCTION("""COMPUTED_VALUE"""),-0.0362)</f>
        <v>-0.0362</v>
      </c>
    </row>
    <row r="6" ht="15.75" customHeight="1">
      <c r="C6" s="2" t="str">
        <f>IFERROR(__xludf.DUMMYFUNCTION("""COMPUTED_VALUE"""),"Francia [+]")</f>
        <v>Francia [+]</v>
      </c>
      <c r="D6" s="5">
        <f>IFERROR(__xludf.DUMMYFUNCTION("""COMPUTED_VALUE"""),2014.0)</f>
        <v>2014</v>
      </c>
      <c r="E6" s="6">
        <f>IFERROR(__xludf.DUMMYFUNCTION("""COMPUTED_VALUE"""),2267.0)</f>
        <v>2267</v>
      </c>
      <c r="F6" s="6">
        <f>IFERROR(__xludf.DUMMYFUNCTION("""COMPUTED_VALUE"""),6817.0)</f>
        <v>6817</v>
      </c>
      <c r="G6" s="6">
        <f>IFERROR(__xludf.DUMMYFUNCTION("""COMPUTED_VALUE"""),9084.0)</f>
        <v>9084</v>
      </c>
      <c r="H6" s="7">
        <f>IFERROR(__xludf.DUMMYFUNCTION("""COMPUTED_VALUE"""),6.62)</f>
        <v>6.62</v>
      </c>
      <c r="I6" s="2">
        <f>IFERROR(__xludf.DUMMYFUNCTION("""COMPUTED_VALUE"""),21.18)</f>
        <v>21.18</v>
      </c>
      <c r="J6" s="4">
        <f>IFERROR(__xludf.DUMMYFUNCTION("""COMPUTED_VALUE"""),13.67)</f>
        <v>13.67</v>
      </c>
      <c r="K6" s="8">
        <f>IFERROR(__xludf.DUMMYFUNCTION("""COMPUTED_VALUE"""),-0.0856)</f>
        <v>-0.0856</v>
      </c>
    </row>
    <row r="7" ht="15.75" customHeight="1">
      <c r="C7" s="2" t="str">
        <f>IFERROR(__xludf.DUMMYFUNCTION("""COMPUTED_VALUE"""),"Italia [+]")</f>
        <v>Italia [+]</v>
      </c>
      <c r="D7" s="5">
        <f>IFERROR(__xludf.DUMMYFUNCTION("""COMPUTED_VALUE"""),2014.0)</f>
        <v>2014</v>
      </c>
      <c r="E7" s="2">
        <f>IFERROR(__xludf.DUMMYFUNCTION("""COMPUTED_VALUE"""),932.0)</f>
        <v>932</v>
      </c>
      <c r="F7" s="6">
        <f>IFERROR(__xludf.DUMMYFUNCTION("""COMPUTED_VALUE"""),3215.0)</f>
        <v>3215</v>
      </c>
      <c r="G7" s="6">
        <f>IFERROR(__xludf.DUMMYFUNCTION("""COMPUTED_VALUE"""),4147.0)</f>
        <v>4147</v>
      </c>
      <c r="H7" s="7">
        <f>IFERROR(__xludf.DUMMYFUNCTION("""COMPUTED_VALUE"""),2.94)</f>
        <v>2.94</v>
      </c>
      <c r="I7" s="2">
        <f>IFERROR(__xludf.DUMMYFUNCTION("""COMPUTED_VALUE"""),10.68)</f>
        <v>10.68</v>
      </c>
      <c r="J7" s="4">
        <f>IFERROR(__xludf.DUMMYFUNCTION("""COMPUTED_VALUE"""),6.69)</f>
        <v>6.69</v>
      </c>
      <c r="K7" s="8">
        <f>IFERROR(__xludf.DUMMYFUNCTION("""COMPUTED_VALUE"""),-0.0415)</f>
        <v>-0.0415</v>
      </c>
    </row>
    <row r="8" ht="15.75" customHeight="1">
      <c r="C8" s="2" t="str">
        <f>IFERROR(__xludf.DUMMYFUNCTION("""COMPUTED_VALUE"""),"Portugal [+]")</f>
        <v>Portugal [+]</v>
      </c>
      <c r="D8" s="5">
        <f>IFERROR(__xludf.DUMMYFUNCTION("""COMPUTED_VALUE"""),2014.0)</f>
        <v>2014</v>
      </c>
      <c r="E8" s="2">
        <f>IFERROR(__xludf.DUMMYFUNCTION("""COMPUTED_VALUE"""),298.0)</f>
        <v>298</v>
      </c>
      <c r="F8" s="6">
        <f>IFERROR(__xludf.DUMMYFUNCTION("""COMPUTED_VALUE"""),925.0)</f>
        <v>925</v>
      </c>
      <c r="G8" s="6">
        <f>IFERROR(__xludf.DUMMYFUNCTION("""COMPUTED_VALUE"""),1223.0)</f>
        <v>1223</v>
      </c>
      <c r="H8" s="7">
        <f>IFERROR(__xludf.DUMMYFUNCTION("""COMPUTED_VALUE"""),5.48)</f>
        <v>5.48</v>
      </c>
      <c r="I8" s="2">
        <f>IFERROR(__xludf.DUMMYFUNCTION("""COMPUTED_VALUE"""),18.68)</f>
        <v>18.68</v>
      </c>
      <c r="J8" s="4">
        <f>IFERROR(__xludf.DUMMYFUNCTION("""COMPUTED_VALUE"""),11.75)</f>
        <v>11.75</v>
      </c>
      <c r="K8" s="8">
        <f>IFERROR(__xludf.DUMMYFUNCTION("""COMPUTED_VALUE"""),0.1668)</f>
        <v>0.1668</v>
      </c>
    </row>
    <row r="9" ht="15.75" customHeight="1">
      <c r="C9" s="2" t="str">
        <f>IFERROR(__xludf.DUMMYFUNCTION("""COMPUTED_VALUE"""),"Estados Unidos [+]")</f>
        <v>Estados Unidos [+]</v>
      </c>
      <c r="D9" s="2">
        <f>IFERROR(__xludf.DUMMYFUNCTION("""COMPUTED_VALUE"""),2014.0)</f>
        <v>2014</v>
      </c>
      <c r="E9" s="6">
        <f>IFERROR(__xludf.DUMMYFUNCTION("""COMPUTED_VALUE"""),9645.0)</f>
        <v>9645</v>
      </c>
      <c r="F9" s="6">
        <f>IFERROR(__xludf.DUMMYFUNCTION("""COMPUTED_VALUE"""),33059.0)</f>
        <v>33059</v>
      </c>
      <c r="G9" s="6">
        <f>IFERROR(__xludf.DUMMYFUNCTION("""COMPUTED_VALUE"""),42704.0)</f>
        <v>42704</v>
      </c>
      <c r="H9" s="7">
        <f>IFERROR(__xludf.DUMMYFUNCTION("""COMPUTED_VALUE"""),6.0)</f>
        <v>6</v>
      </c>
      <c r="I9" s="2">
        <f>IFERROR(__xludf.DUMMYFUNCTION("""COMPUTED_VALUE"""),21.1)</f>
        <v>21.1</v>
      </c>
      <c r="J9" s="4">
        <f>IFERROR(__xludf.DUMMYFUNCTION("""COMPUTED_VALUE"""),13.4)</f>
        <v>13.4</v>
      </c>
      <c r="K9" s="8">
        <f>IFERROR(__xludf.DUMMYFUNCTION("""COMPUTED_VALUE"""),0.0308)</f>
        <v>0.0308</v>
      </c>
    </row>
    <row r="10" ht="15.75" customHeight="1">
      <c r="C10" s="2" t="str">
        <f>IFERROR(__xludf.DUMMYFUNCTION("""COMPUTED_VALUE"""),"Japón [+]")</f>
        <v>Japón [+]</v>
      </c>
      <c r="D10" s="2">
        <f>IFERROR(__xludf.DUMMYFUNCTION("""COMPUTED_VALUE"""),2014.0)</f>
        <v>2014</v>
      </c>
      <c r="E10" s="6">
        <f>IFERROR(__xludf.DUMMYFUNCTION("""COMPUTED_VALUE"""),7542.0)</f>
        <v>7542</v>
      </c>
      <c r="F10" s="6">
        <f>IFERROR(__xludf.DUMMYFUNCTION("""COMPUTED_VALUE"""),16875.0)</f>
        <v>16875</v>
      </c>
      <c r="G10" s="6">
        <f>IFERROR(__xludf.DUMMYFUNCTION("""COMPUTED_VALUE"""),24417.0)</f>
        <v>24417</v>
      </c>
      <c r="H10" s="7">
        <f>IFERROR(__xludf.DUMMYFUNCTION("""COMPUTED_VALUE"""),11.5)</f>
        <v>11.5</v>
      </c>
      <c r="I10" s="2">
        <f>IFERROR(__xludf.DUMMYFUNCTION("""COMPUTED_VALUE"""),27.3)</f>
        <v>27.3</v>
      </c>
      <c r="J10" s="4">
        <f>IFERROR(__xludf.DUMMYFUNCTION("""COMPUTED_VALUE"""),19.2)</f>
        <v>19.2</v>
      </c>
      <c r="K10" s="8">
        <f>IFERROR(__xludf.DUMMYFUNCTION("""COMPUTED_VALUE"""),-0.0634)</f>
        <v>-0.0634</v>
      </c>
    </row>
    <row r="11" ht="15.75" customHeight="1">
      <c r="C11" s="2" t="str">
        <f>IFERROR(__xludf.DUMMYFUNCTION("""COMPUTED_VALUE"""),"China [+]")</f>
        <v>China [+]</v>
      </c>
      <c r="D11" s="2">
        <f>IFERROR(__xludf.DUMMYFUNCTION("""COMPUTED_VALUE"""),2014.0)</f>
        <v>2014</v>
      </c>
      <c r="E11" s="6">
        <f>IFERROR(__xludf.DUMMYFUNCTION("""COMPUTED_VALUE"""),75991.0)</f>
        <v>75991</v>
      </c>
      <c r="F11" s="6">
        <f>IFERROR(__xludf.DUMMYFUNCTION("""COMPUTED_VALUE"""),61307.0)</f>
        <v>61307</v>
      </c>
      <c r="G11" s="6">
        <f>IFERROR(__xludf.DUMMYFUNCTION("""COMPUTED_VALUE"""),137298.0)</f>
        <v>137298</v>
      </c>
      <c r="H11" s="7">
        <f>IFERROR(__xludf.DUMMYFUNCTION("""COMPUTED_VALUE"""),11.39)</f>
        <v>11.39</v>
      </c>
      <c r="I11" s="2">
        <f>IFERROR(__xludf.DUMMYFUNCTION("""COMPUTED_VALUE"""),8.7)</f>
        <v>8.7</v>
      </c>
      <c r="J11" s="4">
        <f>IFERROR(__xludf.DUMMYFUNCTION("""COMPUTED_VALUE"""),9.97)</f>
        <v>9.97</v>
      </c>
      <c r="K11" s="8">
        <f>IFERROR(__xludf.DUMMYFUNCTION("""COMPUTED_VALUE"""),-0.004)</f>
        <v>-0.004</v>
      </c>
    </row>
    <row r="12" ht="15.75" customHeight="1">
      <c r="C12" s="2" t="str">
        <f>IFERROR(__xludf.DUMMYFUNCTION("""COMPUTED_VALUE"""),"Emiratos Árabes Unidos [+]")</f>
        <v>Emiratos Árabes Unidos [+]</v>
      </c>
      <c r="D12" s="2">
        <f>IFERROR(__xludf.DUMMYFUNCTION("""COMPUTED_VALUE"""),2014.0)</f>
        <v>2014</v>
      </c>
      <c r="E12" s="2">
        <f>IFERROR(__xludf.DUMMYFUNCTION("""COMPUTED_VALUE"""),19.0)</f>
        <v>19</v>
      </c>
      <c r="F12" s="6">
        <f>IFERROR(__xludf.DUMMYFUNCTION("""COMPUTED_VALUE"""),246.0)</f>
        <v>246</v>
      </c>
      <c r="G12" s="2">
        <f>IFERROR(__xludf.DUMMYFUNCTION("""COMPUTED_VALUE"""),265.0)</f>
        <v>265</v>
      </c>
      <c r="H12" s="7">
        <f>IFERROR(__xludf.DUMMYFUNCTION("""COMPUTED_VALUE"""),0.73)</f>
        <v>0.73</v>
      </c>
      <c r="I12" s="2">
        <f>IFERROR(__xludf.DUMMYFUNCTION("""COMPUTED_VALUE"""),3.74)</f>
        <v>3.74</v>
      </c>
      <c r="J12" s="4">
        <f>IFERROR(__xludf.DUMMYFUNCTION("""COMPUTED_VALUE"""),3.01)</f>
        <v>3.01</v>
      </c>
      <c r="K12" s="8">
        <f>IFERROR(__xludf.DUMMYFUNCTION("""COMPUTED_VALUE"""),-0.0353)</f>
        <v>-0.0353</v>
      </c>
    </row>
    <row r="13" ht="15.75" customHeight="1">
      <c r="C13" s="2" t="str">
        <f>IFERROR(__xludf.DUMMYFUNCTION("""COMPUTED_VALUE"""),"Afganistán [+]")</f>
        <v>Afganistán [+]</v>
      </c>
      <c r="D13" s="2">
        <f>IFERROR(__xludf.DUMMYFUNCTION("""COMPUTED_VALUE"""),2014.0)</f>
        <v>2014</v>
      </c>
      <c r="E13" s="2">
        <f>IFERROR(__xludf.DUMMYFUNCTION("""COMPUTED_VALUE"""),379.0)</f>
        <v>379</v>
      </c>
      <c r="F13" s="6">
        <f>IFERROR(__xludf.DUMMYFUNCTION("""COMPUTED_VALUE"""),1328.0)</f>
        <v>1328</v>
      </c>
      <c r="G13" s="6">
        <f>IFERROR(__xludf.DUMMYFUNCTION("""COMPUTED_VALUE"""),1707.0)</f>
        <v>1707</v>
      </c>
      <c r="H13" s="7">
        <f>IFERROR(__xludf.DUMMYFUNCTION("""COMPUTED_VALUE"""),2.34)</f>
        <v>2.34</v>
      </c>
      <c r="I13" s="2">
        <f>IFERROR(__xludf.DUMMYFUNCTION("""COMPUTED_VALUE"""),7.75)</f>
        <v>7.75</v>
      </c>
      <c r="J13" s="4">
        <f>IFERROR(__xludf.DUMMYFUNCTION("""COMPUTED_VALUE"""),6.18)</f>
        <v>6.18</v>
      </c>
      <c r="K13" s="8">
        <f>IFERROR(__xludf.DUMMYFUNCTION("""COMPUTED_VALUE"""),0.0131)</f>
        <v>0.0131</v>
      </c>
    </row>
    <row r="14" ht="15.75" customHeight="1">
      <c r="C14" s="2" t="str">
        <f>IFERROR(__xludf.DUMMYFUNCTION("""COMPUTED_VALUE"""),"Antigua y Barbuda [+]")</f>
        <v>Antigua y Barbuda [+]</v>
      </c>
      <c r="D14" s="5">
        <f>IFERROR(__xludf.DUMMYFUNCTION("""COMPUTED_VALUE"""),2014.0)</f>
        <v>2014</v>
      </c>
      <c r="E14" s="2">
        <f>IFERROR(__xludf.DUMMYFUNCTION("""COMPUTED_VALUE"""),0.0)</f>
        <v>0</v>
      </c>
      <c r="F14" s="6">
        <f>IFERROR(__xludf.DUMMYFUNCTION("""COMPUTED_VALUE"""),0.0)</f>
        <v>0</v>
      </c>
      <c r="G14" s="2">
        <f>IFERROR(__xludf.DUMMYFUNCTION("""COMPUTED_VALUE"""),0.0)</f>
        <v>0</v>
      </c>
      <c r="H14" s="7">
        <f>IFERROR(__xludf.DUMMYFUNCTION("""COMPUTED_VALUE"""),0.01)</f>
        <v>0.01</v>
      </c>
      <c r="I14" s="2">
        <f>IFERROR(__xludf.DUMMYFUNCTION("""COMPUTED_VALUE"""),0.0)</f>
        <v>0</v>
      </c>
      <c r="J14" s="4">
        <f>IFERROR(__xludf.DUMMYFUNCTION("""COMPUTED_VALUE"""),0.01)</f>
        <v>0.01</v>
      </c>
      <c r="K14" s="8">
        <f>IFERROR(__xludf.DUMMYFUNCTION("""COMPUTED_VALUE"""),-0.96)</f>
        <v>-0.96</v>
      </c>
    </row>
    <row r="15" ht="15.75" customHeight="1">
      <c r="C15" s="2" t="str">
        <f>IFERROR(__xludf.DUMMYFUNCTION("""COMPUTED_VALUE"""),"Albania [+]")</f>
        <v>Albania [+]</v>
      </c>
      <c r="D15" s="2">
        <f>IFERROR(__xludf.DUMMYFUNCTION("""COMPUTED_VALUE"""),2010.0)</f>
        <v>2010</v>
      </c>
      <c r="E15" s="2">
        <f>IFERROR(__xludf.DUMMYFUNCTION("""COMPUTED_VALUE"""),35.0)</f>
        <v>35</v>
      </c>
      <c r="F15" s="2">
        <f>IFERROR(__xludf.DUMMYFUNCTION("""COMPUTED_VALUE"""),61.0)</f>
        <v>61</v>
      </c>
      <c r="G15" s="2">
        <f>IFERROR(__xludf.DUMMYFUNCTION("""COMPUTED_VALUE"""),96.0)</f>
        <v>96</v>
      </c>
      <c r="H15" s="7">
        <f>IFERROR(__xludf.DUMMYFUNCTION("""COMPUTED_VALUE"""),2.41)</f>
        <v>2.41</v>
      </c>
      <c r="I15" s="2">
        <f>IFERROR(__xludf.DUMMYFUNCTION("""COMPUTED_VALUE"""),4.19)</f>
        <v>4.19</v>
      </c>
      <c r="J15" s="4">
        <f>IFERROR(__xludf.DUMMYFUNCTION("""COMPUTED_VALUE"""),3.3)</f>
        <v>3.3</v>
      </c>
      <c r="K15" s="8">
        <f>IFERROR(__xludf.DUMMYFUNCTION("""COMPUTED_VALUE"""),-0.2979)</f>
        <v>-0.2979</v>
      </c>
    </row>
    <row r="16" ht="15.75" customHeight="1">
      <c r="C16" s="2" t="str">
        <f>IFERROR(__xludf.DUMMYFUNCTION("""COMPUTED_VALUE"""),"Armenia [+]")</f>
        <v>Armenia [+]</v>
      </c>
      <c r="D16" s="5">
        <f>IFERROR(__xludf.DUMMYFUNCTION("""COMPUTED_VALUE"""),2014.0)</f>
        <v>2014</v>
      </c>
      <c r="E16" s="2">
        <f>IFERROR(__xludf.DUMMYFUNCTION("""COMPUTED_VALUE"""),37.0)</f>
        <v>37</v>
      </c>
      <c r="F16" s="6">
        <f>IFERROR(__xludf.DUMMYFUNCTION("""COMPUTED_VALUE"""),125.0)</f>
        <v>125</v>
      </c>
      <c r="G16" s="2">
        <f>IFERROR(__xludf.DUMMYFUNCTION("""COMPUTED_VALUE"""),163.0)</f>
        <v>163</v>
      </c>
      <c r="H16" s="7">
        <f>IFERROR(__xludf.DUMMYFUNCTION("""COMPUTED_VALUE"""),2.36)</f>
        <v>2.36</v>
      </c>
      <c r="I16" s="2">
        <f>IFERROR(__xludf.DUMMYFUNCTION("""COMPUTED_VALUE"""),8.72)</f>
        <v>8.72</v>
      </c>
      <c r="J16" s="4">
        <f>IFERROR(__xludf.DUMMYFUNCTION("""COMPUTED_VALUE"""),5.4)</f>
        <v>5.4</v>
      </c>
      <c r="K16" s="8">
        <f>IFERROR(__xludf.DUMMYFUNCTION("""COMPUTED_VALUE"""),-0.0018)</f>
        <v>-0.0018</v>
      </c>
    </row>
    <row r="17" ht="15.75" customHeight="1">
      <c r="C17" s="2" t="str">
        <f>IFERROR(__xludf.DUMMYFUNCTION("""COMPUTED_VALUE"""),"Angola [+]")</f>
        <v>Angola [+]</v>
      </c>
      <c r="D17" s="2">
        <f>IFERROR(__xludf.DUMMYFUNCTION("""COMPUTED_VALUE"""),2014.0)</f>
        <v>2014</v>
      </c>
      <c r="E17" s="6">
        <f>IFERROR(__xludf.DUMMYFUNCTION("""COMPUTED_VALUE"""),1411.0)</f>
        <v>1411</v>
      </c>
      <c r="F17" s="6">
        <f>IFERROR(__xludf.DUMMYFUNCTION("""COMPUTED_VALUE"""),3553.0)</f>
        <v>3553</v>
      </c>
      <c r="G17" s="6">
        <f>IFERROR(__xludf.DUMMYFUNCTION("""COMPUTED_VALUE"""),4964.0)</f>
        <v>4964</v>
      </c>
      <c r="H17" s="7">
        <f>IFERROR(__xludf.DUMMYFUNCTION("""COMPUTED_VALUE"""),10.36)</f>
        <v>10.36</v>
      </c>
      <c r="I17" s="2">
        <f>IFERROR(__xludf.DUMMYFUNCTION("""COMPUTED_VALUE"""),26.67)</f>
        <v>26.67</v>
      </c>
      <c r="J17" s="4">
        <f>IFERROR(__xludf.DUMMYFUNCTION("""COMPUTED_VALUE"""),19.17)</f>
        <v>19.17</v>
      </c>
      <c r="K17" s="8">
        <f>IFERROR(__xludf.DUMMYFUNCTION("""COMPUTED_VALUE"""),-0.0108)</f>
        <v>-0.0108</v>
      </c>
    </row>
    <row r="18" ht="15.75" customHeight="1">
      <c r="C18" s="2" t="str">
        <f>IFERROR(__xludf.DUMMYFUNCTION("""COMPUTED_VALUE"""),"Argentina [+]")</f>
        <v>Argentina [+]</v>
      </c>
      <c r="D18" s="5">
        <f>IFERROR(__xludf.DUMMYFUNCTION("""COMPUTED_VALUE"""),2014.0)</f>
        <v>2014</v>
      </c>
      <c r="E18" s="2">
        <f>IFERROR(__xludf.DUMMYFUNCTION("""COMPUTED_VALUE"""),688.0)</f>
        <v>688</v>
      </c>
      <c r="F18" s="6">
        <f>IFERROR(__xludf.DUMMYFUNCTION("""COMPUTED_VALUE"""),2560.0)</f>
        <v>2560</v>
      </c>
      <c r="G18" s="6">
        <f>IFERROR(__xludf.DUMMYFUNCTION("""COMPUTED_VALUE"""),3248.0)</f>
        <v>3248</v>
      </c>
      <c r="H18" s="7">
        <f>IFERROR(__xludf.DUMMYFUNCTION("""COMPUTED_VALUE"""),3.2)</f>
        <v>3.2</v>
      </c>
      <c r="I18" s="2">
        <f>IFERROR(__xludf.DUMMYFUNCTION("""COMPUTED_VALUE"""),12.3)</f>
        <v>12.3</v>
      </c>
      <c r="J18" s="4">
        <f>IFERROR(__xludf.DUMMYFUNCTION("""COMPUTED_VALUE"""),7.6)</f>
        <v>7.6</v>
      </c>
      <c r="K18" s="8">
        <f>IFERROR(__xludf.DUMMYFUNCTION("""COMPUTED_VALUE"""),0.0704)</f>
        <v>0.0704</v>
      </c>
    </row>
    <row r="19" ht="15.75" customHeight="1">
      <c r="C19" s="2" t="str">
        <f>IFERROR(__xludf.DUMMYFUNCTION("""COMPUTED_VALUE"""),"Austria [+]")</f>
        <v>Austria [+]</v>
      </c>
      <c r="D19" s="2">
        <f>IFERROR(__xludf.DUMMYFUNCTION("""COMPUTED_VALUE"""),2014.0)</f>
        <v>2014</v>
      </c>
      <c r="E19" s="2">
        <f>IFERROR(__xludf.DUMMYFUNCTION("""COMPUTED_VALUE"""),329.0)</f>
        <v>329</v>
      </c>
      <c r="F19" s="6">
        <f>IFERROR(__xludf.DUMMYFUNCTION("""COMPUTED_VALUE"""),1012.0)</f>
        <v>1012</v>
      </c>
      <c r="G19" s="6">
        <f>IFERROR(__xludf.DUMMYFUNCTION("""COMPUTED_VALUE"""),1341.0)</f>
        <v>1341</v>
      </c>
      <c r="H19" s="7">
        <f>IFERROR(__xludf.DUMMYFUNCTION("""COMPUTED_VALUE"""),7.42)</f>
        <v>7.42</v>
      </c>
      <c r="I19" s="2">
        <f>IFERROR(__xludf.DUMMYFUNCTION("""COMPUTED_VALUE"""),23.89)</f>
        <v>23.89</v>
      </c>
      <c r="J19" s="4">
        <f>IFERROR(__xludf.DUMMYFUNCTION("""COMPUTED_VALUE"""),15.47)</f>
        <v>15.47</v>
      </c>
      <c r="K19" s="8">
        <f>IFERROR(__xludf.DUMMYFUNCTION("""COMPUTED_VALUE"""),0.0052)</f>
        <v>0.0052</v>
      </c>
    </row>
    <row r="20" ht="15.75" customHeight="1">
      <c r="C20" s="2" t="str">
        <f>IFERROR(__xludf.DUMMYFUNCTION("""COMPUTED_VALUE"""),"Australia [+]")</f>
        <v>Australia [+]</v>
      </c>
      <c r="D20" s="5">
        <f>IFERROR(__xludf.DUMMYFUNCTION("""COMPUTED_VALUE"""),2014.0)</f>
        <v>2014</v>
      </c>
      <c r="E20" s="2">
        <f>IFERROR(__xludf.DUMMYFUNCTION("""COMPUTED_VALUE"""),714.0)</f>
        <v>714</v>
      </c>
      <c r="F20" s="6">
        <f>IFERROR(__xludf.DUMMYFUNCTION("""COMPUTED_VALUE"""),2205.0)</f>
        <v>2205</v>
      </c>
      <c r="G20" s="6">
        <f>IFERROR(__xludf.DUMMYFUNCTION("""COMPUTED_VALUE"""),2919.0)</f>
        <v>2919</v>
      </c>
      <c r="H20" s="7">
        <f>IFERROR(__xludf.DUMMYFUNCTION("""COMPUTED_VALUE"""),6.0)</f>
        <v>6</v>
      </c>
      <c r="I20" s="2">
        <f>IFERROR(__xludf.DUMMYFUNCTION("""COMPUTED_VALUE"""),18.9)</f>
        <v>18.9</v>
      </c>
      <c r="J20" s="4">
        <f>IFERROR(__xludf.DUMMYFUNCTION("""COMPUTED_VALUE"""),12.4)</f>
        <v>12.4</v>
      </c>
      <c r="K20" s="8">
        <f>IFERROR(__xludf.DUMMYFUNCTION("""COMPUTED_VALUE"""),0.0973)</f>
        <v>0.0973</v>
      </c>
    </row>
    <row r="21" ht="15.75" customHeight="1">
      <c r="C21" s="2" t="str">
        <f>IFERROR(__xludf.DUMMYFUNCTION("""COMPUTED_VALUE"""),"Azerbaiyán [+]")</f>
        <v>Azerbaiyán [+]</v>
      </c>
      <c r="D21" s="2">
        <f>IFERROR(__xludf.DUMMYFUNCTION("""COMPUTED_VALUE"""),2014.0)</f>
        <v>2014</v>
      </c>
      <c r="E21" s="2">
        <f>IFERROR(__xludf.DUMMYFUNCTION("""COMPUTED_VALUE"""),59.0)</f>
        <v>59</v>
      </c>
      <c r="F21" s="2">
        <f>IFERROR(__xludf.DUMMYFUNCTION("""COMPUTED_VALUE"""),256.0)</f>
        <v>256</v>
      </c>
      <c r="G21" s="2">
        <f>IFERROR(__xludf.DUMMYFUNCTION("""COMPUTED_VALUE"""),315.0)</f>
        <v>315</v>
      </c>
      <c r="H21" s="7">
        <f>IFERROR(__xludf.DUMMYFUNCTION("""COMPUTED_VALUE"""),1.23)</f>
        <v>1.23</v>
      </c>
      <c r="I21" s="2">
        <f>IFERROR(__xludf.DUMMYFUNCTION("""COMPUTED_VALUE"""),5.36)</f>
        <v>5.36</v>
      </c>
      <c r="J21" s="4">
        <f>IFERROR(__xludf.DUMMYFUNCTION("""COMPUTED_VALUE"""),3.29)</f>
        <v>3.29</v>
      </c>
      <c r="K21" s="8">
        <f>IFERROR(__xludf.DUMMYFUNCTION("""COMPUTED_VALUE"""),-0.009)</f>
        <v>-0.009</v>
      </c>
    </row>
    <row r="22" ht="15.75" customHeight="1">
      <c r="C22" s="2" t="str">
        <f>IFERROR(__xludf.DUMMYFUNCTION("""COMPUTED_VALUE"""),"Bosnia y Herzegovina [+]")</f>
        <v>Bosnia y Herzegovina [+]</v>
      </c>
      <c r="D22" s="2">
        <f>IFERROR(__xludf.DUMMYFUNCTION("""COMPUTED_VALUE"""),2014.0)</f>
        <v>2014</v>
      </c>
      <c r="E22" s="2">
        <f>IFERROR(__xludf.DUMMYFUNCTION("""COMPUTED_VALUE"""),52.0)</f>
        <v>52</v>
      </c>
      <c r="F22" s="2">
        <f>IFERROR(__xludf.DUMMYFUNCTION("""COMPUTED_VALUE"""),176.0)</f>
        <v>176</v>
      </c>
      <c r="G22" s="2">
        <f>IFERROR(__xludf.DUMMYFUNCTION("""COMPUTED_VALUE"""),228.0)</f>
        <v>228</v>
      </c>
      <c r="H22" s="7">
        <f>IFERROR(__xludf.DUMMYFUNCTION("""COMPUTED_VALUE"""),2.93)</f>
        <v>2.93</v>
      </c>
      <c r="I22" s="2">
        <f>IFERROR(__xludf.DUMMYFUNCTION("""COMPUTED_VALUE"""),10.29)</f>
        <v>10.29</v>
      </c>
      <c r="J22" s="4">
        <f>IFERROR(__xludf.DUMMYFUNCTION("""COMPUTED_VALUE"""),5.95)</f>
        <v>5.95</v>
      </c>
      <c r="K22" s="8">
        <f>IFERROR(__xludf.DUMMYFUNCTION("""COMPUTED_VALUE"""),0.0017)</f>
        <v>0.0017</v>
      </c>
    </row>
    <row r="23" ht="15.75" customHeight="1">
      <c r="C23" s="2" t="str">
        <f>IFERROR(__xludf.DUMMYFUNCTION("""COMPUTED_VALUE"""),"Barbados [+]")</f>
        <v>Barbados [+]</v>
      </c>
      <c r="D23" s="2">
        <f>IFERROR(__xludf.DUMMYFUNCTION("""COMPUTED_VALUE"""),2014.0)</f>
        <v>2014</v>
      </c>
      <c r="E23" s="2">
        <f>IFERROR(__xludf.DUMMYFUNCTION("""COMPUTED_VALUE"""),0.0)</f>
        <v>0</v>
      </c>
      <c r="F23" s="2">
        <f>IFERROR(__xludf.DUMMYFUNCTION("""COMPUTED_VALUE"""),1.0)</f>
        <v>1</v>
      </c>
      <c r="G23" s="2">
        <f>IFERROR(__xludf.DUMMYFUNCTION("""COMPUTED_VALUE"""),1.0)</f>
        <v>1</v>
      </c>
      <c r="H23" s="7">
        <f>IFERROR(__xludf.DUMMYFUNCTION("""COMPUTED_VALUE"""),0.27)</f>
        <v>0.27</v>
      </c>
      <c r="I23" s="2">
        <f>IFERROR(__xludf.DUMMYFUNCTION("""COMPUTED_VALUE"""),0.62)</f>
        <v>0.62</v>
      </c>
      <c r="J23" s="4">
        <f>IFERROR(__xludf.DUMMYFUNCTION("""COMPUTED_VALUE"""),0.44)</f>
        <v>0.44</v>
      </c>
      <c r="K23" s="8">
        <f>IFERROR(__xludf.DUMMYFUNCTION("""COMPUTED_VALUE"""),0.913)</f>
        <v>0.913</v>
      </c>
    </row>
    <row r="24" ht="15.75" customHeight="1">
      <c r="C24" s="2" t="str">
        <f>IFERROR(__xludf.DUMMYFUNCTION("""COMPUTED_VALUE"""),"Bangladés [+]")</f>
        <v>Bangladés [+]</v>
      </c>
      <c r="D24" s="2">
        <f>IFERROR(__xludf.DUMMYFUNCTION("""COMPUTED_VALUE"""),2014.0)</f>
        <v>2014</v>
      </c>
      <c r="E24" s="6">
        <f>IFERROR(__xludf.DUMMYFUNCTION("""COMPUTED_VALUE"""),5394.0)</f>
        <v>5394</v>
      </c>
      <c r="F24" s="6">
        <f>IFERROR(__xludf.DUMMYFUNCTION("""COMPUTED_VALUE"""),3580.0)</f>
        <v>3580</v>
      </c>
      <c r="G24" s="6">
        <f>IFERROR(__xludf.DUMMYFUNCTION("""COMPUTED_VALUE"""),8974.0)</f>
        <v>8974</v>
      </c>
      <c r="H24" s="7">
        <f>IFERROR(__xludf.DUMMYFUNCTION("""COMPUTED_VALUE"""),7.08)</f>
        <v>7.08</v>
      </c>
      <c r="I24" s="2">
        <f>IFERROR(__xludf.DUMMYFUNCTION("""COMPUTED_VALUE"""),4.57)</f>
        <v>4.57</v>
      </c>
      <c r="J24" s="4">
        <f>IFERROR(__xludf.DUMMYFUNCTION("""COMPUTED_VALUE"""),5.81)</f>
        <v>5.81</v>
      </c>
      <c r="K24" s="8">
        <f>IFERROR(__xludf.DUMMYFUNCTION("""COMPUTED_VALUE"""),-0.0381)</f>
        <v>-0.0381</v>
      </c>
    </row>
    <row r="25" ht="15.75" customHeight="1">
      <c r="C25" s="2" t="str">
        <f>IFERROR(__xludf.DUMMYFUNCTION("""COMPUTED_VALUE"""),"Bélgica [+]")</f>
        <v>Bélgica [+]</v>
      </c>
      <c r="D25" s="2">
        <f>IFERROR(__xludf.DUMMYFUNCTION("""COMPUTED_VALUE"""),2014.0)</f>
        <v>2014</v>
      </c>
      <c r="E25" s="2">
        <f>IFERROR(__xludf.DUMMYFUNCTION("""COMPUTED_VALUE"""),566.0)</f>
        <v>566</v>
      </c>
      <c r="F25" s="6">
        <f>IFERROR(__xludf.DUMMYFUNCTION("""COMPUTED_VALUE"""),1367.0)</f>
        <v>1367</v>
      </c>
      <c r="G25" s="6">
        <f>IFERROR(__xludf.DUMMYFUNCTION("""COMPUTED_VALUE"""),1933.0)</f>
        <v>1933</v>
      </c>
      <c r="H25" s="7">
        <f>IFERROR(__xludf.DUMMYFUNCTION("""COMPUTED_VALUE"""),9.93)</f>
        <v>9.93</v>
      </c>
      <c r="I25" s="2">
        <f>IFERROR(__xludf.DUMMYFUNCTION("""COMPUTED_VALUE"""),24.61)</f>
        <v>24.61</v>
      </c>
      <c r="J25" s="4">
        <f>IFERROR(__xludf.DUMMYFUNCTION("""COMPUTED_VALUE"""),17.15)</f>
        <v>17.15</v>
      </c>
      <c r="K25" s="8">
        <f>IFERROR(__xludf.DUMMYFUNCTION("""COMPUTED_VALUE"""),0.0029)</f>
        <v>0.0029</v>
      </c>
    </row>
    <row r="26" ht="15.75" customHeight="1">
      <c r="C26" s="2" t="str">
        <f>IFERROR(__xludf.DUMMYFUNCTION("""COMPUTED_VALUE"""),"Burkina Faso [+]")</f>
        <v>Burkina Faso [+]</v>
      </c>
      <c r="D26" s="2">
        <f>IFERROR(__xludf.DUMMYFUNCTION("""COMPUTED_VALUE"""),2014.0)</f>
        <v>2014</v>
      </c>
      <c r="E26" s="2">
        <f>IFERROR(__xludf.DUMMYFUNCTION("""COMPUTED_VALUE"""),561.0)</f>
        <v>561</v>
      </c>
      <c r="F26" s="6">
        <f>IFERROR(__xludf.DUMMYFUNCTION("""COMPUTED_VALUE"""),1070.0)</f>
        <v>1070</v>
      </c>
      <c r="G26" s="6">
        <f>IFERROR(__xludf.DUMMYFUNCTION("""COMPUTED_VALUE"""),1631.0)</f>
        <v>1631</v>
      </c>
      <c r="H26" s="7">
        <f>IFERROR(__xludf.DUMMYFUNCTION("""COMPUTED_VALUE"""),6.35)</f>
        <v>6.35</v>
      </c>
      <c r="I26" s="2">
        <f>IFERROR(__xludf.DUMMYFUNCTION("""COMPUTED_VALUE"""),12.23)</f>
        <v>12.23</v>
      </c>
      <c r="J26" s="4">
        <f>IFERROR(__xludf.DUMMYFUNCTION("""COMPUTED_VALUE"""),9.27)</f>
        <v>9.27</v>
      </c>
      <c r="K26" s="8">
        <f>IFERROR(__xludf.DUMMYFUNCTION("""COMPUTED_VALUE"""),-0.0011)</f>
        <v>-0.0011</v>
      </c>
    </row>
    <row r="27" ht="15.75" customHeight="1">
      <c r="C27" s="2" t="str">
        <f>IFERROR(__xludf.DUMMYFUNCTION("""COMPUTED_VALUE"""),"Bulgaria [+]")</f>
        <v>Bulgaria [+]</v>
      </c>
      <c r="D27" s="2">
        <f>IFERROR(__xludf.DUMMYFUNCTION("""COMPUTED_VALUE"""),2014.0)</f>
        <v>2014</v>
      </c>
      <c r="E27" s="2">
        <f>IFERROR(__xludf.DUMMYFUNCTION("""COMPUTED_VALUE"""),174.0)</f>
        <v>174</v>
      </c>
      <c r="F27" s="2">
        <f>IFERROR(__xludf.DUMMYFUNCTION("""COMPUTED_VALUE"""),557.0)</f>
        <v>557</v>
      </c>
      <c r="G27" s="2">
        <f>IFERROR(__xludf.DUMMYFUNCTION("""COMPUTED_VALUE"""),731.0)</f>
        <v>731</v>
      </c>
      <c r="H27" s="7">
        <f>IFERROR(__xludf.DUMMYFUNCTION("""COMPUTED_VALUE"""),4.66)</f>
        <v>4.66</v>
      </c>
      <c r="I27" s="2">
        <f>IFERROR(__xludf.DUMMYFUNCTION("""COMPUTED_VALUE"""),15.68)</f>
        <v>15.68</v>
      </c>
      <c r="J27" s="4">
        <f>IFERROR(__xludf.DUMMYFUNCTION("""COMPUTED_VALUE"""),10.02)</f>
        <v>10.02</v>
      </c>
      <c r="K27" s="8">
        <f>IFERROR(__xludf.DUMMYFUNCTION("""COMPUTED_VALUE"""),0.007)</f>
        <v>0.007</v>
      </c>
    </row>
    <row r="28" ht="15.75" customHeight="1">
      <c r="C28" s="2" t="str">
        <f>IFERROR(__xludf.DUMMYFUNCTION("""COMPUTED_VALUE"""),"Baréin [+]")</f>
        <v>Baréin [+]</v>
      </c>
      <c r="D28" s="2">
        <f>IFERROR(__xludf.DUMMYFUNCTION("""COMPUTED_VALUE"""),2014.0)</f>
        <v>2014</v>
      </c>
      <c r="E28" s="2">
        <f>IFERROR(__xludf.DUMMYFUNCTION("""COMPUTED_VALUE"""),12.0)</f>
        <v>12</v>
      </c>
      <c r="F28" s="2">
        <f>IFERROR(__xludf.DUMMYFUNCTION("""COMPUTED_VALUE"""),76.0)</f>
        <v>76</v>
      </c>
      <c r="G28" s="2">
        <f>IFERROR(__xludf.DUMMYFUNCTION("""COMPUTED_VALUE"""),88.0)</f>
        <v>88</v>
      </c>
      <c r="H28" s="7">
        <f>IFERROR(__xludf.DUMMYFUNCTION("""COMPUTED_VALUE"""),2.43)</f>
        <v>2.43</v>
      </c>
      <c r="I28" s="2">
        <f>IFERROR(__xludf.DUMMYFUNCTION("""COMPUTED_VALUE"""),9.22)</f>
        <v>9.22</v>
      </c>
      <c r="J28" s="4">
        <f>IFERROR(__xludf.DUMMYFUNCTION("""COMPUTED_VALUE"""),6.72)</f>
        <v>6.72</v>
      </c>
      <c r="K28" s="8">
        <f>IFERROR(__xludf.DUMMYFUNCTION("""COMPUTED_VALUE"""),-0.0175)</f>
        <v>-0.0175</v>
      </c>
    </row>
    <row r="29" ht="15.75" customHeight="1">
      <c r="C29" s="2" t="str">
        <f>IFERROR(__xludf.DUMMYFUNCTION("""COMPUTED_VALUE"""),"Burundi [+]")</f>
        <v>Burundi [+]</v>
      </c>
      <c r="D29" s="2">
        <f>IFERROR(__xludf.DUMMYFUNCTION("""COMPUTED_VALUE"""),2014.0)</f>
        <v>2014</v>
      </c>
      <c r="E29" s="2">
        <f>IFERROR(__xludf.DUMMYFUNCTION("""COMPUTED_VALUE"""),221.0)</f>
        <v>221</v>
      </c>
      <c r="F29" s="2">
        <f>IFERROR(__xludf.DUMMYFUNCTION("""COMPUTED_VALUE"""),668.0)</f>
        <v>668</v>
      </c>
      <c r="G29" s="2">
        <f>IFERROR(__xludf.DUMMYFUNCTION("""COMPUTED_VALUE"""),889.0)</f>
        <v>889</v>
      </c>
      <c r="H29" s="7">
        <f>IFERROR(__xludf.DUMMYFUNCTION("""COMPUTED_VALUE"""),4.45)</f>
        <v>4.45</v>
      </c>
      <c r="I29" s="2">
        <f>IFERROR(__xludf.DUMMYFUNCTION("""COMPUTED_VALUE"""),13.7)</f>
        <v>13.7</v>
      </c>
      <c r="J29" s="4">
        <f>IFERROR(__xludf.DUMMYFUNCTION("""COMPUTED_VALUE"""),8.97)</f>
        <v>8.97</v>
      </c>
      <c r="K29" s="8">
        <f>IFERROR(__xludf.DUMMYFUNCTION("""COMPUTED_VALUE"""),-0.0164)</f>
        <v>-0.0164</v>
      </c>
    </row>
    <row r="30" ht="15.75" customHeight="1">
      <c r="C30" s="2" t="str">
        <f>IFERROR(__xludf.DUMMYFUNCTION("""COMPUTED_VALUE"""),"Benin [+]")</f>
        <v>Benin [+]</v>
      </c>
      <c r="D30" s="5">
        <f>IFERROR(__xludf.DUMMYFUNCTION("""COMPUTED_VALUE"""),2014.0)</f>
        <v>2014</v>
      </c>
      <c r="E30" s="2">
        <f>IFERROR(__xludf.DUMMYFUNCTION("""COMPUTED_VALUE"""),288.0)</f>
        <v>288</v>
      </c>
      <c r="F30" s="6">
        <f>IFERROR(__xludf.DUMMYFUNCTION("""COMPUTED_VALUE"""),696.0)</f>
        <v>696</v>
      </c>
      <c r="G30" s="2">
        <f>IFERROR(__xludf.DUMMYFUNCTION("""COMPUTED_VALUE"""),985.0)</f>
        <v>985</v>
      </c>
      <c r="H30" s="7">
        <f>IFERROR(__xludf.DUMMYFUNCTION("""COMPUTED_VALUE"""),5.58)</f>
        <v>5.58</v>
      </c>
      <c r="I30" s="2">
        <f>IFERROR(__xludf.DUMMYFUNCTION("""COMPUTED_VALUE"""),13.59)</f>
        <v>13.59</v>
      </c>
      <c r="J30" s="4">
        <f>IFERROR(__xludf.DUMMYFUNCTION("""COMPUTED_VALUE"""),9.57)</f>
        <v>9.57</v>
      </c>
      <c r="K30" s="8">
        <f>IFERROR(__xludf.DUMMYFUNCTION("""COMPUTED_VALUE"""),0.0042)</f>
        <v>0.0042</v>
      </c>
    </row>
    <row r="31" ht="15.75" customHeight="1">
      <c r="C31" s="2" t="str">
        <f>IFERROR(__xludf.DUMMYFUNCTION("""COMPUTED_VALUE"""),"Brunéi [+]")</f>
        <v>Brunéi [+]</v>
      </c>
      <c r="D31" s="2">
        <f>IFERROR(__xludf.DUMMYFUNCTION("""COMPUTED_VALUE"""),2014.0)</f>
        <v>2014</v>
      </c>
      <c r="E31" s="2">
        <f>IFERROR(__xludf.DUMMYFUNCTION("""COMPUTED_VALUE"""),3.0)</f>
        <v>3</v>
      </c>
      <c r="F31" s="2">
        <f>IFERROR(__xludf.DUMMYFUNCTION("""COMPUTED_VALUE"""),2.0)</f>
        <v>2</v>
      </c>
      <c r="G31" s="2">
        <f>IFERROR(__xludf.DUMMYFUNCTION("""COMPUTED_VALUE"""),5.0)</f>
        <v>5</v>
      </c>
      <c r="H31" s="7">
        <f>IFERROR(__xludf.DUMMYFUNCTION("""COMPUTED_VALUE"""),1.31)</f>
        <v>1.31</v>
      </c>
      <c r="I31" s="2">
        <f>IFERROR(__xludf.DUMMYFUNCTION("""COMPUTED_VALUE"""),1.08)</f>
        <v>1.08</v>
      </c>
      <c r="J31" s="4">
        <f>IFERROR(__xludf.DUMMYFUNCTION("""COMPUTED_VALUE"""),1.2)</f>
        <v>1.2</v>
      </c>
      <c r="K31" s="8">
        <f>IFERROR(__xludf.DUMMYFUNCTION("""COMPUTED_VALUE"""),-0.0769)</f>
        <v>-0.0769</v>
      </c>
    </row>
    <row r="32" ht="15.75" customHeight="1">
      <c r="C32" s="2" t="str">
        <f>IFERROR(__xludf.DUMMYFUNCTION("""COMPUTED_VALUE"""),"Bolivia [+]")</f>
        <v>Bolivia [+]</v>
      </c>
      <c r="D32" s="2">
        <f>IFERROR(__xludf.DUMMYFUNCTION("""COMPUTED_VALUE"""),2014.0)</f>
        <v>2014</v>
      </c>
      <c r="E32" s="5">
        <f>IFERROR(__xludf.DUMMYFUNCTION("""COMPUTED_VALUE"""),704.0)</f>
        <v>704</v>
      </c>
      <c r="F32" s="6">
        <f>IFERROR(__xludf.DUMMYFUNCTION("""COMPUTED_VALUE"""),1300.0)</f>
        <v>1300</v>
      </c>
      <c r="G32" s="6">
        <f>IFERROR(__xludf.DUMMYFUNCTION("""COMPUTED_VALUE"""),2004.0)</f>
        <v>2004</v>
      </c>
      <c r="H32" s="7">
        <f>IFERROR(__xludf.DUMMYFUNCTION("""COMPUTED_VALUE"""),13.22)</f>
        <v>13.22</v>
      </c>
      <c r="I32" s="2">
        <f>IFERROR(__xludf.DUMMYFUNCTION("""COMPUTED_VALUE"""),24.16)</f>
        <v>24.16</v>
      </c>
      <c r="J32" s="4">
        <f>IFERROR(__xludf.DUMMYFUNCTION("""COMPUTED_VALUE"""),18.79)</f>
        <v>18.79</v>
      </c>
      <c r="K32" s="8">
        <f>IFERROR(__xludf.DUMMYFUNCTION("""COMPUTED_VALUE"""),-0.0069)</f>
        <v>-0.0069</v>
      </c>
    </row>
    <row r="33" ht="15.75" customHeight="1">
      <c r="C33" s="2" t="str">
        <f>IFERROR(__xludf.DUMMYFUNCTION("""COMPUTED_VALUE"""),"Brasil [+]")</f>
        <v>Brasil [+]</v>
      </c>
      <c r="D33" s="2">
        <f>IFERROR(__xludf.DUMMYFUNCTION("""COMPUTED_VALUE"""),2014.0)</f>
        <v>2014</v>
      </c>
      <c r="E33" s="6">
        <f>IFERROR(__xludf.DUMMYFUNCTION("""COMPUTED_VALUE"""),2233.0)</f>
        <v>2233</v>
      </c>
      <c r="F33" s="6">
        <f>IFERROR(__xludf.DUMMYFUNCTION("""COMPUTED_VALUE"""),8419.0)</f>
        <v>8419</v>
      </c>
      <c r="G33" s="6">
        <f>IFERROR(__xludf.DUMMYFUNCTION("""COMPUTED_VALUE"""),10652.0)</f>
        <v>10652</v>
      </c>
      <c r="H33" s="7">
        <f>IFERROR(__xludf.DUMMYFUNCTION("""COMPUTED_VALUE"""),2.2)</f>
        <v>2.2</v>
      </c>
      <c r="I33" s="2">
        <f>IFERROR(__xludf.DUMMYFUNCTION("""COMPUTED_VALUE"""),8.5)</f>
        <v>8.5</v>
      </c>
      <c r="J33" s="4">
        <f>IFERROR(__xludf.DUMMYFUNCTION("""COMPUTED_VALUE"""),5.3)</f>
        <v>5.3</v>
      </c>
      <c r="K33" s="4">
        <f>IFERROR(__xludf.DUMMYFUNCTION("""COMPUTED_VALUE"""),0.0)</f>
        <v>0</v>
      </c>
    </row>
    <row r="34" ht="15.75" customHeight="1">
      <c r="C34" s="2" t="str">
        <f>IFERROR(__xludf.DUMMYFUNCTION("""COMPUTED_VALUE"""),"Bahamas [+]")</f>
        <v>Bahamas [+]</v>
      </c>
      <c r="D34" s="2">
        <f>IFERROR(__xludf.DUMMYFUNCTION("""COMPUTED_VALUE"""),2014.0)</f>
        <v>2014</v>
      </c>
      <c r="E34" s="2">
        <f>IFERROR(__xludf.DUMMYFUNCTION("""COMPUTED_VALUE"""),1.0)</f>
        <v>1</v>
      </c>
      <c r="F34" s="2">
        <f>IFERROR(__xludf.DUMMYFUNCTION("""COMPUTED_VALUE"""),6.0)</f>
        <v>6</v>
      </c>
      <c r="G34" s="2">
        <f>IFERROR(__xludf.DUMMYFUNCTION("""COMPUTED_VALUE"""),7.0)</f>
        <v>7</v>
      </c>
      <c r="H34" s="7">
        <f>IFERROR(__xludf.DUMMYFUNCTION("""COMPUTED_VALUE"""),0.45)</f>
        <v>0.45</v>
      </c>
      <c r="I34" s="2">
        <f>IFERROR(__xludf.DUMMYFUNCTION("""COMPUTED_VALUE"""),3.49)</f>
        <v>3.49</v>
      </c>
      <c r="J34" s="4">
        <f>IFERROR(__xludf.DUMMYFUNCTION("""COMPUTED_VALUE"""),1.98)</f>
        <v>1.98</v>
      </c>
      <c r="K34" s="8">
        <f>IFERROR(__xludf.DUMMYFUNCTION("""COMPUTED_VALUE"""),0.082)</f>
        <v>0.082</v>
      </c>
    </row>
    <row r="35" ht="15.75" customHeight="1">
      <c r="C35" s="2" t="str">
        <f>IFERROR(__xludf.DUMMYFUNCTION("""COMPUTED_VALUE"""),"Bután [+]")</f>
        <v>Bután [+]</v>
      </c>
      <c r="D35" s="2">
        <f>IFERROR(__xludf.DUMMYFUNCTION("""COMPUTED_VALUE"""),2014.0)</f>
        <v>2014</v>
      </c>
      <c r="E35" s="2">
        <f>IFERROR(__xludf.DUMMYFUNCTION("""COMPUTED_VALUE"""),34.0)</f>
        <v>34</v>
      </c>
      <c r="F35" s="2">
        <f>IFERROR(__xludf.DUMMYFUNCTION("""COMPUTED_VALUE"""),56.0)</f>
        <v>56</v>
      </c>
      <c r="G35" s="2">
        <f>IFERROR(__xludf.DUMMYFUNCTION("""COMPUTED_VALUE"""),90.0)</f>
        <v>90</v>
      </c>
      <c r="H35" s="7">
        <f>IFERROR(__xludf.DUMMYFUNCTION("""COMPUTED_VALUE"""),9.94)</f>
        <v>9.94</v>
      </c>
      <c r="I35" s="2">
        <f>IFERROR(__xludf.DUMMYFUNCTION("""COMPUTED_VALUE"""),14.8)</f>
        <v>14.8</v>
      </c>
      <c r="J35" s="4">
        <f>IFERROR(__xludf.DUMMYFUNCTION("""COMPUTED_VALUE"""),12.84)</f>
        <v>12.84</v>
      </c>
      <c r="K35" s="8">
        <f>IFERROR(__xludf.DUMMYFUNCTION("""COMPUTED_VALUE"""),0.0071)</f>
        <v>0.0071</v>
      </c>
    </row>
    <row r="36" ht="15.75" customHeight="1">
      <c r="C36" s="2" t="str">
        <f>IFERROR(__xludf.DUMMYFUNCTION("""COMPUTED_VALUE"""),"Botsuana [+]")</f>
        <v>Botsuana [+]</v>
      </c>
      <c r="D36" s="5">
        <f>IFERROR(__xludf.DUMMYFUNCTION("""COMPUTED_VALUE"""),2014.0)</f>
        <v>2014</v>
      </c>
      <c r="E36" s="2">
        <f>IFERROR(__xludf.DUMMYFUNCTION("""COMPUTED_VALUE"""),52.0)</f>
        <v>52</v>
      </c>
      <c r="F36" s="6">
        <f>IFERROR(__xludf.DUMMYFUNCTION("""COMPUTED_VALUE"""),168.0)</f>
        <v>168</v>
      </c>
      <c r="G36" s="2">
        <f>IFERROR(__xludf.DUMMYFUNCTION("""COMPUTED_VALUE"""),220.0)</f>
        <v>220</v>
      </c>
      <c r="H36" s="7">
        <f>IFERROR(__xludf.DUMMYFUNCTION("""COMPUTED_VALUE"""),4.8)</f>
        <v>4.8</v>
      </c>
      <c r="I36" s="2">
        <f>IFERROR(__xludf.DUMMYFUNCTION("""COMPUTED_VALUE"""),16.68)</f>
        <v>16.68</v>
      </c>
      <c r="J36" s="4">
        <f>IFERROR(__xludf.DUMMYFUNCTION("""COMPUTED_VALUE"""),10.53)</f>
        <v>10.53</v>
      </c>
      <c r="K36" s="8">
        <f>IFERROR(__xludf.DUMMYFUNCTION("""COMPUTED_VALUE"""),-0.0196)</f>
        <v>-0.0196</v>
      </c>
    </row>
    <row r="37" ht="15.75" customHeight="1">
      <c r="C37" s="2" t="str">
        <f>IFERROR(__xludf.DUMMYFUNCTION("""COMPUTED_VALUE"""),"Bielorrusia [+]")</f>
        <v>Bielorrusia [+]</v>
      </c>
      <c r="D37" s="2">
        <f>IFERROR(__xludf.DUMMYFUNCTION("""COMPUTED_VALUE"""),2014.0)</f>
        <v>2014</v>
      </c>
      <c r="E37" s="2">
        <f>IFERROR(__xludf.DUMMYFUNCTION("""COMPUTED_VALUE"""),327.0)</f>
        <v>327</v>
      </c>
      <c r="F37" s="6">
        <f>IFERROR(__xludf.DUMMYFUNCTION("""COMPUTED_VALUE"""),1748.0)</f>
        <v>1748</v>
      </c>
      <c r="G37" s="6">
        <f>IFERROR(__xludf.DUMMYFUNCTION("""COMPUTED_VALUE"""),2075.0)</f>
        <v>2075</v>
      </c>
      <c r="H37" s="7">
        <f>IFERROR(__xludf.DUMMYFUNCTION("""COMPUTED_VALUE"""),6.45)</f>
        <v>6.45</v>
      </c>
      <c r="I37" s="2">
        <f>IFERROR(__xludf.DUMMYFUNCTION("""COMPUTED_VALUE"""),39.65)</f>
        <v>39.65</v>
      </c>
      <c r="J37" s="4">
        <f>IFERROR(__xludf.DUMMYFUNCTION("""COMPUTED_VALUE"""),21.89)</f>
        <v>21.89</v>
      </c>
      <c r="K37" s="8">
        <f>IFERROR(__xludf.DUMMYFUNCTION("""COMPUTED_VALUE"""),-0.0669)</f>
        <v>-0.0669</v>
      </c>
    </row>
    <row r="38" ht="15.75" customHeight="1">
      <c r="C38" s="2" t="str">
        <f>IFERROR(__xludf.DUMMYFUNCTION("""COMPUTED_VALUE"""),"Belice [+]")</f>
        <v>Belice [+]</v>
      </c>
      <c r="D38" s="5">
        <f>IFERROR(__xludf.DUMMYFUNCTION("""COMPUTED_VALUE"""),2014.0)</f>
        <v>2014</v>
      </c>
      <c r="E38" s="2">
        <f>IFERROR(__xludf.DUMMYFUNCTION("""COMPUTED_VALUE"""),6.0)</f>
        <v>6</v>
      </c>
      <c r="F38" s="6">
        <f>IFERROR(__xludf.DUMMYFUNCTION("""COMPUTED_VALUE"""),21.0)</f>
        <v>21</v>
      </c>
      <c r="G38" s="2">
        <f>IFERROR(__xludf.DUMMYFUNCTION("""COMPUTED_VALUE"""),26.0)</f>
        <v>26</v>
      </c>
      <c r="H38" s="7">
        <f>IFERROR(__xludf.DUMMYFUNCTION("""COMPUTED_VALUE"""),3.21)</f>
        <v>3.21</v>
      </c>
      <c r="I38" s="2">
        <f>IFERROR(__xludf.DUMMYFUNCTION("""COMPUTED_VALUE"""),11.62)</f>
        <v>11.62</v>
      </c>
      <c r="J38" s="4">
        <f>IFERROR(__xludf.DUMMYFUNCTION("""COMPUTED_VALUE"""),7.29)</f>
        <v>7.29</v>
      </c>
      <c r="K38" s="8">
        <f>IFERROR(__xludf.DUMMYFUNCTION("""COMPUTED_VALUE"""),0.0196)</f>
        <v>0.0196</v>
      </c>
    </row>
    <row r="39" ht="15.75" customHeight="1">
      <c r="C39" s="2" t="str">
        <f>IFERROR(__xludf.DUMMYFUNCTION("""COMPUTED_VALUE"""),"Canadá [+]")</f>
        <v>Canadá [+]</v>
      </c>
      <c r="D39" s="5">
        <f>IFERROR(__xludf.DUMMYFUNCTION("""COMPUTED_VALUE"""),2014.0)</f>
        <v>2014</v>
      </c>
      <c r="E39" s="6">
        <f>IFERROR(__xludf.DUMMYFUNCTION("""COMPUTED_VALUE"""),1094.0)</f>
        <v>1094</v>
      </c>
      <c r="F39" s="6">
        <f>IFERROR(__xludf.DUMMYFUNCTION("""COMPUTED_VALUE"""),3156.0)</f>
        <v>3156</v>
      </c>
      <c r="G39" s="6">
        <f>IFERROR(__xludf.DUMMYFUNCTION("""COMPUTED_VALUE"""),4250.0)</f>
        <v>4250</v>
      </c>
      <c r="H39" s="7">
        <f>IFERROR(__xludf.DUMMYFUNCTION("""COMPUTED_VALUE"""),6.1)</f>
        <v>6.1</v>
      </c>
      <c r="I39" s="2">
        <f>IFERROR(__xludf.DUMMYFUNCTION("""COMPUTED_VALUE"""),18.0)</f>
        <v>18</v>
      </c>
      <c r="J39" s="4">
        <f>IFERROR(__xludf.DUMMYFUNCTION("""COMPUTED_VALUE"""),12.0)</f>
        <v>12</v>
      </c>
      <c r="K39" s="8">
        <f>IFERROR(__xludf.DUMMYFUNCTION("""COMPUTED_VALUE"""),0.0435)</f>
        <v>0.0435</v>
      </c>
    </row>
    <row r="40" ht="15.75" customHeight="1">
      <c r="C40" s="2" t="str">
        <f>IFERROR(__xludf.DUMMYFUNCTION("""COMPUTED_VALUE"""),"República Democrática del Congo [+]")</f>
        <v>República Democrática del Congo [+]</v>
      </c>
      <c r="D40" s="5">
        <f>IFERROR(__xludf.DUMMYFUNCTION("""COMPUTED_VALUE"""),2014.0)</f>
        <v>2014</v>
      </c>
      <c r="E40" s="6">
        <f>IFERROR(__xludf.DUMMYFUNCTION("""COMPUTED_VALUE"""),2206.0)</f>
        <v>2206</v>
      </c>
      <c r="F40" s="6">
        <f>IFERROR(__xludf.DUMMYFUNCTION("""COMPUTED_VALUE"""),5050.0)</f>
        <v>5050</v>
      </c>
      <c r="G40" s="6">
        <f>IFERROR(__xludf.DUMMYFUNCTION("""COMPUTED_VALUE"""),7256.0)</f>
        <v>7256</v>
      </c>
      <c r="H40" s="7">
        <f>IFERROR(__xludf.DUMMYFUNCTION("""COMPUTED_VALUE"""),5.96)</f>
        <v>5.96</v>
      </c>
      <c r="I40" s="2">
        <f>IFERROR(__xludf.DUMMYFUNCTION("""COMPUTED_VALUE"""),13.73)</f>
        <v>13.73</v>
      </c>
      <c r="J40" s="4">
        <f>IFERROR(__xludf.DUMMYFUNCTION("""COMPUTED_VALUE"""),9.69)</f>
        <v>9.69</v>
      </c>
      <c r="K40" s="8">
        <f>IFERROR(__xludf.DUMMYFUNCTION("""COMPUTED_VALUE"""),0.02)</f>
        <v>0.02</v>
      </c>
    </row>
    <row r="41" ht="15.75" customHeight="1">
      <c r="C41" s="2" t="str">
        <f>IFERROR(__xludf.DUMMYFUNCTION("""COMPUTED_VALUE"""),"República Centroafricana [+]")</f>
        <v>República Centroafricana [+]</v>
      </c>
      <c r="D41" s="2">
        <f>IFERROR(__xludf.DUMMYFUNCTION("""COMPUTED_VALUE"""),2014.0)</f>
        <v>2014</v>
      </c>
      <c r="E41" s="2">
        <f>IFERROR(__xludf.DUMMYFUNCTION("""COMPUTED_VALUE"""),206.0)</f>
        <v>206</v>
      </c>
      <c r="F41" s="2">
        <f>IFERROR(__xludf.DUMMYFUNCTION("""COMPUTED_VALUE"""),648.0)</f>
        <v>648</v>
      </c>
      <c r="G41" s="2">
        <f>IFERROR(__xludf.DUMMYFUNCTION("""COMPUTED_VALUE"""),854.0)</f>
        <v>854</v>
      </c>
      <c r="H41" s="7">
        <f>IFERROR(__xludf.DUMMYFUNCTION("""COMPUTED_VALUE"""),9.16)</f>
        <v>9.16</v>
      </c>
      <c r="I41" s="2">
        <f>IFERROR(__xludf.DUMMYFUNCTION("""COMPUTED_VALUE"""),29.28)</f>
        <v>29.28</v>
      </c>
      <c r="J41" s="4">
        <f>IFERROR(__xludf.DUMMYFUNCTION("""COMPUTED_VALUE"""),19.13)</f>
        <v>19.13</v>
      </c>
      <c r="K41" s="8">
        <f>IFERROR(__xludf.DUMMYFUNCTION("""COMPUTED_VALUE"""),-0.0129)</f>
        <v>-0.0129</v>
      </c>
    </row>
    <row r="42" ht="15.75" customHeight="1">
      <c r="C42" s="2" t="str">
        <f>IFERROR(__xludf.DUMMYFUNCTION("""COMPUTED_VALUE"""),"República del Congo [+]")</f>
        <v>República del Congo [+]</v>
      </c>
      <c r="D42" s="2">
        <f>IFERROR(__xludf.DUMMYFUNCTION("""COMPUTED_VALUE"""),2014.0)</f>
        <v>2014</v>
      </c>
      <c r="E42" s="2">
        <f>IFERROR(__xludf.DUMMYFUNCTION("""COMPUTED_VALUE"""),112.0)</f>
        <v>112</v>
      </c>
      <c r="F42" s="2">
        <f>IFERROR(__xludf.DUMMYFUNCTION("""COMPUTED_VALUE"""),330.0)</f>
        <v>330</v>
      </c>
      <c r="G42" s="2">
        <f>IFERROR(__xludf.DUMMYFUNCTION("""COMPUTED_VALUE"""),442.0)</f>
        <v>442</v>
      </c>
      <c r="H42" s="7">
        <f>IFERROR(__xludf.DUMMYFUNCTION("""COMPUTED_VALUE"""),4.72)</f>
        <v>4.72</v>
      </c>
      <c r="I42" s="2">
        <f>IFERROR(__xludf.DUMMYFUNCTION("""COMPUTED_VALUE"""),13.99)</f>
        <v>13.99</v>
      </c>
      <c r="J42" s="4">
        <f>IFERROR(__xludf.DUMMYFUNCTION("""COMPUTED_VALUE"""),10.96)</f>
        <v>10.96</v>
      </c>
      <c r="K42" s="8">
        <f>IFERROR(__xludf.DUMMYFUNCTION("""COMPUTED_VALUE"""),-0.0352)</f>
        <v>-0.0352</v>
      </c>
    </row>
    <row r="43" ht="15.75" customHeight="1">
      <c r="C43" s="2" t="str">
        <f>IFERROR(__xludf.DUMMYFUNCTION("""COMPUTED_VALUE"""),"Suiza [+]")</f>
        <v>Suiza [+]</v>
      </c>
      <c r="D43" s="5">
        <f>IFERROR(__xludf.DUMMYFUNCTION("""COMPUTED_VALUE"""),2014.0)</f>
        <v>2014</v>
      </c>
      <c r="E43" s="2">
        <f>IFERROR(__xludf.DUMMYFUNCTION("""COMPUTED_VALUE"""),286.0)</f>
        <v>286</v>
      </c>
      <c r="F43" s="6">
        <f>IFERROR(__xludf.DUMMYFUNCTION("""COMPUTED_VALUE"""),781.0)</f>
        <v>781</v>
      </c>
      <c r="G43" s="6">
        <f>IFERROR(__xludf.DUMMYFUNCTION("""COMPUTED_VALUE"""),1067.0)</f>
        <v>1067</v>
      </c>
      <c r="H43" s="7">
        <f>IFERROR(__xludf.DUMMYFUNCTION("""COMPUTED_VALUE"""),6.76)</f>
        <v>6.76</v>
      </c>
      <c r="I43" s="2">
        <f>IFERROR(__xludf.DUMMYFUNCTION("""COMPUTED_VALUE"""),18.9)</f>
        <v>18.9</v>
      </c>
      <c r="J43" s="4">
        <f>IFERROR(__xludf.DUMMYFUNCTION("""COMPUTED_VALUE"""),12.77)</f>
        <v>12.77</v>
      </c>
      <c r="K43" s="8">
        <f>IFERROR(__xludf.DUMMYFUNCTION("""COMPUTED_VALUE"""),-0.042)</f>
        <v>-0.042</v>
      </c>
    </row>
    <row r="44" ht="15.75" customHeight="1">
      <c r="C44" s="2" t="str">
        <f>IFERROR(__xludf.DUMMYFUNCTION("""COMPUTED_VALUE"""),"Costa de Marfil [+]")</f>
        <v>Costa de Marfil [+]</v>
      </c>
      <c r="D44" s="2">
        <f>IFERROR(__xludf.DUMMYFUNCTION("""COMPUTED_VALUE"""),2014.0)</f>
        <v>2014</v>
      </c>
      <c r="E44" s="6">
        <f>IFERROR(__xludf.DUMMYFUNCTION("""COMPUTED_VALUE"""),1048.0)</f>
        <v>1048</v>
      </c>
      <c r="F44" s="6">
        <f>IFERROR(__xludf.DUMMYFUNCTION("""COMPUTED_VALUE"""),2923.0)</f>
        <v>2923</v>
      </c>
      <c r="G44" s="6">
        <f>IFERROR(__xludf.DUMMYFUNCTION("""COMPUTED_VALUE"""),3970.0)</f>
        <v>3970</v>
      </c>
      <c r="H44" s="7">
        <f>IFERROR(__xludf.DUMMYFUNCTION("""COMPUTED_VALUE"""),9.37)</f>
        <v>9.37</v>
      </c>
      <c r="I44" s="2">
        <f>IFERROR(__xludf.DUMMYFUNCTION("""COMPUTED_VALUE"""),25.5)</f>
        <v>25.5</v>
      </c>
      <c r="J44" s="4">
        <f>IFERROR(__xludf.DUMMYFUNCTION("""COMPUTED_VALUE"""),17.18)</f>
        <v>17.18</v>
      </c>
      <c r="K44" s="8">
        <f>IFERROR(__xludf.DUMMYFUNCTION("""COMPUTED_VALUE"""),0.0047)</f>
        <v>0.0047</v>
      </c>
    </row>
    <row r="45" ht="15.75" customHeight="1">
      <c r="C45" s="2" t="str">
        <f>IFERROR(__xludf.DUMMYFUNCTION("""COMPUTED_VALUE"""),"Chile [+]")</f>
        <v>Chile [+]</v>
      </c>
      <c r="D45" s="5">
        <f>IFERROR(__xludf.DUMMYFUNCTION("""COMPUTED_VALUE"""),2014.0)</f>
        <v>2014</v>
      </c>
      <c r="E45" s="2">
        <f>IFERROR(__xludf.DUMMYFUNCTION("""COMPUTED_VALUE"""),314.0)</f>
        <v>314</v>
      </c>
      <c r="F45" s="6">
        <f>IFERROR(__xludf.DUMMYFUNCTION("""COMPUTED_VALUE"""),1475.0)</f>
        <v>1475</v>
      </c>
      <c r="G45" s="6">
        <f>IFERROR(__xludf.DUMMYFUNCTION("""COMPUTED_VALUE"""),1789.0)</f>
        <v>1789</v>
      </c>
      <c r="H45" s="7">
        <f>IFERROR(__xludf.DUMMYFUNCTION("""COMPUTED_VALUE"""),3.5)</f>
        <v>3.5</v>
      </c>
      <c r="I45" s="2">
        <f>IFERROR(__xludf.DUMMYFUNCTION("""COMPUTED_VALUE"""),16.8)</f>
        <v>16.8</v>
      </c>
      <c r="J45" s="4">
        <f>IFERROR(__xludf.DUMMYFUNCTION("""COMPUTED_VALUE"""),10.1)</f>
        <v>10.1</v>
      </c>
      <c r="K45" s="8">
        <f>IFERROR(__xludf.DUMMYFUNCTION("""COMPUTED_VALUE"""),0.0202)</f>
        <v>0.0202</v>
      </c>
    </row>
    <row r="46" ht="15.75" customHeight="1">
      <c r="C46" s="2" t="str">
        <f>IFERROR(__xludf.DUMMYFUNCTION("""COMPUTED_VALUE"""),"Camerún [+]")</f>
        <v>Camerún [+]</v>
      </c>
      <c r="D46" s="2">
        <f>IFERROR(__xludf.DUMMYFUNCTION("""COMPUTED_VALUE"""),2014.0)</f>
        <v>2014</v>
      </c>
      <c r="E46" s="2">
        <f>IFERROR(__xludf.DUMMYFUNCTION("""COMPUTED_VALUE"""),638.0)</f>
        <v>638</v>
      </c>
      <c r="F46" s="6">
        <f>IFERROR(__xludf.DUMMYFUNCTION("""COMPUTED_VALUE"""),2105.0)</f>
        <v>2105</v>
      </c>
      <c r="G46" s="6">
        <f>IFERROR(__xludf.DUMMYFUNCTION("""COMPUTED_VALUE"""),2743.0)</f>
        <v>2743</v>
      </c>
      <c r="H46" s="7">
        <f>IFERROR(__xludf.DUMMYFUNCTION("""COMPUTED_VALUE"""),5.62)</f>
        <v>5.62</v>
      </c>
      <c r="I46" s="2">
        <f>IFERROR(__xludf.DUMMYFUNCTION("""COMPUTED_VALUE"""),18.58)</f>
        <v>18.58</v>
      </c>
      <c r="J46" s="4">
        <f>IFERROR(__xludf.DUMMYFUNCTION("""COMPUTED_VALUE"""),12.09)</f>
        <v>12.09</v>
      </c>
      <c r="K46" s="8">
        <f>IFERROR(__xludf.DUMMYFUNCTION("""COMPUTED_VALUE"""),-8.0E-4)</f>
        <v>-0.0008</v>
      </c>
    </row>
    <row r="47" ht="15.75" customHeight="1">
      <c r="C47" s="2" t="str">
        <f>IFERROR(__xludf.DUMMYFUNCTION("""COMPUTED_VALUE"""),"Colombia [+]")</f>
        <v>Colombia [+]</v>
      </c>
      <c r="D47" s="2">
        <f>IFERROR(__xludf.DUMMYFUNCTION("""COMPUTED_VALUE"""),2014.0)</f>
        <v>2014</v>
      </c>
      <c r="E47" s="2">
        <f>IFERROR(__xludf.DUMMYFUNCTION("""COMPUTED_VALUE"""),372.0)</f>
        <v>372</v>
      </c>
      <c r="F47" s="6">
        <f>IFERROR(__xludf.DUMMYFUNCTION("""COMPUTED_VALUE"""),1764.0)</f>
        <v>1764</v>
      </c>
      <c r="G47" s="6">
        <f>IFERROR(__xludf.DUMMYFUNCTION("""COMPUTED_VALUE"""),2136.0)</f>
        <v>2136</v>
      </c>
      <c r="H47" s="7">
        <f>IFERROR(__xludf.DUMMYFUNCTION("""COMPUTED_VALUE"""),1.5)</f>
        <v>1.5</v>
      </c>
      <c r="I47" s="2">
        <f>IFERROR(__xludf.DUMMYFUNCTION("""COMPUTED_VALUE"""),7.5)</f>
        <v>7.5</v>
      </c>
      <c r="J47" s="4">
        <f>IFERROR(__xludf.DUMMYFUNCTION("""COMPUTED_VALUE"""),4.5)</f>
        <v>4.5</v>
      </c>
      <c r="K47" s="8">
        <f>IFERROR(__xludf.DUMMYFUNCTION("""COMPUTED_VALUE"""),0.0227)</f>
        <v>0.0227</v>
      </c>
    </row>
    <row r="48" ht="15.75" customHeight="1">
      <c r="C48" s="2" t="str">
        <f>IFERROR(__xludf.DUMMYFUNCTION("""COMPUTED_VALUE"""),"Costa Rica [+]")</f>
        <v>Costa Rica [+]</v>
      </c>
      <c r="D48" s="2">
        <f>IFERROR(__xludf.DUMMYFUNCTION("""COMPUTED_VALUE"""),2014.0)</f>
        <v>2014</v>
      </c>
      <c r="E48" s="2">
        <f>IFERROR(__xludf.DUMMYFUNCTION("""COMPUTED_VALUE"""),45.0)</f>
        <v>45</v>
      </c>
      <c r="F48" s="2">
        <f>IFERROR(__xludf.DUMMYFUNCTION("""COMPUTED_VALUE"""),223.0)</f>
        <v>223</v>
      </c>
      <c r="G48" s="2">
        <f>IFERROR(__xludf.DUMMYFUNCTION("""COMPUTED_VALUE"""),268.0)</f>
        <v>268</v>
      </c>
      <c r="H48" s="7">
        <f>IFERROR(__xludf.DUMMYFUNCTION("""COMPUTED_VALUE"""),1.9)</f>
        <v>1.9</v>
      </c>
      <c r="I48" s="2">
        <f>IFERROR(__xludf.DUMMYFUNCTION("""COMPUTED_VALUE"""),9.3)</f>
        <v>9.3</v>
      </c>
      <c r="J48" s="4">
        <f>IFERROR(__xludf.DUMMYFUNCTION("""COMPUTED_VALUE"""),5.6)</f>
        <v>5.6</v>
      </c>
      <c r="K48" s="8">
        <f>IFERROR(__xludf.DUMMYFUNCTION("""COMPUTED_VALUE"""),-0.1515)</f>
        <v>-0.1515</v>
      </c>
    </row>
    <row r="49" ht="15.75" customHeight="1">
      <c r="C49" s="2" t="str">
        <f>IFERROR(__xludf.DUMMYFUNCTION("""COMPUTED_VALUE"""),"Cuba [+]")</f>
        <v>Cuba [+]</v>
      </c>
      <c r="D49" s="5">
        <f>IFERROR(__xludf.DUMMYFUNCTION("""COMPUTED_VALUE"""),2014.0)</f>
        <v>2014</v>
      </c>
      <c r="E49" s="2">
        <f>IFERROR(__xludf.DUMMYFUNCTION("""COMPUTED_VALUE"""),323.0)</f>
        <v>323</v>
      </c>
      <c r="F49" s="6">
        <f>IFERROR(__xludf.DUMMYFUNCTION("""COMPUTED_VALUE"""),1195.0)</f>
        <v>1195</v>
      </c>
      <c r="G49" s="6">
        <f>IFERROR(__xludf.DUMMYFUNCTION("""COMPUTED_VALUE"""),1519.0)</f>
        <v>1519</v>
      </c>
      <c r="H49" s="7">
        <f>IFERROR(__xludf.DUMMYFUNCTION("""COMPUTED_VALUE"""),5.69)</f>
        <v>5.69</v>
      </c>
      <c r="I49" s="2">
        <f>IFERROR(__xludf.DUMMYFUNCTION("""COMPUTED_VALUE"""),21.27)</f>
        <v>21.27</v>
      </c>
      <c r="J49" s="4">
        <f>IFERROR(__xludf.DUMMYFUNCTION("""COMPUTED_VALUE"""),13.43)</f>
        <v>13.43</v>
      </c>
      <c r="K49" s="8">
        <f>IFERROR(__xludf.DUMMYFUNCTION("""COMPUTED_VALUE"""),-0.0562)</f>
        <v>-0.0562</v>
      </c>
    </row>
    <row r="50" ht="15.75" customHeight="1">
      <c r="C50" s="2" t="str">
        <f>IFERROR(__xludf.DUMMYFUNCTION("""COMPUTED_VALUE"""),"Cabo Verde [+]")</f>
        <v>Cabo Verde [+]</v>
      </c>
      <c r="D50" s="5">
        <f>IFERROR(__xludf.DUMMYFUNCTION("""COMPUTED_VALUE"""),2014.0)</f>
        <v>2014</v>
      </c>
      <c r="E50" s="2">
        <f>IFERROR(__xludf.DUMMYFUNCTION("""COMPUTED_VALUE"""),15.0)</f>
        <v>15</v>
      </c>
      <c r="F50" s="2">
        <f>IFERROR(__xludf.DUMMYFUNCTION("""COMPUTED_VALUE"""),30.0)</f>
        <v>30</v>
      </c>
      <c r="G50" s="2">
        <f>IFERROR(__xludf.DUMMYFUNCTION("""COMPUTED_VALUE"""),46.0)</f>
        <v>46</v>
      </c>
      <c r="H50" s="7">
        <f>IFERROR(__xludf.DUMMYFUNCTION("""COMPUTED_VALUE"""),5.92)</f>
        <v>5.92</v>
      </c>
      <c r="I50" s="2">
        <f>IFERROR(__xludf.DUMMYFUNCTION("""COMPUTED_VALUE"""),11.67)</f>
        <v>11.67</v>
      </c>
      <c r="J50" s="4">
        <f>IFERROR(__xludf.DUMMYFUNCTION("""COMPUTED_VALUE"""),8.67)</f>
        <v>8.67</v>
      </c>
      <c r="K50" s="8">
        <f>IFERROR(__xludf.DUMMYFUNCTION("""COMPUTED_VALUE"""),-0.0091)</f>
        <v>-0.0091</v>
      </c>
    </row>
    <row r="51" ht="15.75" customHeight="1">
      <c r="C51" s="2" t="str">
        <f>IFERROR(__xludf.DUMMYFUNCTION("""COMPUTED_VALUE"""),"Chipre [+]")</f>
        <v>Chipre [+]</v>
      </c>
      <c r="D51" s="2">
        <f>IFERROR(__xludf.DUMMYFUNCTION("""COMPUTED_VALUE"""),2014.0)</f>
        <v>2014</v>
      </c>
      <c r="E51" s="2">
        <f>IFERROR(__xludf.DUMMYFUNCTION("""COMPUTED_VALUE"""),13.0)</f>
        <v>13</v>
      </c>
      <c r="F51" s="2">
        <f>IFERROR(__xludf.DUMMYFUNCTION("""COMPUTED_VALUE"""),30.0)</f>
        <v>30</v>
      </c>
      <c r="G51" s="2">
        <f>IFERROR(__xludf.DUMMYFUNCTION("""COMPUTED_VALUE"""),43.0)</f>
        <v>43</v>
      </c>
      <c r="H51" s="7">
        <f>IFERROR(__xludf.DUMMYFUNCTION("""COMPUTED_VALUE"""),2.51)</f>
        <v>2.51</v>
      </c>
      <c r="I51" s="2">
        <f>IFERROR(__xludf.DUMMYFUNCTION("""COMPUTED_VALUE"""),6.75)</f>
        <v>6.75</v>
      </c>
      <c r="J51" s="4">
        <f>IFERROR(__xludf.DUMMYFUNCTION("""COMPUTED_VALUE"""),4.57)</f>
        <v>4.57</v>
      </c>
      <c r="K51" s="8">
        <f>IFERROR(__xludf.DUMMYFUNCTION("""COMPUTED_VALUE"""),-0.1039)</f>
        <v>-0.1039</v>
      </c>
    </row>
    <row r="52" ht="15.75" customHeight="1">
      <c r="C52" s="2" t="str">
        <f>IFERROR(__xludf.DUMMYFUNCTION("""COMPUTED_VALUE"""),"Chequia [+]")</f>
        <v>Chequia [+]</v>
      </c>
      <c r="D52" s="5">
        <f>IFERROR(__xludf.DUMMYFUNCTION("""COMPUTED_VALUE"""),2014.0)</f>
        <v>2014</v>
      </c>
      <c r="E52" s="2">
        <f>IFERROR(__xludf.DUMMYFUNCTION("""COMPUTED_VALUE"""),298.0)</f>
        <v>298</v>
      </c>
      <c r="F52" s="6">
        <f>IFERROR(__xludf.DUMMYFUNCTION("""COMPUTED_VALUE"""),1225.0)</f>
        <v>1225</v>
      </c>
      <c r="G52" s="6">
        <f>IFERROR(__xludf.DUMMYFUNCTION("""COMPUTED_VALUE"""),1523.0)</f>
        <v>1523</v>
      </c>
      <c r="H52" s="7">
        <f>IFERROR(__xludf.DUMMYFUNCTION("""COMPUTED_VALUE"""),5.47)</f>
        <v>5.47</v>
      </c>
      <c r="I52" s="2">
        <f>IFERROR(__xludf.DUMMYFUNCTION("""COMPUTED_VALUE"""),23.25)</f>
        <v>23.25</v>
      </c>
      <c r="J52" s="4">
        <f>IFERROR(__xludf.DUMMYFUNCTION("""COMPUTED_VALUE"""),14.2)</f>
        <v>14.2</v>
      </c>
      <c r="K52" s="8">
        <f>IFERROR(__xludf.DUMMYFUNCTION("""COMPUTED_VALUE"""),-0.0577)</f>
        <v>-0.0577</v>
      </c>
    </row>
    <row r="53" ht="15.75" customHeight="1">
      <c r="C53" s="2" t="str">
        <f>IFERROR(__xludf.DUMMYFUNCTION("""COMPUTED_VALUE"""),"Yibuti [+]")</f>
        <v>Yibuti [+]</v>
      </c>
      <c r="D53" s="5">
        <f>IFERROR(__xludf.DUMMYFUNCTION("""COMPUTED_VALUE"""),2014.0)</f>
        <v>2014</v>
      </c>
      <c r="E53" s="2">
        <f>IFERROR(__xludf.DUMMYFUNCTION("""COMPUTED_VALUE"""),23.0)</f>
        <v>23</v>
      </c>
      <c r="F53" s="6">
        <f>IFERROR(__xludf.DUMMYFUNCTION("""COMPUTED_VALUE"""),52.0)</f>
        <v>52</v>
      </c>
      <c r="G53" s="2">
        <f>IFERROR(__xludf.DUMMYFUNCTION("""COMPUTED_VALUE"""),75.0)</f>
        <v>75</v>
      </c>
      <c r="H53" s="7">
        <f>IFERROR(__xludf.DUMMYFUNCTION("""COMPUTED_VALUE"""),5.49)</f>
        <v>5.49</v>
      </c>
      <c r="I53" s="2">
        <f>IFERROR(__xludf.DUMMYFUNCTION("""COMPUTED_VALUE"""),10.93)</f>
        <v>10.93</v>
      </c>
      <c r="J53" s="4">
        <f>IFERROR(__xludf.DUMMYFUNCTION("""COMPUTED_VALUE"""),8.37)</f>
        <v>8.37</v>
      </c>
      <c r="K53" s="8">
        <f>IFERROR(__xludf.DUMMYFUNCTION("""COMPUTED_VALUE"""),0.0372)</f>
        <v>0.0372</v>
      </c>
    </row>
    <row r="54" ht="15.75" customHeight="1">
      <c r="C54" s="2" t="str">
        <f>IFERROR(__xludf.DUMMYFUNCTION("""COMPUTED_VALUE"""),"Dinamarca [+]")</f>
        <v>Dinamarca [+]</v>
      </c>
      <c r="D54" s="5">
        <f>IFERROR(__xludf.DUMMYFUNCTION("""COMPUTED_VALUE"""),2014.0)</f>
        <v>2014</v>
      </c>
      <c r="E54" s="2">
        <f>IFERROR(__xludf.DUMMYFUNCTION("""COMPUTED_VALUE"""),166.0)</f>
        <v>166</v>
      </c>
      <c r="F54" s="6">
        <f>IFERROR(__xludf.DUMMYFUNCTION("""COMPUTED_VALUE"""),488.0)</f>
        <v>488</v>
      </c>
      <c r="G54" s="2">
        <f>IFERROR(__xludf.DUMMYFUNCTION("""COMPUTED_VALUE"""),654.0)</f>
        <v>654</v>
      </c>
      <c r="H54" s="7">
        <f>IFERROR(__xludf.DUMMYFUNCTION("""COMPUTED_VALUE"""),5.81)</f>
        <v>5.81</v>
      </c>
      <c r="I54" s="2">
        <f>IFERROR(__xludf.DUMMYFUNCTION("""COMPUTED_VALUE"""),17.31)</f>
        <v>17.31</v>
      </c>
      <c r="J54" s="4">
        <f>IFERROR(__xludf.DUMMYFUNCTION("""COMPUTED_VALUE"""),11.52)</f>
        <v>11.52</v>
      </c>
      <c r="K54" s="8">
        <f>IFERROR(__xludf.DUMMYFUNCTION("""COMPUTED_VALUE"""),0.0521)</f>
        <v>0.0521</v>
      </c>
    </row>
    <row r="55" ht="15.75" customHeight="1">
      <c r="C55" s="2" t="str">
        <f>IFERROR(__xludf.DUMMYFUNCTION("""COMPUTED_VALUE"""),"República Dominicana [+]")</f>
        <v>República Dominicana [+]</v>
      </c>
      <c r="D55" s="2">
        <f>IFERROR(__xludf.DUMMYFUNCTION("""COMPUTED_VALUE"""),2014.0)</f>
        <v>2014</v>
      </c>
      <c r="E55" s="2">
        <f>IFERROR(__xludf.DUMMYFUNCTION("""COMPUTED_VALUE"""),127.0)</f>
        <v>127</v>
      </c>
      <c r="F55" s="2">
        <f>IFERROR(__xludf.DUMMYFUNCTION("""COMPUTED_VALUE"""),569.0)</f>
        <v>569</v>
      </c>
      <c r="G55" s="2">
        <f>IFERROR(__xludf.DUMMYFUNCTION("""COMPUTED_VALUE"""),696.0)</f>
        <v>696</v>
      </c>
      <c r="H55" s="7">
        <f>IFERROR(__xludf.DUMMYFUNCTION("""COMPUTED_VALUE"""),2.5)</f>
        <v>2.5</v>
      </c>
      <c r="I55" s="2">
        <f>IFERROR(__xludf.DUMMYFUNCTION("""COMPUTED_VALUE"""),11.18)</f>
        <v>11.18</v>
      </c>
      <c r="J55" s="4">
        <f>IFERROR(__xludf.DUMMYFUNCTION("""COMPUTED_VALUE"""),7.04)</f>
        <v>7.04</v>
      </c>
      <c r="K55" s="8">
        <f>IFERROR(__xludf.DUMMYFUNCTION("""COMPUTED_VALUE"""),0.0043)</f>
        <v>0.0043</v>
      </c>
    </row>
    <row r="56" ht="15.75" customHeight="1">
      <c r="C56" s="2" t="str">
        <f>IFERROR(__xludf.DUMMYFUNCTION("""COMPUTED_VALUE"""),"Argelia [+]")</f>
        <v>Argelia [+]</v>
      </c>
      <c r="D56" s="5">
        <f>IFERROR(__xludf.DUMMYFUNCTION("""COMPUTED_VALUE"""),2014.0)</f>
        <v>2014</v>
      </c>
      <c r="E56" s="2">
        <f>IFERROR(__xludf.DUMMYFUNCTION("""COMPUTED_VALUE"""),234.0)</f>
        <v>234</v>
      </c>
      <c r="F56" s="6">
        <f>IFERROR(__xludf.DUMMYFUNCTION("""COMPUTED_VALUE"""),978.0)</f>
        <v>978</v>
      </c>
      <c r="G56" s="6">
        <f>IFERROR(__xludf.DUMMYFUNCTION("""COMPUTED_VALUE"""),1212.0)</f>
        <v>1212</v>
      </c>
      <c r="H56" s="7">
        <f>IFERROR(__xludf.DUMMYFUNCTION("""COMPUTED_VALUE"""),1.21)</f>
        <v>1.21</v>
      </c>
      <c r="I56" s="2">
        <f>IFERROR(__xludf.DUMMYFUNCTION("""COMPUTED_VALUE"""),4.98)</f>
        <v>4.98</v>
      </c>
      <c r="J56" s="4">
        <f>IFERROR(__xludf.DUMMYFUNCTION("""COMPUTED_VALUE"""),3.1)</f>
        <v>3.1</v>
      </c>
      <c r="K56" s="8">
        <f>IFERROR(__xludf.DUMMYFUNCTION("""COMPUTED_VALUE"""),-0.0159)</f>
        <v>-0.0159</v>
      </c>
    </row>
    <row r="57" ht="15.75" customHeight="1">
      <c r="C57" s="2" t="str">
        <f>IFERROR(__xludf.DUMMYFUNCTION("""COMPUTED_VALUE"""),"Ecuador [+]")</f>
        <v>Ecuador [+]</v>
      </c>
      <c r="D57" s="2">
        <f>IFERROR(__xludf.DUMMYFUNCTION("""COMPUTED_VALUE"""),2014.0)</f>
        <v>2014</v>
      </c>
      <c r="E57" s="2">
        <f>IFERROR(__xludf.DUMMYFUNCTION("""COMPUTED_VALUE"""),271.0)</f>
        <v>271</v>
      </c>
      <c r="F57" s="6">
        <f>IFERROR(__xludf.DUMMYFUNCTION("""COMPUTED_VALUE"""),1045.0)</f>
        <v>1045</v>
      </c>
      <c r="G57" s="6">
        <f>IFERROR(__xludf.DUMMYFUNCTION("""COMPUTED_VALUE"""),1316.0)</f>
        <v>1316</v>
      </c>
      <c r="H57" s="7">
        <f>IFERROR(__xludf.DUMMYFUNCTION("""COMPUTED_VALUE"""),3.4)</f>
        <v>3.4</v>
      </c>
      <c r="I57" s="2">
        <f>IFERROR(__xludf.DUMMYFUNCTION("""COMPUTED_VALUE"""),13.08)</f>
        <v>13.08</v>
      </c>
      <c r="J57" s="4">
        <f>IFERROR(__xludf.DUMMYFUNCTION("""COMPUTED_VALUE"""),8.21)</f>
        <v>8.21</v>
      </c>
      <c r="K57" s="8">
        <f>IFERROR(__xludf.DUMMYFUNCTION("""COMPUTED_VALUE"""),0.1985)</f>
        <v>0.1985</v>
      </c>
    </row>
    <row r="58" ht="15.75" customHeight="1">
      <c r="C58" s="2" t="str">
        <f>IFERROR(__xludf.DUMMYFUNCTION("""COMPUTED_VALUE"""),"Estonia [+]")</f>
        <v>Estonia [+]</v>
      </c>
      <c r="D58" s="5">
        <f>IFERROR(__xludf.DUMMYFUNCTION("""COMPUTED_VALUE"""),2014.0)</f>
        <v>2014</v>
      </c>
      <c r="E58" s="2">
        <f>IFERROR(__xludf.DUMMYFUNCTION("""COMPUTED_VALUE"""),49.0)</f>
        <v>49</v>
      </c>
      <c r="F58" s="6">
        <f>IFERROR(__xludf.DUMMYFUNCTION("""COMPUTED_VALUE"""),193.0)</f>
        <v>193</v>
      </c>
      <c r="G58" s="2">
        <f>IFERROR(__xludf.DUMMYFUNCTION("""COMPUTED_VALUE"""),242.0)</f>
        <v>242</v>
      </c>
      <c r="H58" s="7">
        <f>IFERROR(__xludf.DUMMYFUNCTION("""COMPUTED_VALUE"""),6.85)</f>
        <v>6.85</v>
      </c>
      <c r="I58" s="2">
        <f>IFERROR(__xludf.DUMMYFUNCTION("""COMPUTED_VALUE"""),31.72)</f>
        <v>31.72</v>
      </c>
      <c r="J58" s="4">
        <f>IFERROR(__xludf.DUMMYFUNCTION("""COMPUTED_VALUE"""),18.47)</f>
        <v>18.47</v>
      </c>
      <c r="K58" s="8">
        <f>IFERROR(__xludf.DUMMYFUNCTION("""COMPUTED_VALUE"""),0.1014)</f>
        <v>0.1014</v>
      </c>
    </row>
    <row r="59" ht="15.75" customHeight="1">
      <c r="C59" s="2" t="str">
        <f>IFERROR(__xludf.DUMMYFUNCTION("""COMPUTED_VALUE"""),"Egipto [+]")</f>
        <v>Egipto [+]</v>
      </c>
      <c r="D59" s="5">
        <f>IFERROR(__xludf.DUMMYFUNCTION("""COMPUTED_VALUE"""),2014.0)</f>
        <v>2014</v>
      </c>
      <c r="E59" s="2">
        <f>IFERROR(__xludf.DUMMYFUNCTION("""COMPUTED_VALUE"""),642.0)</f>
        <v>642</v>
      </c>
      <c r="F59" s="6">
        <f>IFERROR(__xludf.DUMMYFUNCTION("""COMPUTED_VALUE"""),1685.0)</f>
        <v>1685</v>
      </c>
      <c r="G59" s="6">
        <f>IFERROR(__xludf.DUMMYFUNCTION("""COMPUTED_VALUE"""),2327.0)</f>
        <v>2327</v>
      </c>
      <c r="H59" s="7">
        <f>IFERROR(__xludf.DUMMYFUNCTION("""COMPUTED_VALUE"""),1.44)</f>
        <v>1.44</v>
      </c>
      <c r="I59" s="2">
        <f>IFERROR(__xludf.DUMMYFUNCTION("""COMPUTED_VALUE"""),3.69)</f>
        <v>3.69</v>
      </c>
      <c r="J59" s="4">
        <f>IFERROR(__xludf.DUMMYFUNCTION("""COMPUTED_VALUE"""),2.68)</f>
        <v>2.68</v>
      </c>
      <c r="K59" s="8">
        <f>IFERROR(__xludf.DUMMYFUNCTION("""COMPUTED_VALUE"""),0.0113)</f>
        <v>0.0113</v>
      </c>
    </row>
    <row r="60" ht="15.75" customHeight="1">
      <c r="C60" s="2" t="str">
        <f>IFERROR(__xludf.DUMMYFUNCTION("""COMPUTED_VALUE"""),"Eritrea [+]")</f>
        <v>Eritrea [+]</v>
      </c>
      <c r="D60" s="2">
        <f>IFERROR(__xludf.DUMMYFUNCTION("""COMPUTED_VALUE"""),2014.0)</f>
        <v>2014</v>
      </c>
      <c r="E60" s="2">
        <f>IFERROR(__xludf.DUMMYFUNCTION("""COMPUTED_VALUE"""),78.0)</f>
        <v>78</v>
      </c>
      <c r="F60" s="2">
        <f>IFERROR(__xludf.DUMMYFUNCTION("""COMPUTED_VALUE"""),267.0)</f>
        <v>267</v>
      </c>
      <c r="G60" s="2">
        <f>IFERROR(__xludf.DUMMYFUNCTION("""COMPUTED_VALUE"""),344.0)</f>
        <v>344</v>
      </c>
      <c r="H60" s="7">
        <f>IFERROR(__xludf.DUMMYFUNCTION("""COMPUTED_VALUE"""),3.04)</f>
        <v>3.04</v>
      </c>
      <c r="I60" s="2">
        <f>IFERROR(__xludf.DUMMYFUNCTION("""COMPUTED_VALUE"""),10.46)</f>
        <v>10.46</v>
      </c>
      <c r="J60" s="4">
        <f>IFERROR(__xludf.DUMMYFUNCTION("""COMPUTED_VALUE"""),6.75)</f>
        <v>6.75</v>
      </c>
      <c r="K60" s="8">
        <f>IFERROR(__xludf.DUMMYFUNCTION("""COMPUTED_VALUE"""),-0.0059)</f>
        <v>-0.0059</v>
      </c>
    </row>
    <row r="61" ht="15.75" customHeight="1">
      <c r="C61" s="2" t="str">
        <f>IFERROR(__xludf.DUMMYFUNCTION("""COMPUTED_VALUE"""),"Etiopía [+]")</f>
        <v>Etiopía [+]</v>
      </c>
      <c r="D61" s="2">
        <f>IFERROR(__xludf.DUMMYFUNCTION("""COMPUTED_VALUE"""),2014.0)</f>
        <v>2014</v>
      </c>
      <c r="E61" s="6">
        <f>IFERROR(__xludf.DUMMYFUNCTION("""COMPUTED_VALUE"""),1782.0)</f>
        <v>1782</v>
      </c>
      <c r="F61" s="6">
        <f>IFERROR(__xludf.DUMMYFUNCTION("""COMPUTED_VALUE"""),6144.0)</f>
        <v>6144</v>
      </c>
      <c r="G61" s="6">
        <f>IFERROR(__xludf.DUMMYFUNCTION("""COMPUTED_VALUE"""),7926.0)</f>
        <v>7926</v>
      </c>
      <c r="H61" s="7">
        <f>IFERROR(__xludf.DUMMYFUNCTION("""COMPUTED_VALUE"""),3.63)</f>
        <v>3.63</v>
      </c>
      <c r="I61" s="2">
        <f>IFERROR(__xludf.DUMMYFUNCTION("""COMPUTED_VALUE"""),12.53)</f>
        <v>12.53</v>
      </c>
      <c r="J61" s="4">
        <f>IFERROR(__xludf.DUMMYFUNCTION("""COMPUTED_VALUE"""),8.97)</f>
        <v>8.97</v>
      </c>
      <c r="K61" s="8">
        <f>IFERROR(__xludf.DUMMYFUNCTION("""COMPUTED_VALUE"""),0.0159)</f>
        <v>0.0159</v>
      </c>
    </row>
    <row r="62" ht="15.75" customHeight="1">
      <c r="C62" s="2" t="str">
        <f>IFERROR(__xludf.DUMMYFUNCTION("""COMPUTED_VALUE"""),"Finlandia [+]")</f>
        <v>Finlandia [+]</v>
      </c>
      <c r="D62" s="2">
        <f>IFERROR(__xludf.DUMMYFUNCTION("""COMPUTED_VALUE"""),2014.0)</f>
        <v>2014</v>
      </c>
      <c r="E62" s="2">
        <f>IFERROR(__xludf.DUMMYFUNCTION("""COMPUTED_VALUE"""),191.0)</f>
        <v>191</v>
      </c>
      <c r="F62" s="2">
        <f>IFERROR(__xludf.DUMMYFUNCTION("""COMPUTED_VALUE"""),606.0)</f>
        <v>606</v>
      </c>
      <c r="G62" s="2">
        <f>IFERROR(__xludf.DUMMYFUNCTION("""COMPUTED_VALUE"""),797.0)</f>
        <v>797</v>
      </c>
      <c r="H62" s="7">
        <f>IFERROR(__xludf.DUMMYFUNCTION("""COMPUTED_VALUE"""),6.92)</f>
        <v>6.92</v>
      </c>
      <c r="I62" s="2">
        <f>IFERROR(__xludf.DUMMYFUNCTION("""COMPUTED_VALUE"""),22.23)</f>
        <v>22.23</v>
      </c>
      <c r="J62" s="4">
        <f>IFERROR(__xludf.DUMMYFUNCTION("""COMPUTED_VALUE"""),14.45)</f>
        <v>14.45</v>
      </c>
      <c r="K62" s="8">
        <f>IFERROR(__xludf.DUMMYFUNCTION("""COMPUTED_VALUE"""),-0.1151)</f>
        <v>-0.1151</v>
      </c>
    </row>
    <row r="63" ht="15.75" customHeight="1">
      <c r="C63" s="2" t="str">
        <f>IFERROR(__xludf.DUMMYFUNCTION("""COMPUTED_VALUE"""),"Fiyi [+]")</f>
        <v>Fiyi [+]</v>
      </c>
      <c r="D63" s="2">
        <f>IFERROR(__xludf.DUMMYFUNCTION("""COMPUTED_VALUE"""),2014.0)</f>
        <v>2014</v>
      </c>
      <c r="E63" s="2">
        <f>IFERROR(__xludf.DUMMYFUNCTION("""COMPUTED_VALUE"""),18.0)</f>
        <v>18</v>
      </c>
      <c r="F63" s="2">
        <f>IFERROR(__xludf.DUMMYFUNCTION("""COMPUTED_VALUE"""),58.0)</f>
        <v>58</v>
      </c>
      <c r="G63" s="2">
        <f>IFERROR(__xludf.DUMMYFUNCTION("""COMPUTED_VALUE"""),77.0)</f>
        <v>77</v>
      </c>
      <c r="H63" s="7">
        <f>IFERROR(__xludf.DUMMYFUNCTION("""COMPUTED_VALUE"""),4.32)</f>
        <v>4.32</v>
      </c>
      <c r="I63" s="2">
        <f>IFERROR(__xludf.DUMMYFUNCTION("""COMPUTED_VALUE"""),13.27)</f>
        <v>13.27</v>
      </c>
      <c r="J63" s="4">
        <f>IFERROR(__xludf.DUMMYFUNCTION("""COMPUTED_VALUE"""),8.88)</f>
        <v>8.88</v>
      </c>
      <c r="K63" s="8">
        <f>IFERROR(__xludf.DUMMYFUNCTION("""COMPUTED_VALUE"""),-0.0242)</f>
        <v>-0.0242</v>
      </c>
    </row>
    <row r="64" ht="15.75" customHeight="1">
      <c r="C64" s="2" t="str">
        <f>IFERROR(__xludf.DUMMYFUNCTION("""COMPUTED_VALUE"""),"Estados Federados de Micronesia [+]")</f>
        <v>Estados Federados de Micronesia [+]</v>
      </c>
      <c r="D64" s="2">
        <f>IFERROR(__xludf.DUMMYFUNCTION("""COMPUTED_VALUE"""),2014.0)</f>
        <v>2014</v>
      </c>
      <c r="E64" s="2">
        <f>IFERROR(__xludf.DUMMYFUNCTION("""COMPUTED_VALUE"""),4.0)</f>
        <v>4</v>
      </c>
      <c r="F64" s="2">
        <f>IFERROR(__xludf.DUMMYFUNCTION("""COMPUTED_VALUE"""),8.0)</f>
        <v>8</v>
      </c>
      <c r="G64" s="2">
        <f>IFERROR(__xludf.DUMMYFUNCTION("""COMPUTED_VALUE"""),12.0)</f>
        <v>12</v>
      </c>
      <c r="H64" s="7">
        <f>IFERROR(__xludf.DUMMYFUNCTION("""COMPUTED_VALUE"""),6.66)</f>
        <v>6.66</v>
      </c>
      <c r="I64" s="2">
        <f>IFERROR(__xludf.DUMMYFUNCTION("""COMPUTED_VALUE"""),14.63)</f>
        <v>14.63</v>
      </c>
      <c r="J64" s="4">
        <f>IFERROR(__xludf.DUMMYFUNCTION("""COMPUTED_VALUE"""),11.06)</f>
        <v>11.06</v>
      </c>
      <c r="K64" s="8">
        <f>IFERROR(__xludf.DUMMYFUNCTION("""COMPUTED_VALUE"""),-0.0221)</f>
        <v>-0.0221</v>
      </c>
    </row>
    <row r="65" ht="15.75" customHeight="1">
      <c r="C65" s="2" t="str">
        <f>IFERROR(__xludf.DUMMYFUNCTION("""COMPUTED_VALUE"""),"Gabón [+]")</f>
        <v>Gabón [+]</v>
      </c>
      <c r="D65" s="5">
        <f>IFERROR(__xludf.DUMMYFUNCTION("""COMPUTED_VALUE"""),2014.0)</f>
        <v>2014</v>
      </c>
      <c r="E65" s="2">
        <f>IFERROR(__xludf.DUMMYFUNCTION("""COMPUTED_VALUE"""),53.0)</f>
        <v>53</v>
      </c>
      <c r="F65" s="2">
        <f>IFERROR(__xludf.DUMMYFUNCTION("""COMPUTED_VALUE"""),141.0)</f>
        <v>141</v>
      </c>
      <c r="G65" s="2">
        <f>IFERROR(__xludf.DUMMYFUNCTION("""COMPUTED_VALUE"""),194.0)</f>
        <v>194</v>
      </c>
      <c r="H65" s="7">
        <f>IFERROR(__xludf.DUMMYFUNCTION("""COMPUTED_VALUE"""),5.72)</f>
        <v>5.72</v>
      </c>
      <c r="I65" s="2">
        <f>IFERROR(__xludf.DUMMYFUNCTION("""COMPUTED_VALUE"""),14.73)</f>
        <v>14.73</v>
      </c>
      <c r="J65" s="4">
        <f>IFERROR(__xludf.DUMMYFUNCTION("""COMPUTED_VALUE"""),10.39)</f>
        <v>10.39</v>
      </c>
      <c r="K65" s="8">
        <f>IFERROR(__xludf.DUMMYFUNCTION("""COMPUTED_VALUE"""),-0.0067)</f>
        <v>-0.0067</v>
      </c>
    </row>
    <row r="66" ht="15.75" customHeight="1">
      <c r="C66" s="2" t="str">
        <f>IFERROR(__xludf.DUMMYFUNCTION("""COMPUTED_VALUE"""),"Granada [+]")</f>
        <v>Granada [+]</v>
      </c>
      <c r="D66" s="2">
        <f>IFERROR(__xludf.DUMMYFUNCTION("""COMPUTED_VALUE"""),2014.0)</f>
        <v>2014</v>
      </c>
      <c r="E66" s="2">
        <f>IFERROR(__xludf.DUMMYFUNCTION("""COMPUTED_VALUE"""),1.0)</f>
        <v>1</v>
      </c>
      <c r="F66" s="6">
        <f>IFERROR(__xludf.DUMMYFUNCTION("""COMPUTED_VALUE"""),0.0)</f>
        <v>0</v>
      </c>
      <c r="G66" s="2">
        <f>IFERROR(__xludf.DUMMYFUNCTION("""COMPUTED_VALUE"""),1.0)</f>
        <v>1</v>
      </c>
      <c r="H66" s="7">
        <f>IFERROR(__xludf.DUMMYFUNCTION("""COMPUTED_VALUE"""),1.18)</f>
        <v>1.18</v>
      </c>
      <c r="I66" s="2">
        <f>IFERROR(__xludf.DUMMYFUNCTION("""COMPUTED_VALUE"""),0.0)</f>
        <v>0</v>
      </c>
      <c r="J66" s="4">
        <f>IFERROR(__xludf.DUMMYFUNCTION("""COMPUTED_VALUE"""),0.58)</f>
        <v>0.58</v>
      </c>
      <c r="K66" s="8">
        <f>IFERROR(__xludf.DUMMYFUNCTION("""COMPUTED_VALUE"""),-0.463)</f>
        <v>-0.463</v>
      </c>
    </row>
    <row r="67" ht="15.75" customHeight="1">
      <c r="C67" s="2" t="str">
        <f>IFERROR(__xludf.DUMMYFUNCTION("""COMPUTED_VALUE"""),"Georgia [+]")</f>
        <v>Georgia [+]</v>
      </c>
      <c r="D67" s="2">
        <f>IFERROR(__xludf.DUMMYFUNCTION("""COMPUTED_VALUE"""),2014.0)</f>
        <v>2014</v>
      </c>
      <c r="E67" s="2">
        <f>IFERROR(__xludf.DUMMYFUNCTION("""COMPUTED_VALUE"""),48.0)</f>
        <v>48</v>
      </c>
      <c r="F67" s="2">
        <f>IFERROR(__xludf.DUMMYFUNCTION("""COMPUTED_VALUE"""),217.0)</f>
        <v>217</v>
      </c>
      <c r="G67" s="2">
        <f>IFERROR(__xludf.DUMMYFUNCTION("""COMPUTED_VALUE"""),265.0)</f>
        <v>265</v>
      </c>
      <c r="H67" s="7">
        <f>IFERROR(__xludf.DUMMYFUNCTION("""COMPUTED_VALUE"""),2.44)</f>
        <v>2.44</v>
      </c>
      <c r="I67" s="2">
        <f>IFERROR(__xludf.DUMMYFUNCTION("""COMPUTED_VALUE"""),12.2)</f>
        <v>12.2</v>
      </c>
      <c r="J67" s="4">
        <f>IFERROR(__xludf.DUMMYFUNCTION("""COMPUTED_VALUE"""),7.1)</f>
        <v>7.1</v>
      </c>
      <c r="K67" s="8">
        <f>IFERROR(__xludf.DUMMYFUNCTION("""COMPUTED_VALUE"""),0.2158)</f>
        <v>0.2158</v>
      </c>
    </row>
    <row r="68" ht="15.75" customHeight="1">
      <c r="C68" s="2" t="str">
        <f>IFERROR(__xludf.DUMMYFUNCTION("""COMPUTED_VALUE"""),"Ghana [+]")</f>
        <v>Ghana [+]</v>
      </c>
      <c r="D68" s="2">
        <f>IFERROR(__xludf.DUMMYFUNCTION("""COMPUTED_VALUE"""),2014.0)</f>
        <v>2014</v>
      </c>
      <c r="E68" s="2">
        <f>IFERROR(__xludf.DUMMYFUNCTION("""COMPUTED_VALUE"""),398.0)</f>
        <v>398</v>
      </c>
      <c r="F68" s="6">
        <f>IFERROR(__xludf.DUMMYFUNCTION("""COMPUTED_VALUE"""),1445.0)</f>
        <v>1445</v>
      </c>
      <c r="G68" s="6">
        <f>IFERROR(__xludf.DUMMYFUNCTION("""COMPUTED_VALUE"""),1843.0)</f>
        <v>1843</v>
      </c>
      <c r="H68" s="7">
        <f>IFERROR(__xludf.DUMMYFUNCTION("""COMPUTED_VALUE"""),2.96)</f>
        <v>2.96</v>
      </c>
      <c r="I68" s="2">
        <f>IFERROR(__xludf.DUMMYFUNCTION("""COMPUTED_VALUE"""),10.48)</f>
        <v>10.48</v>
      </c>
      <c r="J68" s="4">
        <f>IFERROR(__xludf.DUMMYFUNCTION("""COMPUTED_VALUE"""),6.8)</f>
        <v>6.8</v>
      </c>
      <c r="K68" s="8">
        <f>IFERROR(__xludf.DUMMYFUNCTION("""COMPUTED_VALUE"""),0.0089)</f>
        <v>0.0089</v>
      </c>
    </row>
    <row r="69" ht="15.75" customHeight="1">
      <c r="C69" s="2" t="str">
        <f>IFERROR(__xludf.DUMMYFUNCTION("""COMPUTED_VALUE"""),"Gambia [+]")</f>
        <v>Gambia [+]</v>
      </c>
      <c r="D69" s="5">
        <f>IFERROR(__xludf.DUMMYFUNCTION("""COMPUTED_VALUE"""),2014.0)</f>
        <v>2014</v>
      </c>
      <c r="E69" s="2">
        <f>IFERROR(__xludf.DUMMYFUNCTION("""COMPUTED_VALUE"""),40.0)</f>
        <v>40</v>
      </c>
      <c r="F69" s="6">
        <f>IFERROR(__xludf.DUMMYFUNCTION("""COMPUTED_VALUE"""),82.0)</f>
        <v>82</v>
      </c>
      <c r="G69" s="2">
        <f>IFERROR(__xludf.DUMMYFUNCTION("""COMPUTED_VALUE"""),122.0)</f>
        <v>122</v>
      </c>
      <c r="H69" s="7">
        <f>IFERROR(__xludf.DUMMYFUNCTION("""COMPUTED_VALUE"""),3.96)</f>
        <v>3.96</v>
      </c>
      <c r="I69" s="2">
        <f>IFERROR(__xludf.DUMMYFUNCTION("""COMPUTED_VALUE"""),8.12)</f>
        <v>8.12</v>
      </c>
      <c r="J69" s="4">
        <f>IFERROR(__xludf.DUMMYFUNCTION("""COMPUTED_VALUE"""),6.02)</f>
        <v>6.02</v>
      </c>
      <c r="K69" s="8">
        <f>IFERROR(__xludf.DUMMYFUNCTION("""COMPUTED_VALUE"""),0.0033)</f>
        <v>0.0033</v>
      </c>
    </row>
    <row r="70" ht="15.75" customHeight="1">
      <c r="C70" s="2" t="str">
        <f>IFERROR(__xludf.DUMMYFUNCTION("""COMPUTED_VALUE"""),"Guinea [+]")</f>
        <v>Guinea [+]</v>
      </c>
      <c r="D70" s="5">
        <f>IFERROR(__xludf.DUMMYFUNCTION("""COMPUTED_VALUE"""),2014.0)</f>
        <v>2014</v>
      </c>
      <c r="E70" s="2">
        <f>IFERROR(__xludf.DUMMYFUNCTION("""COMPUTED_VALUE"""),303.0)</f>
        <v>303</v>
      </c>
      <c r="F70" s="6">
        <f>IFERROR(__xludf.DUMMYFUNCTION("""COMPUTED_VALUE"""),643.0)</f>
        <v>643</v>
      </c>
      <c r="G70" s="2">
        <f>IFERROR(__xludf.DUMMYFUNCTION("""COMPUTED_VALUE"""),946.0)</f>
        <v>946</v>
      </c>
      <c r="H70" s="7">
        <f>IFERROR(__xludf.DUMMYFUNCTION("""COMPUTED_VALUE"""),5.2)</f>
        <v>5.2</v>
      </c>
      <c r="I70" s="2">
        <f>IFERROR(__xludf.DUMMYFUNCTION("""COMPUTED_VALUE"""),12.06)</f>
        <v>12.06</v>
      </c>
      <c r="J70" s="4">
        <f>IFERROR(__xludf.DUMMYFUNCTION("""COMPUTED_VALUE"""),7.85)</f>
        <v>7.85</v>
      </c>
      <c r="K70" s="8">
        <f>IFERROR(__xludf.DUMMYFUNCTION("""COMPUTED_VALUE"""),-0.0076)</f>
        <v>-0.0076</v>
      </c>
    </row>
    <row r="71" ht="15.75" customHeight="1">
      <c r="C71" s="2" t="str">
        <f>IFERROR(__xludf.DUMMYFUNCTION("""COMPUTED_VALUE"""),"Guinea Ecuatorial [+]")</f>
        <v>Guinea Ecuatorial [+]</v>
      </c>
      <c r="D71" s="5">
        <f>IFERROR(__xludf.DUMMYFUNCTION("""COMPUTED_VALUE"""),2014.0)</f>
        <v>2014</v>
      </c>
      <c r="E71" s="2">
        <f>IFERROR(__xludf.DUMMYFUNCTION("""COMPUTED_VALUE"""),46.0)</f>
        <v>46</v>
      </c>
      <c r="F71" s="6">
        <f>IFERROR(__xludf.DUMMYFUNCTION("""COMPUTED_VALUE"""),141.0)</f>
        <v>141</v>
      </c>
      <c r="G71" s="2">
        <f>IFERROR(__xludf.DUMMYFUNCTION("""COMPUTED_VALUE"""),187.0)</f>
        <v>187</v>
      </c>
      <c r="H71" s="7">
        <f>IFERROR(__xludf.DUMMYFUNCTION("""COMPUTED_VALUE"""),9.06)</f>
        <v>9.06</v>
      </c>
      <c r="I71" s="2">
        <f>IFERROR(__xludf.DUMMYFUNCTION("""COMPUTED_VALUE"""),22.78)</f>
        <v>22.78</v>
      </c>
      <c r="J71" s="4">
        <f>IFERROR(__xludf.DUMMYFUNCTION("""COMPUTED_VALUE"""),16.53)</f>
        <v>16.53</v>
      </c>
      <c r="K71" s="8">
        <f>IFERROR(__xludf.DUMMYFUNCTION("""COMPUTED_VALUE"""),-0.0114)</f>
        <v>-0.0114</v>
      </c>
    </row>
    <row r="72" ht="15.75" customHeight="1">
      <c r="C72" s="2" t="str">
        <f>IFERROR(__xludf.DUMMYFUNCTION("""COMPUTED_VALUE"""),"Grecia [+]")</f>
        <v>Grecia [+]</v>
      </c>
      <c r="D72" s="2">
        <f>IFERROR(__xludf.DUMMYFUNCTION("""COMPUTED_VALUE"""),2014.0)</f>
        <v>2014</v>
      </c>
      <c r="E72" s="2">
        <f>IFERROR(__xludf.DUMMYFUNCTION("""COMPUTED_VALUE"""),115.0)</f>
        <v>115</v>
      </c>
      <c r="F72" s="2">
        <f>IFERROR(__xludf.DUMMYFUNCTION("""COMPUTED_VALUE"""),450.0)</f>
        <v>450</v>
      </c>
      <c r="G72" s="2">
        <f>IFERROR(__xludf.DUMMYFUNCTION("""COMPUTED_VALUE"""),565.0)</f>
        <v>565</v>
      </c>
      <c r="H72" s="7">
        <f>IFERROR(__xludf.DUMMYFUNCTION("""COMPUTED_VALUE"""),2.04)</f>
        <v>2.04</v>
      </c>
      <c r="I72" s="2">
        <f>IFERROR(__xludf.DUMMYFUNCTION("""COMPUTED_VALUE"""),8.41)</f>
        <v>8.41</v>
      </c>
      <c r="J72" s="4">
        <f>IFERROR(__xludf.DUMMYFUNCTION("""COMPUTED_VALUE"""),5.13)</f>
        <v>5.13</v>
      </c>
      <c r="K72" s="8">
        <f>IFERROR(__xludf.DUMMYFUNCTION("""COMPUTED_VALUE"""),0.0577)</f>
        <v>0.0577</v>
      </c>
    </row>
    <row r="73" ht="15.75" customHeight="1">
      <c r="C73" s="2" t="str">
        <f>IFERROR(__xludf.DUMMYFUNCTION("""COMPUTED_VALUE"""),"Guatemala [+]")</f>
        <v>Guatemala [+]</v>
      </c>
      <c r="D73" s="2">
        <f>IFERROR(__xludf.DUMMYFUNCTION("""COMPUTED_VALUE"""),2014.0)</f>
        <v>2014</v>
      </c>
      <c r="E73" s="2">
        <f>IFERROR(__xludf.DUMMYFUNCTION("""COMPUTED_VALUE"""),149.0)</f>
        <v>149</v>
      </c>
      <c r="F73" s="2">
        <f>IFERROR(__xludf.DUMMYFUNCTION("""COMPUTED_VALUE"""),312.0)</f>
        <v>312</v>
      </c>
      <c r="G73" s="2">
        <f>IFERROR(__xludf.DUMMYFUNCTION("""COMPUTED_VALUE"""),462.0)</f>
        <v>462</v>
      </c>
      <c r="H73" s="7">
        <f>IFERROR(__xludf.DUMMYFUNCTION("""COMPUTED_VALUE"""),1.92)</f>
        <v>1.92</v>
      </c>
      <c r="I73" s="2">
        <f>IFERROR(__xludf.DUMMYFUNCTION("""COMPUTED_VALUE"""),4.15)</f>
        <v>4.15</v>
      </c>
      <c r="J73" s="4">
        <f>IFERROR(__xludf.DUMMYFUNCTION("""COMPUTED_VALUE"""),2.9)</f>
        <v>2.9</v>
      </c>
      <c r="K73" s="8">
        <f>IFERROR(__xludf.DUMMYFUNCTION("""COMPUTED_VALUE"""),0.0861)</f>
        <v>0.0861</v>
      </c>
    </row>
    <row r="74" ht="15.75" customHeight="1">
      <c r="C74" s="2" t="str">
        <f>IFERROR(__xludf.DUMMYFUNCTION("""COMPUTED_VALUE"""),"Guinea-Bisáu [+]")</f>
        <v>Guinea-Bisáu [+]</v>
      </c>
      <c r="D74" s="2">
        <f>IFERROR(__xludf.DUMMYFUNCTION("""COMPUTED_VALUE"""),2014.0)</f>
        <v>2014</v>
      </c>
      <c r="E74" s="2">
        <f>IFERROR(__xludf.DUMMYFUNCTION("""COMPUTED_VALUE"""),35.0)</f>
        <v>35</v>
      </c>
      <c r="F74" s="2">
        <f>IFERROR(__xludf.DUMMYFUNCTION("""COMPUTED_VALUE"""),83.0)</f>
        <v>83</v>
      </c>
      <c r="G74" s="2">
        <f>IFERROR(__xludf.DUMMYFUNCTION("""COMPUTED_VALUE"""),117.0)</f>
        <v>117</v>
      </c>
      <c r="H74" s="7">
        <f>IFERROR(__xludf.DUMMYFUNCTION("""COMPUTED_VALUE"""),3.99)</f>
        <v>3.99</v>
      </c>
      <c r="I74" s="2">
        <f>IFERROR(__xludf.DUMMYFUNCTION("""COMPUTED_VALUE"""),10.04)</f>
        <v>10.04</v>
      </c>
      <c r="J74" s="4">
        <f>IFERROR(__xludf.DUMMYFUNCTION("""COMPUTED_VALUE"""),7.37)</f>
        <v>7.37</v>
      </c>
      <c r="K74" s="8">
        <f>IFERROR(__xludf.DUMMYFUNCTION("""COMPUTED_VALUE"""),0.0068)</f>
        <v>0.0068</v>
      </c>
    </row>
    <row r="75" ht="15.75" customHeight="1">
      <c r="C75" s="2" t="str">
        <f>IFERROR(__xludf.DUMMYFUNCTION("""COMPUTED_VALUE"""),"Guyana [+]")</f>
        <v>Guyana [+]</v>
      </c>
      <c r="D75" s="5">
        <f>IFERROR(__xludf.DUMMYFUNCTION("""COMPUTED_VALUE"""),2014.0)</f>
        <v>2014</v>
      </c>
      <c r="E75" s="2">
        <f>IFERROR(__xludf.DUMMYFUNCTION("""COMPUTED_VALUE"""),59.0)</f>
        <v>59</v>
      </c>
      <c r="F75" s="2">
        <f>IFERROR(__xludf.DUMMYFUNCTION("""COMPUTED_VALUE"""),162.0)</f>
        <v>162</v>
      </c>
      <c r="G75" s="2">
        <f>IFERROR(__xludf.DUMMYFUNCTION("""COMPUTED_VALUE"""),220.0)</f>
        <v>220</v>
      </c>
      <c r="H75" s="7">
        <f>IFERROR(__xludf.DUMMYFUNCTION("""COMPUTED_VALUE"""),15.39)</f>
        <v>15.39</v>
      </c>
      <c r="I75" s="2">
        <f>IFERROR(__xludf.DUMMYFUNCTION("""COMPUTED_VALUE"""),42.4)</f>
        <v>42.4</v>
      </c>
      <c r="J75" s="4">
        <f>IFERROR(__xludf.DUMMYFUNCTION("""COMPUTED_VALUE"""),28.85)</f>
        <v>28.85</v>
      </c>
      <c r="K75" s="8">
        <f>IFERROR(__xludf.DUMMYFUNCTION("""COMPUTED_VALUE"""),0.0423)</f>
        <v>0.0423</v>
      </c>
    </row>
    <row r="76" ht="15.75" customHeight="1">
      <c r="C76" s="2" t="str">
        <f>IFERROR(__xludf.DUMMYFUNCTION("""COMPUTED_VALUE"""),"Honduras [+]")</f>
        <v>Honduras [+]</v>
      </c>
      <c r="D76" s="2">
        <f>IFERROR(__xludf.DUMMYFUNCTION("""COMPUTED_VALUE"""),2014.0)</f>
        <v>2014</v>
      </c>
      <c r="E76" s="2">
        <f>IFERROR(__xludf.DUMMYFUNCTION("""COMPUTED_VALUE"""),102.0)</f>
        <v>102</v>
      </c>
      <c r="F76" s="2">
        <f>IFERROR(__xludf.DUMMYFUNCTION("""COMPUTED_VALUE"""),189.0)</f>
        <v>189</v>
      </c>
      <c r="G76" s="2">
        <f>IFERROR(__xludf.DUMMYFUNCTION("""COMPUTED_VALUE"""),291.0)</f>
        <v>291</v>
      </c>
      <c r="H76" s="7">
        <f>IFERROR(__xludf.DUMMYFUNCTION("""COMPUTED_VALUE"""),2.27)</f>
        <v>2.27</v>
      </c>
      <c r="I76" s="2">
        <f>IFERROR(__xludf.DUMMYFUNCTION("""COMPUTED_VALUE"""),4.23)</f>
        <v>4.23</v>
      </c>
      <c r="J76" s="4">
        <f>IFERROR(__xludf.DUMMYFUNCTION("""COMPUTED_VALUE"""),3.25)</f>
        <v>3.25</v>
      </c>
      <c r="K76" s="8">
        <f>IFERROR(__xludf.DUMMYFUNCTION("""COMPUTED_VALUE"""),-0.0327)</f>
        <v>-0.0327</v>
      </c>
    </row>
    <row r="77" ht="15.75" customHeight="1">
      <c r="C77" s="2" t="str">
        <f>IFERROR(__xludf.DUMMYFUNCTION("""COMPUTED_VALUE"""),"Croacia [+]")</f>
        <v>Croacia [+]</v>
      </c>
      <c r="D77" s="5">
        <f>IFERROR(__xludf.DUMMYFUNCTION("""COMPUTED_VALUE"""),2014.0)</f>
        <v>2014</v>
      </c>
      <c r="E77" s="2">
        <f>IFERROR(__xludf.DUMMYFUNCTION("""COMPUTED_VALUE"""),188.0)</f>
        <v>188</v>
      </c>
      <c r="F77" s="6">
        <f>IFERROR(__xludf.DUMMYFUNCTION("""COMPUTED_VALUE"""),538.0)</f>
        <v>538</v>
      </c>
      <c r="G77" s="2">
        <f>IFERROR(__xludf.DUMMYFUNCTION("""COMPUTED_VALUE"""),726.0)</f>
        <v>726</v>
      </c>
      <c r="H77" s="7">
        <f>IFERROR(__xludf.DUMMYFUNCTION("""COMPUTED_VALUE"""),8.49)</f>
        <v>8.49</v>
      </c>
      <c r="I77" s="2">
        <f>IFERROR(__xludf.DUMMYFUNCTION("""COMPUTED_VALUE"""),26.22)</f>
        <v>26.22</v>
      </c>
      <c r="J77" s="4">
        <f>IFERROR(__xludf.DUMMYFUNCTION("""COMPUTED_VALUE"""),17.04)</f>
        <v>17.04</v>
      </c>
      <c r="K77" s="8">
        <f>IFERROR(__xludf.DUMMYFUNCTION("""COMPUTED_VALUE"""),0.0448)</f>
        <v>0.0448</v>
      </c>
    </row>
    <row r="78" ht="15.75" customHeight="1">
      <c r="C78" s="2" t="str">
        <f>IFERROR(__xludf.DUMMYFUNCTION("""COMPUTED_VALUE"""),"Haití [+]")</f>
        <v>Haití [+]</v>
      </c>
      <c r="D78" s="2">
        <f>IFERROR(__xludf.DUMMYFUNCTION("""COMPUTED_VALUE"""),2014.0)</f>
        <v>2014</v>
      </c>
      <c r="E78" s="2">
        <f>IFERROR(__xludf.DUMMYFUNCTION("""COMPUTED_VALUE"""),325.0)</f>
        <v>325</v>
      </c>
      <c r="F78" s="2">
        <f>IFERROR(__xludf.DUMMYFUNCTION("""COMPUTED_VALUE"""),856.0)</f>
        <v>856</v>
      </c>
      <c r="G78" s="6">
        <f>IFERROR(__xludf.DUMMYFUNCTION("""COMPUTED_VALUE"""),1181.0)</f>
        <v>1181</v>
      </c>
      <c r="H78" s="7">
        <f>IFERROR(__xludf.DUMMYFUNCTION("""COMPUTED_VALUE"""),6.09)</f>
        <v>6.09</v>
      </c>
      <c r="I78" s="2">
        <f>IFERROR(__xludf.DUMMYFUNCTION("""COMPUTED_VALUE"""),16.43)</f>
        <v>16.43</v>
      </c>
      <c r="J78" s="4">
        <f>IFERROR(__xludf.DUMMYFUNCTION("""COMPUTED_VALUE"""),11.2)</f>
        <v>11.2</v>
      </c>
      <c r="K78" s="8">
        <f>IFERROR(__xludf.DUMMYFUNCTION("""COMPUTED_VALUE"""),-0.0027)</f>
        <v>-0.0027</v>
      </c>
    </row>
    <row r="79" ht="15.75" customHeight="1">
      <c r="C79" s="2" t="str">
        <f>IFERROR(__xludf.DUMMYFUNCTION("""COMPUTED_VALUE"""),"Hungría [+]")</f>
        <v>Hungría [+]</v>
      </c>
      <c r="D79" s="2">
        <f>IFERROR(__xludf.DUMMYFUNCTION("""COMPUTED_VALUE"""),2014.0)</f>
        <v>2014</v>
      </c>
      <c r="E79" s="2">
        <f>IFERROR(__xludf.DUMMYFUNCTION("""COMPUTED_VALUE"""),447.0)</f>
        <v>447</v>
      </c>
      <c r="F79" s="6">
        <f>IFERROR(__xludf.DUMMYFUNCTION("""COMPUTED_VALUE"""),1480.0)</f>
        <v>1480</v>
      </c>
      <c r="G79" s="6">
        <f>IFERROR(__xludf.DUMMYFUNCTION("""COMPUTED_VALUE"""),1927.0)</f>
        <v>1927</v>
      </c>
      <c r="H79" s="7">
        <f>IFERROR(__xludf.DUMMYFUNCTION("""COMPUTED_VALUE"""),8.67)</f>
        <v>8.67</v>
      </c>
      <c r="I79" s="2">
        <f>IFERROR(__xludf.DUMMYFUNCTION("""COMPUTED_VALUE"""),31.39)</f>
        <v>31.39</v>
      </c>
      <c r="J79" s="4">
        <f>IFERROR(__xludf.DUMMYFUNCTION("""COMPUTED_VALUE"""),19.49)</f>
        <v>19.49</v>
      </c>
      <c r="K79" s="8">
        <f>IFERROR(__xludf.DUMMYFUNCTION("""COMPUTED_VALUE"""),-0.0754)</f>
        <v>-0.0754</v>
      </c>
    </row>
    <row r="80" ht="15.75" customHeight="1">
      <c r="C80" s="2" t="str">
        <f>IFERROR(__xludf.DUMMYFUNCTION("""COMPUTED_VALUE"""),"Indonesia [+]")</f>
        <v>Indonesia [+]</v>
      </c>
      <c r="D80" s="2">
        <f>IFERROR(__xludf.DUMMYFUNCTION("""COMPUTED_VALUE"""),2014.0)</f>
        <v>2014</v>
      </c>
      <c r="E80" s="6">
        <f>IFERROR(__xludf.DUMMYFUNCTION("""COMPUTED_VALUE"""),1979.0)</f>
        <v>1979</v>
      </c>
      <c r="F80" s="6">
        <f>IFERROR(__xludf.DUMMYFUNCTION("""COMPUTED_VALUE"""),5349.0)</f>
        <v>5349</v>
      </c>
      <c r="G80" s="6">
        <f>IFERROR(__xludf.DUMMYFUNCTION("""COMPUTED_VALUE"""),7329.0)</f>
        <v>7329</v>
      </c>
      <c r="H80" s="7">
        <f>IFERROR(__xludf.DUMMYFUNCTION("""COMPUTED_VALUE"""),1.56)</f>
        <v>1.56</v>
      </c>
      <c r="I80" s="2">
        <f>IFERROR(__xludf.DUMMYFUNCTION("""COMPUTED_VALUE"""),4.16)</f>
        <v>4.16</v>
      </c>
      <c r="J80" s="4">
        <f>IFERROR(__xludf.DUMMYFUNCTION("""COMPUTED_VALUE"""),2.91)</f>
        <v>2.91</v>
      </c>
      <c r="K80" s="8">
        <f>IFERROR(__xludf.DUMMYFUNCTION("""COMPUTED_VALUE"""),-0.0169)</f>
        <v>-0.0169</v>
      </c>
    </row>
    <row r="81" ht="15.75" customHeight="1">
      <c r="C81" s="2" t="str">
        <f>IFERROR(__xludf.DUMMYFUNCTION("""COMPUTED_VALUE"""),"Irlanda [+]")</f>
        <v>Irlanda [+]</v>
      </c>
      <c r="D81" s="2">
        <f>IFERROR(__xludf.DUMMYFUNCTION("""COMPUTED_VALUE"""),2014.0)</f>
        <v>2014</v>
      </c>
      <c r="E81" s="2">
        <f>IFERROR(__xludf.DUMMYFUNCTION("""COMPUTED_VALUE"""),87.0)</f>
        <v>87</v>
      </c>
      <c r="F81" s="2">
        <f>IFERROR(__xludf.DUMMYFUNCTION("""COMPUTED_VALUE"""),399.0)</f>
        <v>399</v>
      </c>
      <c r="G81" s="2">
        <f>IFERROR(__xludf.DUMMYFUNCTION("""COMPUTED_VALUE"""),486.0)</f>
        <v>486</v>
      </c>
      <c r="H81" s="7">
        <f>IFERROR(__xludf.DUMMYFUNCTION("""COMPUTED_VALUE"""),3.74)</f>
        <v>3.74</v>
      </c>
      <c r="I81" s="2">
        <f>IFERROR(__xludf.DUMMYFUNCTION("""COMPUTED_VALUE"""),17.27)</f>
        <v>17.27</v>
      </c>
      <c r="J81" s="4">
        <f>IFERROR(__xludf.DUMMYFUNCTION("""COMPUTED_VALUE"""),10.43)</f>
        <v>10.43</v>
      </c>
      <c r="K81" s="8">
        <f>IFERROR(__xludf.DUMMYFUNCTION("""COMPUTED_VALUE"""),-0.0095)</f>
        <v>-0.0095</v>
      </c>
    </row>
    <row r="82" ht="15.75" customHeight="1">
      <c r="C82" s="2" t="str">
        <f>IFERROR(__xludf.DUMMYFUNCTION("""COMPUTED_VALUE"""),"Israel [+]")</f>
        <v>Israel [+]</v>
      </c>
      <c r="D82" s="2">
        <f>IFERROR(__xludf.DUMMYFUNCTION("""COMPUTED_VALUE"""),2014.0)</f>
        <v>2014</v>
      </c>
      <c r="E82" s="2">
        <f>IFERROR(__xludf.DUMMYFUNCTION("""COMPUTED_VALUE"""),86.0)</f>
        <v>86</v>
      </c>
      <c r="F82" s="2">
        <f>IFERROR(__xludf.DUMMYFUNCTION("""COMPUTED_VALUE"""),294.0)</f>
        <v>294</v>
      </c>
      <c r="G82" s="2">
        <f>IFERROR(__xludf.DUMMYFUNCTION("""COMPUTED_VALUE"""),380.0)</f>
        <v>380</v>
      </c>
      <c r="H82" s="7">
        <f>IFERROR(__xludf.DUMMYFUNCTION("""COMPUTED_VALUE"""),2.1)</f>
        <v>2.1</v>
      </c>
      <c r="I82" s="2">
        <f>IFERROR(__xludf.DUMMYFUNCTION("""COMPUTED_VALUE"""),7.2)</f>
        <v>7.2</v>
      </c>
      <c r="J82" s="4">
        <f>IFERROR(__xludf.DUMMYFUNCTION("""COMPUTED_VALUE"""),4.6)</f>
        <v>4.6</v>
      </c>
      <c r="K82" s="4">
        <f>IFERROR(__xludf.DUMMYFUNCTION("""COMPUTED_VALUE"""),0.0)</f>
        <v>0</v>
      </c>
    </row>
    <row r="83" ht="15.75" customHeight="1">
      <c r="C83" s="2" t="str">
        <f>IFERROR(__xludf.DUMMYFUNCTION("""COMPUTED_VALUE"""),"India [+]")</f>
        <v>India [+]</v>
      </c>
      <c r="D83" s="2">
        <f>IFERROR(__xludf.DUMMYFUNCTION("""COMPUTED_VALUE"""),2014.0)</f>
        <v>2014</v>
      </c>
      <c r="E83" s="6">
        <f>IFERROR(__xludf.DUMMYFUNCTION("""COMPUTED_VALUE"""),90953.0)</f>
        <v>90953</v>
      </c>
      <c r="F83" s="6">
        <f>IFERROR(__xludf.DUMMYFUNCTION("""COMPUTED_VALUE"""),116775.0)</f>
        <v>116775</v>
      </c>
      <c r="G83" s="6">
        <f>IFERROR(__xludf.DUMMYFUNCTION("""COMPUTED_VALUE"""),207728.0)</f>
        <v>207728</v>
      </c>
      <c r="H83" s="7">
        <f>IFERROR(__xludf.DUMMYFUNCTION("""COMPUTED_VALUE"""),14.63)</f>
        <v>14.63</v>
      </c>
      <c r="I83" s="2">
        <f>IFERROR(__xludf.DUMMYFUNCTION("""COMPUTED_VALUE"""),17.33)</f>
        <v>17.33</v>
      </c>
      <c r="J83" s="4">
        <f>IFERROR(__xludf.DUMMYFUNCTION("""COMPUTED_VALUE"""),16.03)</f>
        <v>16.03</v>
      </c>
      <c r="K83" s="8">
        <f>IFERROR(__xludf.DUMMYFUNCTION("""COMPUTED_VALUE"""),-0.0123)</f>
        <v>-0.0123</v>
      </c>
    </row>
    <row r="84" ht="15.75" customHeight="1">
      <c r="C84" s="2" t="str">
        <f>IFERROR(__xludf.DUMMYFUNCTION("""COMPUTED_VALUE"""),"Irak [+]")</f>
        <v>Irak [+]</v>
      </c>
      <c r="D84" s="2">
        <f>IFERROR(__xludf.DUMMYFUNCTION("""COMPUTED_VALUE"""),2014.0)</f>
        <v>2014</v>
      </c>
      <c r="E84" s="2">
        <f>IFERROR(__xludf.DUMMYFUNCTION("""COMPUTED_VALUE"""),454.0)</f>
        <v>454</v>
      </c>
      <c r="F84" s="2">
        <f>IFERROR(__xludf.DUMMYFUNCTION("""COMPUTED_VALUE"""),580.0)</f>
        <v>580</v>
      </c>
      <c r="G84" s="6">
        <f>IFERROR(__xludf.DUMMYFUNCTION("""COMPUTED_VALUE"""),1034.0)</f>
        <v>1034</v>
      </c>
      <c r="H84" s="7">
        <f>IFERROR(__xludf.DUMMYFUNCTION("""COMPUTED_VALUE"""),2.67)</f>
        <v>2.67</v>
      </c>
      <c r="I84" s="2">
        <f>IFERROR(__xludf.DUMMYFUNCTION("""COMPUTED_VALUE"""),3.33)</f>
        <v>3.33</v>
      </c>
      <c r="J84" s="4">
        <f>IFERROR(__xludf.DUMMYFUNCTION("""COMPUTED_VALUE"""),3.0)</f>
        <v>3</v>
      </c>
      <c r="K84" s="8">
        <f>IFERROR(__xludf.DUMMYFUNCTION("""COMPUTED_VALUE"""),0.0381)</f>
        <v>0.0381</v>
      </c>
    </row>
    <row r="85" ht="15.75" customHeight="1">
      <c r="C85" s="2" t="str">
        <f>IFERROR(__xludf.DUMMYFUNCTION("""COMPUTED_VALUE"""),"Irán [+]")</f>
        <v>Irán [+]</v>
      </c>
      <c r="D85" s="2">
        <f>IFERROR(__xludf.DUMMYFUNCTION("""COMPUTED_VALUE"""),2014.0)</f>
        <v>2014</v>
      </c>
      <c r="E85" s="6">
        <f>IFERROR(__xludf.DUMMYFUNCTION("""COMPUTED_VALUE"""),1122.0)</f>
        <v>1122</v>
      </c>
      <c r="F85" s="6">
        <f>IFERROR(__xludf.DUMMYFUNCTION("""COMPUTED_VALUE"""),1701.0)</f>
        <v>1701</v>
      </c>
      <c r="G85" s="6">
        <f>IFERROR(__xludf.DUMMYFUNCTION("""COMPUTED_VALUE"""),2824.0)</f>
        <v>2824</v>
      </c>
      <c r="H85" s="7">
        <f>IFERROR(__xludf.DUMMYFUNCTION("""COMPUTED_VALUE"""),2.93)</f>
        <v>2.93</v>
      </c>
      <c r="I85" s="2">
        <f>IFERROR(__xludf.DUMMYFUNCTION("""COMPUTED_VALUE"""),4.34)</f>
        <v>4.34</v>
      </c>
      <c r="J85" s="4">
        <f>IFERROR(__xludf.DUMMYFUNCTION("""COMPUTED_VALUE"""),3.62)</f>
        <v>3.62</v>
      </c>
      <c r="K85" s="4">
        <f>IFERROR(__xludf.DUMMYFUNCTION("""COMPUTED_VALUE"""),0.0)</f>
        <v>0</v>
      </c>
    </row>
    <row r="86" ht="15.75" customHeight="1">
      <c r="C86" s="2" t="str">
        <f>IFERROR(__xludf.DUMMYFUNCTION("""COMPUTED_VALUE"""),"Islandia [+]")</f>
        <v>Islandia [+]</v>
      </c>
      <c r="D86" s="5">
        <f>IFERROR(__xludf.DUMMYFUNCTION("""COMPUTED_VALUE"""),2014.0)</f>
        <v>2014</v>
      </c>
      <c r="E86" s="2">
        <f>IFERROR(__xludf.DUMMYFUNCTION("""COMPUTED_VALUE"""),11.0)</f>
        <v>11</v>
      </c>
      <c r="F86" s="2">
        <f>IFERROR(__xludf.DUMMYFUNCTION("""COMPUTED_VALUE"""),32.0)</f>
        <v>32</v>
      </c>
      <c r="G86" s="2">
        <f>IFERROR(__xludf.DUMMYFUNCTION("""COMPUTED_VALUE"""),43.0)</f>
        <v>43</v>
      </c>
      <c r="H86" s="7">
        <f>IFERROR(__xludf.DUMMYFUNCTION("""COMPUTED_VALUE"""),6.74)</f>
        <v>6.74</v>
      </c>
      <c r="I86" s="2">
        <f>IFERROR(__xludf.DUMMYFUNCTION("""COMPUTED_VALUE"""),19.48)</f>
        <v>19.48</v>
      </c>
      <c r="J86" s="4">
        <f>IFERROR(__xludf.DUMMYFUNCTION("""COMPUTED_VALUE"""),13.13)</f>
        <v>13.13</v>
      </c>
      <c r="K86" s="8">
        <f>IFERROR(__xludf.DUMMYFUNCTION("""COMPUTED_VALUE"""),-0.1146)</f>
        <v>-0.1146</v>
      </c>
    </row>
    <row r="87" ht="15.75" customHeight="1">
      <c r="C87" s="2" t="str">
        <f>IFERROR(__xludf.DUMMYFUNCTION("""COMPUTED_VALUE"""),"Jamaica [+]")</f>
        <v>Jamaica [+]</v>
      </c>
      <c r="D87" s="5">
        <f>IFERROR(__xludf.DUMMYFUNCTION("""COMPUTED_VALUE"""),2014.0)</f>
        <v>2014</v>
      </c>
      <c r="E87" s="2">
        <f>IFERROR(__xludf.DUMMYFUNCTION("""COMPUTED_VALUE"""),4.0)</f>
        <v>4</v>
      </c>
      <c r="F87" s="6">
        <f>IFERROR(__xludf.DUMMYFUNCTION("""COMPUTED_VALUE"""),36.0)</f>
        <v>36</v>
      </c>
      <c r="G87" s="2">
        <f>IFERROR(__xludf.DUMMYFUNCTION("""COMPUTED_VALUE"""),40.0)</f>
        <v>40</v>
      </c>
      <c r="H87" s="7">
        <f>IFERROR(__xludf.DUMMYFUNCTION("""COMPUTED_VALUE"""),0.3)</f>
        <v>0.3</v>
      </c>
      <c r="I87" s="2">
        <f>IFERROR(__xludf.DUMMYFUNCTION("""COMPUTED_VALUE"""),2.48)</f>
        <v>2.48</v>
      </c>
      <c r="J87" s="4">
        <f>IFERROR(__xludf.DUMMYFUNCTION("""COMPUTED_VALUE"""),1.47)</f>
        <v>1.47</v>
      </c>
      <c r="K87" s="8">
        <f>IFERROR(__xludf.DUMMYFUNCTION("""COMPUTED_VALUE"""),0.0208)</f>
        <v>0.0208</v>
      </c>
    </row>
    <row r="88" ht="15.75" customHeight="1">
      <c r="C88" s="2" t="str">
        <f>IFERROR(__xludf.DUMMYFUNCTION("""COMPUTED_VALUE"""),"Jordania [+]")</f>
        <v>Jordania [+]</v>
      </c>
      <c r="D88" s="5">
        <f>IFERROR(__xludf.DUMMYFUNCTION("""COMPUTED_VALUE"""),2014.0)</f>
        <v>2014</v>
      </c>
      <c r="E88" s="2">
        <f>IFERROR(__xludf.DUMMYFUNCTION("""COMPUTED_VALUE"""),73.0)</f>
        <v>73</v>
      </c>
      <c r="F88" s="6">
        <f>IFERROR(__xludf.DUMMYFUNCTION("""COMPUTED_VALUE"""),167.0)</f>
        <v>167</v>
      </c>
      <c r="G88" s="2">
        <f>IFERROR(__xludf.DUMMYFUNCTION("""COMPUTED_VALUE"""),240.0)</f>
        <v>240</v>
      </c>
      <c r="H88" s="7">
        <f>IFERROR(__xludf.DUMMYFUNCTION("""COMPUTED_VALUE"""),1.66)</f>
        <v>1.66</v>
      </c>
      <c r="I88" s="2">
        <f>IFERROR(__xludf.DUMMYFUNCTION("""COMPUTED_VALUE"""),3.69)</f>
        <v>3.69</v>
      </c>
      <c r="J88" s="4">
        <f>IFERROR(__xludf.DUMMYFUNCTION("""COMPUTED_VALUE"""),2.69)</f>
        <v>2.69</v>
      </c>
      <c r="K88" s="8">
        <f>IFERROR(__xludf.DUMMYFUNCTION("""COMPUTED_VALUE"""),-0.0218)</f>
        <v>-0.0218</v>
      </c>
    </row>
    <row r="89" ht="15.75" customHeight="1">
      <c r="C89" s="2" t="str">
        <f>IFERROR(__xludf.DUMMYFUNCTION("""COMPUTED_VALUE"""),"Kenia [+]")</f>
        <v>Kenia [+]</v>
      </c>
      <c r="D89" s="2">
        <f>IFERROR(__xludf.DUMMYFUNCTION("""COMPUTED_VALUE"""),2014.0)</f>
        <v>2014</v>
      </c>
      <c r="E89" s="2">
        <f>IFERROR(__xludf.DUMMYFUNCTION("""COMPUTED_VALUE"""),618.0)</f>
        <v>618</v>
      </c>
      <c r="F89" s="6">
        <f>IFERROR(__xludf.DUMMYFUNCTION("""COMPUTED_VALUE"""),2339.0)</f>
        <v>2339</v>
      </c>
      <c r="G89" s="6">
        <f>IFERROR(__xludf.DUMMYFUNCTION("""COMPUTED_VALUE"""),2957.0)</f>
        <v>2957</v>
      </c>
      <c r="H89" s="7">
        <f>IFERROR(__xludf.DUMMYFUNCTION("""COMPUTED_VALUE"""),2.63)</f>
        <v>2.63</v>
      </c>
      <c r="I89" s="2">
        <f>IFERROR(__xludf.DUMMYFUNCTION("""COMPUTED_VALUE"""),10.08)</f>
        <v>10.08</v>
      </c>
      <c r="J89" s="4">
        <f>IFERROR(__xludf.DUMMYFUNCTION("""COMPUTED_VALUE"""),6.97)</f>
        <v>6.97</v>
      </c>
      <c r="K89" s="8">
        <f>IFERROR(__xludf.DUMMYFUNCTION("""COMPUTED_VALUE"""),0.0014)</f>
        <v>0.0014</v>
      </c>
    </row>
    <row r="90" ht="15.75" customHeight="1">
      <c r="C90" s="2" t="str">
        <f>IFERROR(__xludf.DUMMYFUNCTION("""COMPUTED_VALUE"""),"Kirguistán [+]")</f>
        <v>Kirguistán [+]</v>
      </c>
      <c r="D90" s="2">
        <f>IFERROR(__xludf.DUMMYFUNCTION("""COMPUTED_VALUE"""),2014.0)</f>
        <v>2014</v>
      </c>
      <c r="E90" s="2">
        <f>IFERROR(__xludf.DUMMYFUNCTION("""COMPUTED_VALUE"""),110.0)</f>
        <v>110</v>
      </c>
      <c r="F90" s="2">
        <f>IFERROR(__xludf.DUMMYFUNCTION("""COMPUTED_VALUE"""),376.0)</f>
        <v>376</v>
      </c>
      <c r="G90" s="2">
        <f>IFERROR(__xludf.DUMMYFUNCTION("""COMPUTED_VALUE"""),485.0)</f>
        <v>485</v>
      </c>
      <c r="H90" s="7">
        <f>IFERROR(__xludf.DUMMYFUNCTION("""COMPUTED_VALUE"""),3.72)</f>
        <v>3.72</v>
      </c>
      <c r="I90" s="2">
        <f>IFERROR(__xludf.DUMMYFUNCTION("""COMPUTED_VALUE"""),13.02)</f>
        <v>13.02</v>
      </c>
      <c r="J90" s="4">
        <f>IFERROR(__xludf.DUMMYFUNCTION("""COMPUTED_VALUE"""),8.4)</f>
        <v>8.4</v>
      </c>
      <c r="K90" s="8">
        <f>IFERROR(__xludf.DUMMYFUNCTION("""COMPUTED_VALUE"""),0.0487)</f>
        <v>0.0487</v>
      </c>
    </row>
    <row r="91" ht="15.75" customHeight="1">
      <c r="C91" s="2" t="str">
        <f>IFERROR(__xludf.DUMMYFUNCTION("""COMPUTED_VALUE"""),"Camboya [+]")</f>
        <v>Camboya [+]</v>
      </c>
      <c r="D91" s="2">
        <f>IFERROR(__xludf.DUMMYFUNCTION("""COMPUTED_VALUE"""),2014.0)</f>
        <v>2014</v>
      </c>
      <c r="E91" s="2">
        <f>IFERROR(__xludf.DUMMYFUNCTION("""COMPUTED_VALUE"""),666.0)</f>
        <v>666</v>
      </c>
      <c r="F91" s="6">
        <f>IFERROR(__xludf.DUMMYFUNCTION("""COMPUTED_VALUE"""),1210.0)</f>
        <v>1210</v>
      </c>
      <c r="G91" s="6">
        <f>IFERROR(__xludf.DUMMYFUNCTION("""COMPUTED_VALUE"""),1876.0)</f>
        <v>1876</v>
      </c>
      <c r="H91" s="7">
        <f>IFERROR(__xludf.DUMMYFUNCTION("""COMPUTED_VALUE"""),8.51)</f>
        <v>8.51</v>
      </c>
      <c r="I91" s="2">
        <f>IFERROR(__xludf.DUMMYFUNCTION("""COMPUTED_VALUE"""),16.24)</f>
        <v>16.24</v>
      </c>
      <c r="J91" s="4">
        <f>IFERROR(__xludf.DUMMYFUNCTION("""COMPUTED_VALUE"""),12.61)</f>
        <v>12.61</v>
      </c>
      <c r="K91" s="8">
        <f>IFERROR(__xludf.DUMMYFUNCTION("""COMPUTED_VALUE"""),-8.0E-4)</f>
        <v>-0.0008</v>
      </c>
    </row>
    <row r="92" ht="15.75" customHeight="1">
      <c r="C92" s="2" t="str">
        <f>IFERROR(__xludf.DUMMYFUNCTION("""COMPUTED_VALUE"""),"Kiribati [+]")</f>
        <v>Kiribati [+]</v>
      </c>
      <c r="D92" s="2">
        <f>IFERROR(__xludf.DUMMYFUNCTION("""COMPUTED_VALUE"""),2014.0)</f>
        <v>2014</v>
      </c>
      <c r="E92" s="2">
        <f>IFERROR(__xludf.DUMMYFUNCTION("""COMPUTED_VALUE"""),4.0)</f>
        <v>4</v>
      </c>
      <c r="F92" s="2">
        <f>IFERROR(__xludf.DUMMYFUNCTION("""COMPUTED_VALUE"""),13.0)</f>
        <v>13</v>
      </c>
      <c r="G92" s="2">
        <f>IFERROR(__xludf.DUMMYFUNCTION("""COMPUTED_VALUE"""),16.0)</f>
        <v>16</v>
      </c>
      <c r="H92" s="7">
        <f>IFERROR(__xludf.DUMMYFUNCTION("""COMPUTED_VALUE"""),6.5)</f>
        <v>6.5</v>
      </c>
      <c r="I92" s="2">
        <f>IFERROR(__xludf.DUMMYFUNCTION("""COMPUTED_VALUE"""),23.3)</f>
        <v>23.3</v>
      </c>
      <c r="J92" s="4">
        <f>IFERROR(__xludf.DUMMYFUNCTION("""COMPUTED_VALUE"""),14.8)</f>
        <v>14.8</v>
      </c>
      <c r="K92" s="8">
        <f>IFERROR(__xludf.DUMMYFUNCTION("""COMPUTED_VALUE"""),-0.0047)</f>
        <v>-0.0047</v>
      </c>
    </row>
    <row r="93" ht="15.75" customHeight="1">
      <c r="C93" s="2" t="str">
        <f>IFERROR(__xludf.DUMMYFUNCTION("""COMPUTED_VALUE"""),"Comoras [+]")</f>
        <v>Comoras [+]</v>
      </c>
      <c r="D93" s="5">
        <f>IFERROR(__xludf.DUMMYFUNCTION("""COMPUTED_VALUE"""),2014.0)</f>
        <v>2014</v>
      </c>
      <c r="E93" s="2">
        <f>IFERROR(__xludf.DUMMYFUNCTION("""COMPUTED_VALUE"""),20.0)</f>
        <v>20</v>
      </c>
      <c r="F93" s="2">
        <f>IFERROR(__xludf.DUMMYFUNCTION("""COMPUTED_VALUE"""),38.0)</f>
        <v>38</v>
      </c>
      <c r="G93" s="2">
        <f>IFERROR(__xludf.DUMMYFUNCTION("""COMPUTED_VALUE"""),58.0)</f>
        <v>58</v>
      </c>
      <c r="H93" s="7">
        <f>IFERROR(__xludf.DUMMYFUNCTION("""COMPUTED_VALUE"""),5.36)</f>
        <v>5.36</v>
      </c>
      <c r="I93" s="2">
        <f>IFERROR(__xludf.DUMMYFUNCTION("""COMPUTED_VALUE"""),9.8)</f>
        <v>9.8</v>
      </c>
      <c r="J93" s="4">
        <f>IFERROR(__xludf.DUMMYFUNCTION("""COMPUTED_VALUE"""),7.55)</f>
        <v>7.55</v>
      </c>
      <c r="K93" s="8">
        <f>IFERROR(__xludf.DUMMYFUNCTION("""COMPUTED_VALUE"""),0.0724)</f>
        <v>0.0724</v>
      </c>
    </row>
    <row r="94" ht="15.75" customHeight="1">
      <c r="C94" s="2" t="str">
        <f>IFERROR(__xludf.DUMMYFUNCTION("""COMPUTED_VALUE"""),"Corea del Norte [+]")</f>
        <v>Corea del Norte [+]</v>
      </c>
      <c r="D94" s="2">
        <f>IFERROR(__xludf.DUMMYFUNCTION("""COMPUTED_VALUE"""),2014.0)</f>
        <v>2014</v>
      </c>
      <c r="E94" s="6">
        <f>IFERROR(__xludf.DUMMYFUNCTION("""COMPUTED_VALUE"""),2037.0)</f>
        <v>2037</v>
      </c>
      <c r="F94" s="6">
        <f>IFERROR(__xludf.DUMMYFUNCTION("""COMPUTED_VALUE"""),2045.0)</f>
        <v>2045</v>
      </c>
      <c r="G94" s="6">
        <f>IFERROR(__xludf.DUMMYFUNCTION("""COMPUTED_VALUE"""),4082.0)</f>
        <v>4082</v>
      </c>
      <c r="H94" s="7">
        <f>IFERROR(__xludf.DUMMYFUNCTION("""COMPUTED_VALUE"""),15.9)</f>
        <v>15.9</v>
      </c>
      <c r="I94" s="2">
        <f>IFERROR(__xludf.DUMMYFUNCTION("""COMPUTED_VALUE"""),16.69)</f>
        <v>16.69</v>
      </c>
      <c r="J94" s="4">
        <f>IFERROR(__xludf.DUMMYFUNCTION("""COMPUTED_VALUE"""),16.29)</f>
        <v>16.29</v>
      </c>
      <c r="K94" s="8">
        <f>IFERROR(__xludf.DUMMYFUNCTION("""COMPUTED_VALUE"""),-0.0298)</f>
        <v>-0.0298</v>
      </c>
    </row>
    <row r="95" ht="15.75" customHeight="1">
      <c r="C95" s="2" t="str">
        <f>IFERROR(__xludf.DUMMYFUNCTION("""COMPUTED_VALUE"""),"Corea del Sur [+]")</f>
        <v>Corea del Sur [+]</v>
      </c>
      <c r="D95" s="2">
        <f>IFERROR(__xludf.DUMMYFUNCTION("""COMPUTED_VALUE"""),2014.0)</f>
        <v>2014</v>
      </c>
      <c r="E95" s="6">
        <f>IFERROR(__xludf.DUMMYFUNCTION("""COMPUTED_VALUE"""),4100.0)</f>
        <v>4100</v>
      </c>
      <c r="F95" s="6">
        <f>IFERROR(__xludf.DUMMYFUNCTION("""COMPUTED_VALUE"""),9736.0)</f>
        <v>9736</v>
      </c>
      <c r="G95" s="6">
        <f>IFERROR(__xludf.DUMMYFUNCTION("""COMPUTED_VALUE"""),13836.0)</f>
        <v>13836</v>
      </c>
      <c r="H95" s="7">
        <f>IFERROR(__xludf.DUMMYFUNCTION("""COMPUTED_VALUE"""),16.2)</f>
        <v>16.2</v>
      </c>
      <c r="I95" s="2">
        <f>IFERROR(__xludf.DUMMYFUNCTION("""COMPUTED_VALUE"""),38.3)</f>
        <v>38.3</v>
      </c>
      <c r="J95" s="4">
        <f>IFERROR(__xludf.DUMMYFUNCTION("""COMPUTED_VALUE"""),27.3)</f>
        <v>27.3</v>
      </c>
      <c r="K95" s="8">
        <f>IFERROR(__xludf.DUMMYFUNCTION("""COMPUTED_VALUE"""),-0.0455)</f>
        <v>-0.0455</v>
      </c>
    </row>
    <row r="96" ht="15.75" customHeight="1">
      <c r="C96" s="2" t="str">
        <f>IFERROR(__xludf.DUMMYFUNCTION("""COMPUTED_VALUE"""),"Kuwait [+]")</f>
        <v>Kuwait [+]</v>
      </c>
      <c r="D96" s="5">
        <f>IFERROR(__xludf.DUMMYFUNCTION("""COMPUTED_VALUE"""),2014.0)</f>
        <v>2014</v>
      </c>
      <c r="E96" s="2">
        <f>IFERROR(__xludf.DUMMYFUNCTION("""COMPUTED_VALUE"""),34.0)</f>
        <v>34</v>
      </c>
      <c r="F96" s="6">
        <f>IFERROR(__xludf.DUMMYFUNCTION("""COMPUTED_VALUE"""),113.0)</f>
        <v>113</v>
      </c>
      <c r="G96" s="2">
        <f>IFERROR(__xludf.DUMMYFUNCTION("""COMPUTED_VALUE"""),147.0)</f>
        <v>147</v>
      </c>
      <c r="H96" s="7">
        <f>IFERROR(__xludf.DUMMYFUNCTION("""COMPUTED_VALUE"""),2.21)</f>
        <v>2.21</v>
      </c>
      <c r="I96" s="2">
        <f>IFERROR(__xludf.DUMMYFUNCTION("""COMPUTED_VALUE"""),5.24)</f>
        <v>5.24</v>
      </c>
      <c r="J96" s="4">
        <f>IFERROR(__xludf.DUMMYFUNCTION("""COMPUTED_VALUE"""),3.64)</f>
        <v>3.64</v>
      </c>
      <c r="K96" s="8">
        <f>IFERROR(__xludf.DUMMYFUNCTION("""COMPUTED_VALUE"""),0.0196)</f>
        <v>0.0196</v>
      </c>
    </row>
    <row r="97" ht="15.75" customHeight="1">
      <c r="C97" s="2" t="str">
        <f>IFERROR(__xludf.DUMMYFUNCTION("""COMPUTED_VALUE"""),"Kazajistán [+]")</f>
        <v>Kazajistán [+]</v>
      </c>
      <c r="D97" s="5">
        <f>IFERROR(__xludf.DUMMYFUNCTION("""COMPUTED_VALUE"""),2014.0)</f>
        <v>2014</v>
      </c>
      <c r="E97" s="2">
        <f>IFERROR(__xludf.DUMMYFUNCTION("""COMPUTED_VALUE"""),883.0)</f>
        <v>883</v>
      </c>
      <c r="F97" s="6">
        <f>IFERROR(__xludf.DUMMYFUNCTION("""COMPUTED_VALUE"""),4148.0)</f>
        <v>4148</v>
      </c>
      <c r="G97" s="6">
        <f>IFERROR(__xludf.DUMMYFUNCTION("""COMPUTED_VALUE"""),5030.0)</f>
        <v>5030</v>
      </c>
      <c r="H97" s="7">
        <f>IFERROR(__xludf.DUMMYFUNCTION("""COMPUTED_VALUE"""),9.89)</f>
        <v>9.89</v>
      </c>
      <c r="I97" s="2">
        <f>IFERROR(__xludf.DUMMYFUNCTION("""COMPUTED_VALUE"""),49.57)</f>
        <v>49.57</v>
      </c>
      <c r="J97" s="4">
        <f>IFERROR(__xludf.DUMMYFUNCTION("""COMPUTED_VALUE"""),28.88)</f>
        <v>28.88</v>
      </c>
      <c r="K97" s="8">
        <f>IFERROR(__xludf.DUMMYFUNCTION("""COMPUTED_VALUE"""),-0.075)</f>
        <v>-0.075</v>
      </c>
    </row>
    <row r="98" ht="15.75" customHeight="1">
      <c r="C98" s="2" t="str">
        <f>IFERROR(__xludf.DUMMYFUNCTION("""COMPUTED_VALUE"""),"Laos [+]")</f>
        <v>Laos [+]</v>
      </c>
      <c r="D98" s="5">
        <f>IFERROR(__xludf.DUMMYFUNCTION("""COMPUTED_VALUE"""),2014.0)</f>
        <v>2014</v>
      </c>
      <c r="E98" s="2">
        <f>IFERROR(__xludf.DUMMYFUNCTION("""COMPUTED_VALUE"""),318.0)</f>
        <v>318</v>
      </c>
      <c r="F98" s="6">
        <f>IFERROR(__xludf.DUMMYFUNCTION("""COMPUTED_VALUE"""),508.0)</f>
        <v>508</v>
      </c>
      <c r="G98" s="2">
        <f>IFERROR(__xludf.DUMMYFUNCTION("""COMPUTED_VALUE"""),826.0)</f>
        <v>826</v>
      </c>
      <c r="H98" s="7">
        <f>IFERROR(__xludf.DUMMYFUNCTION("""COMPUTED_VALUE"""),9.58)</f>
        <v>9.58</v>
      </c>
      <c r="I98" s="2">
        <f>IFERROR(__xludf.DUMMYFUNCTION("""COMPUTED_VALUE"""),15.28)</f>
        <v>15.28</v>
      </c>
      <c r="J98" s="4">
        <f>IFERROR(__xludf.DUMMYFUNCTION("""COMPUTED_VALUE"""),12.44)</f>
        <v>12.44</v>
      </c>
      <c r="K98" s="8">
        <f>IFERROR(__xludf.DUMMYFUNCTION("""COMPUTED_VALUE"""),-8.0E-4)</f>
        <v>-0.0008</v>
      </c>
    </row>
    <row r="99" ht="15.75" customHeight="1">
      <c r="C99" s="2" t="str">
        <f>IFERROR(__xludf.DUMMYFUNCTION("""COMPUTED_VALUE"""),"Líbano [+]")</f>
        <v>Líbano [+]</v>
      </c>
      <c r="D99" s="5">
        <f>IFERROR(__xludf.DUMMYFUNCTION("""COMPUTED_VALUE"""),2014.0)</f>
        <v>2014</v>
      </c>
      <c r="E99" s="2">
        <f>IFERROR(__xludf.DUMMYFUNCTION("""COMPUTED_VALUE"""),59.0)</f>
        <v>59</v>
      </c>
      <c r="F99" s="6">
        <f>IFERROR(__xludf.DUMMYFUNCTION("""COMPUTED_VALUE"""),115.0)</f>
        <v>115</v>
      </c>
      <c r="G99" s="2">
        <f>IFERROR(__xludf.DUMMYFUNCTION("""COMPUTED_VALUE"""),174.0)</f>
        <v>174</v>
      </c>
      <c r="H99" s="7">
        <f>IFERROR(__xludf.DUMMYFUNCTION("""COMPUTED_VALUE"""),1.91)</f>
        <v>1.91</v>
      </c>
      <c r="I99" s="2">
        <f>IFERROR(__xludf.DUMMYFUNCTION("""COMPUTED_VALUE"""),3.64)</f>
        <v>3.64</v>
      </c>
      <c r="J99" s="4">
        <f>IFERROR(__xludf.DUMMYFUNCTION("""COMPUTED_VALUE"""),2.78)</f>
        <v>2.78</v>
      </c>
      <c r="K99" s="8">
        <f>IFERROR(__xludf.DUMMYFUNCTION("""COMPUTED_VALUE"""),0.0412)</f>
        <v>0.0412</v>
      </c>
    </row>
    <row r="100" ht="15.75" customHeight="1">
      <c r="C100" s="2" t="str">
        <f>IFERROR(__xludf.DUMMYFUNCTION("""COMPUTED_VALUE"""),"Santa Lucía [+]")</f>
        <v>Santa Lucía [+]</v>
      </c>
      <c r="D100" s="2">
        <f>IFERROR(__xludf.DUMMYFUNCTION("""COMPUTED_VALUE"""),2014.0)</f>
        <v>2014</v>
      </c>
      <c r="E100" s="2">
        <f>IFERROR(__xludf.DUMMYFUNCTION("""COMPUTED_VALUE"""),3.0)</f>
        <v>3</v>
      </c>
      <c r="F100" s="2">
        <f>IFERROR(__xludf.DUMMYFUNCTION("""COMPUTED_VALUE"""),11.0)</f>
        <v>11</v>
      </c>
      <c r="G100" s="2">
        <f>IFERROR(__xludf.DUMMYFUNCTION("""COMPUTED_VALUE"""),14.0)</f>
        <v>14</v>
      </c>
      <c r="H100" s="7">
        <f>IFERROR(__xludf.DUMMYFUNCTION("""COMPUTED_VALUE"""),2.78)</f>
        <v>2.78</v>
      </c>
      <c r="I100" s="2">
        <f>IFERROR(__xludf.DUMMYFUNCTION("""COMPUTED_VALUE"""),12.52)</f>
        <v>12.52</v>
      </c>
      <c r="J100" s="4">
        <f>IFERROR(__xludf.DUMMYFUNCTION("""COMPUTED_VALUE"""),7.81)</f>
        <v>7.81</v>
      </c>
      <c r="K100" s="8">
        <f>IFERROR(__xludf.DUMMYFUNCTION("""COMPUTED_VALUE"""),0.1141)</f>
        <v>0.1141</v>
      </c>
    </row>
    <row r="101" ht="15.75" customHeight="1">
      <c r="C101" s="2" t="str">
        <f>IFERROR(__xludf.DUMMYFUNCTION("""COMPUTED_VALUE"""),"Liechtenstein [+]")</f>
        <v>Liechtenstein [+]</v>
      </c>
      <c r="D101" s="2">
        <f>IFERROR(__xludf.DUMMYFUNCTION("""COMPUTED_VALUE"""),2014.0)</f>
        <v>2014</v>
      </c>
      <c r="E101" s="2">
        <f>IFERROR(__xludf.DUMMYFUNCTION("""COMPUTED_VALUE"""),1.0)</f>
        <v>1</v>
      </c>
      <c r="F101" s="2">
        <f>IFERROR(__xludf.DUMMYFUNCTION("""COMPUTED_VALUE"""),1.0)</f>
        <v>1</v>
      </c>
      <c r="G101" s="2">
        <f>IFERROR(__xludf.DUMMYFUNCTION("""COMPUTED_VALUE"""),1.0)</f>
        <v>1</v>
      </c>
      <c r="H101" s="7">
        <f>IFERROR(__xludf.DUMMYFUNCTION("""COMPUTED_VALUE"""),10.8)</f>
        <v>10.8</v>
      </c>
      <c r="I101" s="2">
        <f>IFERROR(__xludf.DUMMYFUNCTION("""COMPUTED_VALUE"""),21.65)</f>
        <v>21.65</v>
      </c>
      <c r="J101" s="4">
        <f>IFERROR(__xludf.DUMMYFUNCTION("""COMPUTED_VALUE"""),10.74)</f>
        <v>10.74</v>
      </c>
      <c r="K101" s="8">
        <f>IFERROR(__xludf.DUMMYFUNCTION("""COMPUTED_VALUE"""),0.3243)</f>
        <v>0.3243</v>
      </c>
    </row>
    <row r="102" ht="15.75" customHeight="1">
      <c r="C102" s="2" t="str">
        <f>IFERROR(__xludf.DUMMYFUNCTION("""COMPUTED_VALUE"""),"Sri Lanka [+]")</f>
        <v>Sri Lanka [+]</v>
      </c>
      <c r="D102" s="2">
        <f>IFERROR(__xludf.DUMMYFUNCTION("""COMPUTED_VALUE"""),2014.0)</f>
        <v>2014</v>
      </c>
      <c r="E102" s="6">
        <f>IFERROR(__xludf.DUMMYFUNCTION("""COMPUTED_VALUE"""),1440.0)</f>
        <v>1440</v>
      </c>
      <c r="F102" s="6">
        <f>IFERROR(__xludf.DUMMYFUNCTION("""COMPUTED_VALUE"""),5779.0)</f>
        <v>5779</v>
      </c>
      <c r="G102" s="6">
        <f>IFERROR(__xludf.DUMMYFUNCTION("""COMPUTED_VALUE"""),7219.0)</f>
        <v>7219</v>
      </c>
      <c r="H102" s="7">
        <f>IFERROR(__xludf.DUMMYFUNCTION("""COMPUTED_VALUE"""),13.4)</f>
        <v>13.4</v>
      </c>
      <c r="I102" s="2">
        <f>IFERROR(__xludf.DUMMYFUNCTION("""COMPUTED_VALUE"""),57.61)</f>
        <v>57.61</v>
      </c>
      <c r="J102" s="4">
        <f>IFERROR(__xludf.DUMMYFUNCTION("""COMPUTED_VALUE"""),34.74)</f>
        <v>34.74</v>
      </c>
      <c r="K102" s="8">
        <f>IFERROR(__xludf.DUMMYFUNCTION("""COMPUTED_VALUE"""),0.0149)</f>
        <v>0.0149</v>
      </c>
    </row>
    <row r="103" ht="15.75" customHeight="1">
      <c r="C103" s="2" t="str">
        <f>IFERROR(__xludf.DUMMYFUNCTION("""COMPUTED_VALUE"""),"Liberia [+]")</f>
        <v>Liberia [+]</v>
      </c>
      <c r="D103" s="5">
        <f>IFERROR(__xludf.DUMMYFUNCTION("""COMPUTED_VALUE"""),2014.0)</f>
        <v>2014</v>
      </c>
      <c r="E103" s="2">
        <f>IFERROR(__xludf.DUMMYFUNCTION("""COMPUTED_VALUE"""),54.0)</f>
        <v>54</v>
      </c>
      <c r="F103" s="6">
        <f>IFERROR(__xludf.DUMMYFUNCTION("""COMPUTED_VALUE"""),215.0)</f>
        <v>215</v>
      </c>
      <c r="G103" s="2">
        <f>IFERROR(__xludf.DUMMYFUNCTION("""COMPUTED_VALUE"""),269.0)</f>
        <v>269</v>
      </c>
      <c r="H103" s="7">
        <f>IFERROR(__xludf.DUMMYFUNCTION("""COMPUTED_VALUE"""),2.5)</f>
        <v>2.5</v>
      </c>
      <c r="I103" s="2">
        <f>IFERROR(__xludf.DUMMYFUNCTION("""COMPUTED_VALUE"""),9.82)</f>
        <v>9.82</v>
      </c>
      <c r="J103" s="4">
        <f>IFERROR(__xludf.DUMMYFUNCTION("""COMPUTED_VALUE"""),6.17)</f>
        <v>6.17</v>
      </c>
      <c r="K103" s="8">
        <f>IFERROR(__xludf.DUMMYFUNCTION("""COMPUTED_VALUE"""),-0.075)</f>
        <v>-0.075</v>
      </c>
    </row>
    <row r="104" ht="15.75" customHeight="1">
      <c r="C104" s="2" t="str">
        <f>IFERROR(__xludf.DUMMYFUNCTION("""COMPUTED_VALUE"""),"Lesoto [+]")</f>
        <v>Lesoto [+]</v>
      </c>
      <c r="D104" s="2">
        <f>IFERROR(__xludf.DUMMYFUNCTION("""COMPUTED_VALUE"""),2014.0)</f>
        <v>2014</v>
      </c>
      <c r="E104" s="2">
        <f>IFERROR(__xludf.DUMMYFUNCTION("""COMPUTED_VALUE"""),65.0)</f>
        <v>65</v>
      </c>
      <c r="F104" s="2">
        <f>IFERROR(__xludf.DUMMYFUNCTION("""COMPUTED_VALUE"""),158.0)</f>
        <v>158</v>
      </c>
      <c r="G104" s="2">
        <f>IFERROR(__xludf.DUMMYFUNCTION("""COMPUTED_VALUE"""),223.0)</f>
        <v>223</v>
      </c>
      <c r="H104" s="7">
        <f>IFERROR(__xludf.DUMMYFUNCTION("""COMPUTED_VALUE"""),6.29)</f>
        <v>6.29</v>
      </c>
      <c r="I104" s="2">
        <f>IFERROR(__xludf.DUMMYFUNCTION("""COMPUTED_VALUE"""),15.75)</f>
        <v>15.75</v>
      </c>
      <c r="J104" s="4">
        <f>IFERROR(__xludf.DUMMYFUNCTION("""COMPUTED_VALUE"""),11.28)</f>
        <v>11.28</v>
      </c>
      <c r="K104" s="8">
        <f>IFERROR(__xludf.DUMMYFUNCTION("""COMPUTED_VALUE"""),-0.007)</f>
        <v>-0.007</v>
      </c>
    </row>
    <row r="105" ht="15.75" customHeight="1">
      <c r="C105" s="2" t="str">
        <f>IFERROR(__xludf.DUMMYFUNCTION("""COMPUTED_VALUE"""),"Lituania [+]")</f>
        <v>Lituania [+]</v>
      </c>
      <c r="D105" s="5">
        <f>IFERROR(__xludf.DUMMYFUNCTION("""COMPUTED_VALUE"""),2014.0)</f>
        <v>2014</v>
      </c>
      <c r="E105" s="2">
        <f>IFERROR(__xludf.DUMMYFUNCTION("""COMPUTED_VALUE"""),160.0)</f>
        <v>160</v>
      </c>
      <c r="F105" s="6">
        <f>IFERROR(__xludf.DUMMYFUNCTION("""COMPUTED_VALUE"""),771.0)</f>
        <v>771</v>
      </c>
      <c r="G105" s="2">
        <f>IFERROR(__xludf.DUMMYFUNCTION("""COMPUTED_VALUE"""),931.0)</f>
        <v>931</v>
      </c>
      <c r="H105" s="7">
        <f>IFERROR(__xludf.DUMMYFUNCTION("""COMPUTED_VALUE"""),10.12)</f>
        <v>10.12</v>
      </c>
      <c r="I105" s="2">
        <f>IFERROR(__xludf.DUMMYFUNCTION("""COMPUTED_VALUE"""),57.29)</f>
        <v>57.29</v>
      </c>
      <c r="J105" s="4">
        <f>IFERROR(__xludf.DUMMYFUNCTION("""COMPUTED_VALUE"""),31.89)</f>
        <v>31.89</v>
      </c>
      <c r="K105" s="8">
        <f>IFERROR(__xludf.DUMMYFUNCTION("""COMPUTED_VALUE"""),-0.1315)</f>
        <v>-0.1315</v>
      </c>
    </row>
    <row r="106" ht="15.75" customHeight="1">
      <c r="C106" s="2" t="str">
        <f>IFERROR(__xludf.DUMMYFUNCTION("""COMPUTED_VALUE"""),"Luxemburgo [+]")</f>
        <v>Luxemburgo [+]</v>
      </c>
      <c r="D106" s="5">
        <f>IFERROR(__xludf.DUMMYFUNCTION("""COMPUTED_VALUE"""),2014.0)</f>
        <v>2014</v>
      </c>
      <c r="E106" s="2">
        <f>IFERROR(__xludf.DUMMYFUNCTION("""COMPUTED_VALUE"""),15.0)</f>
        <v>15</v>
      </c>
      <c r="F106" s="6">
        <f>IFERROR(__xludf.DUMMYFUNCTION("""COMPUTED_VALUE"""),60.0)</f>
        <v>60</v>
      </c>
      <c r="G106" s="2">
        <f>IFERROR(__xludf.DUMMYFUNCTION("""COMPUTED_VALUE"""),75.0)</f>
        <v>75</v>
      </c>
      <c r="H106" s="7">
        <f>IFERROR(__xludf.DUMMYFUNCTION("""COMPUTED_VALUE"""),5.76)</f>
        <v>5.76</v>
      </c>
      <c r="I106" s="2">
        <f>IFERROR(__xludf.DUMMYFUNCTION("""COMPUTED_VALUE"""),19.03)</f>
        <v>19.03</v>
      </c>
      <c r="J106" s="4">
        <f>IFERROR(__xludf.DUMMYFUNCTION("""COMPUTED_VALUE"""),12.4)</f>
        <v>12.4</v>
      </c>
      <c r="K106" s="8">
        <f>IFERROR(__xludf.DUMMYFUNCTION("""COMPUTED_VALUE"""),0.5309)</f>
        <v>0.5309</v>
      </c>
    </row>
    <row r="107" ht="15.75" customHeight="1">
      <c r="C107" s="2" t="str">
        <f>IFERROR(__xludf.DUMMYFUNCTION("""COMPUTED_VALUE"""),"Letonia [+]")</f>
        <v>Letonia [+]</v>
      </c>
      <c r="D107" s="2">
        <f>IFERROR(__xludf.DUMMYFUNCTION("""COMPUTED_VALUE"""),2014.0)</f>
        <v>2014</v>
      </c>
      <c r="E107" s="2">
        <f>IFERROR(__xludf.DUMMYFUNCTION("""COMPUTED_VALUE"""),71.0)</f>
        <v>71</v>
      </c>
      <c r="F107" s="2">
        <f>IFERROR(__xludf.DUMMYFUNCTION("""COMPUTED_VALUE"""),313.0)</f>
        <v>313</v>
      </c>
      <c r="G107" s="2">
        <f>IFERROR(__xludf.DUMMYFUNCTION("""COMPUTED_VALUE"""),384.0)</f>
        <v>384</v>
      </c>
      <c r="H107" s="7">
        <f>IFERROR(__xludf.DUMMYFUNCTION("""COMPUTED_VALUE"""),6.67)</f>
        <v>6.67</v>
      </c>
      <c r="I107" s="2">
        <f>IFERROR(__xludf.DUMMYFUNCTION("""COMPUTED_VALUE"""),34.24)</f>
        <v>34.24</v>
      </c>
      <c r="J107" s="4">
        <f>IFERROR(__xludf.DUMMYFUNCTION("""COMPUTED_VALUE"""),19.31)</f>
        <v>19.31</v>
      </c>
      <c r="K107" s="8">
        <f>IFERROR(__xludf.DUMMYFUNCTION("""COMPUTED_VALUE"""),0.0016)</f>
        <v>0.0016</v>
      </c>
    </row>
    <row r="108" ht="15.75" customHeight="1">
      <c r="C108" s="2" t="str">
        <f>IFERROR(__xludf.DUMMYFUNCTION("""COMPUTED_VALUE"""),"Libia [+]")</f>
        <v>Libia [+]</v>
      </c>
      <c r="D108" s="2">
        <f>IFERROR(__xludf.DUMMYFUNCTION("""COMPUTED_VALUE"""),2014.0)</f>
        <v>2014</v>
      </c>
      <c r="E108" s="2">
        <f>IFERROR(__xludf.DUMMYFUNCTION("""COMPUTED_VALUE"""),87.0)</f>
        <v>87</v>
      </c>
      <c r="F108" s="2">
        <f>IFERROR(__xludf.DUMMYFUNCTION("""COMPUTED_VALUE"""),293.0)</f>
        <v>293</v>
      </c>
      <c r="G108" s="2">
        <f>IFERROR(__xludf.DUMMYFUNCTION("""COMPUTED_VALUE"""),380.0)</f>
        <v>380</v>
      </c>
      <c r="H108" s="7">
        <f>IFERROR(__xludf.DUMMYFUNCTION("""COMPUTED_VALUE"""),2.78)</f>
        <v>2.78</v>
      </c>
      <c r="I108" s="2">
        <f>IFERROR(__xludf.DUMMYFUNCTION("""COMPUTED_VALUE"""),9.09)</f>
        <v>9.09</v>
      </c>
      <c r="J108" s="4">
        <f>IFERROR(__xludf.DUMMYFUNCTION("""COMPUTED_VALUE"""),6.07)</f>
        <v>6.07</v>
      </c>
      <c r="K108" s="8">
        <f>IFERROR(__xludf.DUMMYFUNCTION("""COMPUTED_VALUE"""),-0.0872)</f>
        <v>-0.0872</v>
      </c>
    </row>
    <row r="109" ht="15.75" customHeight="1">
      <c r="C109" s="2" t="str">
        <f>IFERROR(__xludf.DUMMYFUNCTION("""COMPUTED_VALUE"""),"Marruecos [+]")</f>
        <v>Marruecos [+]</v>
      </c>
      <c r="D109" s="2">
        <f>IFERROR(__xludf.DUMMYFUNCTION("""COMPUTED_VALUE"""),2014.0)</f>
        <v>2014</v>
      </c>
      <c r="E109" s="2">
        <f>IFERROR(__xludf.DUMMYFUNCTION("""COMPUTED_VALUE"""),573.0)</f>
        <v>573</v>
      </c>
      <c r="F109" s="6">
        <f>IFERROR(__xludf.DUMMYFUNCTION("""COMPUTED_VALUE"""),1051.0)</f>
        <v>1051</v>
      </c>
      <c r="G109" s="6">
        <f>IFERROR(__xludf.DUMMYFUNCTION("""COMPUTED_VALUE"""),1623.0)</f>
        <v>1623</v>
      </c>
      <c r="H109" s="7">
        <f>IFERROR(__xludf.DUMMYFUNCTION("""COMPUTED_VALUE"""),3.32)</f>
        <v>3.32</v>
      </c>
      <c r="I109" s="2">
        <f>IFERROR(__xludf.DUMMYFUNCTION("""COMPUTED_VALUE"""),6.21)</f>
        <v>6.21</v>
      </c>
      <c r="J109" s="4">
        <f>IFERROR(__xludf.DUMMYFUNCTION("""COMPUTED_VALUE"""),4.81)</f>
        <v>4.81</v>
      </c>
      <c r="K109" s="4">
        <f>IFERROR(__xludf.DUMMYFUNCTION("""COMPUTED_VALUE"""),0.0)</f>
        <v>0</v>
      </c>
    </row>
    <row r="110" ht="15.75" customHeight="1">
      <c r="C110" s="2" t="str">
        <f>IFERROR(__xludf.DUMMYFUNCTION("""COMPUTED_VALUE"""),"Moldavia [+]")</f>
        <v>Moldavia [+]</v>
      </c>
      <c r="D110" s="2">
        <f>IFERROR(__xludf.DUMMYFUNCTION("""COMPUTED_VALUE"""),2014.0)</f>
        <v>2014</v>
      </c>
      <c r="E110" s="2">
        <f>IFERROR(__xludf.DUMMYFUNCTION("""COMPUTED_VALUE"""),92.0)</f>
        <v>92</v>
      </c>
      <c r="F110" s="2">
        <f>IFERROR(__xludf.DUMMYFUNCTION("""COMPUTED_VALUE"""),568.0)</f>
        <v>568</v>
      </c>
      <c r="G110" s="2">
        <f>IFERROR(__xludf.DUMMYFUNCTION("""COMPUTED_VALUE"""),661.0)</f>
        <v>661</v>
      </c>
      <c r="H110" s="7">
        <f>IFERROR(__xludf.DUMMYFUNCTION("""COMPUTED_VALUE"""),5.0)</f>
        <v>5</v>
      </c>
      <c r="I110" s="2">
        <f>IFERROR(__xludf.DUMMYFUNCTION("""COMPUTED_VALUE"""),33.24)</f>
        <v>33.24</v>
      </c>
      <c r="J110" s="4">
        <f>IFERROR(__xludf.DUMMYFUNCTION("""COMPUTED_VALUE"""),18.58)</f>
        <v>18.58</v>
      </c>
      <c r="K110" s="8">
        <f>IFERROR(__xludf.DUMMYFUNCTION("""COMPUTED_VALUE"""),5.0E-4)</f>
        <v>0.0005</v>
      </c>
    </row>
    <row r="111" ht="15.75" customHeight="1">
      <c r="C111" s="2" t="str">
        <f>IFERROR(__xludf.DUMMYFUNCTION("""COMPUTED_VALUE"""),"Montenegro [+]")</f>
        <v>Montenegro [+]</v>
      </c>
      <c r="D111" s="2">
        <f>IFERROR(__xludf.DUMMYFUNCTION("""COMPUTED_VALUE"""),2014.0)</f>
        <v>2014</v>
      </c>
      <c r="E111" s="2">
        <f>IFERROR(__xludf.DUMMYFUNCTION("""COMPUTED_VALUE"""),23.0)</f>
        <v>23</v>
      </c>
      <c r="F111" s="2">
        <f>IFERROR(__xludf.DUMMYFUNCTION("""COMPUTED_VALUE"""),46.0)</f>
        <v>46</v>
      </c>
      <c r="G111" s="2">
        <f>IFERROR(__xludf.DUMMYFUNCTION("""COMPUTED_VALUE"""),69.0)</f>
        <v>69</v>
      </c>
      <c r="H111" s="7">
        <f>IFERROR(__xludf.DUMMYFUNCTION("""COMPUTED_VALUE"""),7.22)</f>
        <v>7.22</v>
      </c>
      <c r="I111" s="2">
        <f>IFERROR(__xludf.DUMMYFUNCTION("""COMPUTED_VALUE"""),14.98)</f>
        <v>14.98</v>
      </c>
      <c r="J111" s="4">
        <f>IFERROR(__xludf.DUMMYFUNCTION("""COMPUTED_VALUE"""),11.05)</f>
        <v>11.05</v>
      </c>
      <c r="K111" s="8">
        <f>IFERROR(__xludf.DUMMYFUNCTION("""COMPUTED_VALUE"""),-9.0E-4)</f>
        <v>-0.0009</v>
      </c>
    </row>
    <row r="112" ht="15.75" customHeight="1">
      <c r="C112" s="2" t="str">
        <f>IFERROR(__xludf.DUMMYFUNCTION("""COMPUTED_VALUE"""),"Madagascar [+]")</f>
        <v>Madagascar [+]</v>
      </c>
      <c r="D112" s="2">
        <f>IFERROR(__xludf.DUMMYFUNCTION("""COMPUTED_VALUE"""),2014.0)</f>
        <v>2014</v>
      </c>
      <c r="E112" s="2">
        <f>IFERROR(__xludf.DUMMYFUNCTION("""COMPUTED_VALUE"""),302.0)</f>
        <v>302</v>
      </c>
      <c r="F112" s="2">
        <f>IFERROR(__xludf.DUMMYFUNCTION("""COMPUTED_VALUE"""),841.0)</f>
        <v>841</v>
      </c>
      <c r="G112" s="6">
        <f>IFERROR(__xludf.DUMMYFUNCTION("""COMPUTED_VALUE"""),1143.0)</f>
        <v>1143</v>
      </c>
      <c r="H112" s="7">
        <f>IFERROR(__xludf.DUMMYFUNCTION("""COMPUTED_VALUE"""),2.55)</f>
        <v>2.55</v>
      </c>
      <c r="I112" s="2">
        <f>IFERROR(__xludf.DUMMYFUNCTION("""COMPUTED_VALUE"""),7.15)</f>
        <v>7.15</v>
      </c>
      <c r="J112" s="4">
        <f>IFERROR(__xludf.DUMMYFUNCTION("""COMPUTED_VALUE"""),5.01)</f>
        <v>5.01</v>
      </c>
      <c r="K112" s="8">
        <f>IFERROR(__xludf.DUMMYFUNCTION("""COMPUTED_VALUE"""),-0.0196)</f>
        <v>-0.0196</v>
      </c>
    </row>
    <row r="113" ht="15.75" customHeight="1">
      <c r="C113" s="2" t="str">
        <f>IFERROR(__xludf.DUMMYFUNCTION("""COMPUTED_VALUE"""),"Macedonia del Norte [+]")</f>
        <v>Macedonia del Norte [+]</v>
      </c>
      <c r="D113" s="2">
        <f>IFERROR(__xludf.DUMMYFUNCTION("""COMPUTED_VALUE"""),2010.0)</f>
        <v>2010</v>
      </c>
      <c r="E113" s="2">
        <f>IFERROR(__xludf.DUMMYFUNCTION("""COMPUTED_VALUE"""),35.0)</f>
        <v>35</v>
      </c>
      <c r="F113" s="2">
        <f>IFERROR(__xludf.DUMMYFUNCTION("""COMPUTED_VALUE"""),87.0)</f>
        <v>87</v>
      </c>
      <c r="G113" s="2">
        <f>IFERROR(__xludf.DUMMYFUNCTION("""COMPUTED_VALUE"""),122.0)</f>
        <v>122</v>
      </c>
      <c r="H113" s="7">
        <f>IFERROR(__xludf.DUMMYFUNCTION("""COMPUTED_VALUE"""),3.4)</f>
        <v>3.4</v>
      </c>
      <c r="I113" s="2">
        <f>IFERROR(__xludf.DUMMYFUNCTION("""COMPUTED_VALUE"""),8.4)</f>
        <v>8.4</v>
      </c>
      <c r="J113" s="4">
        <f>IFERROR(__xludf.DUMMYFUNCTION("""COMPUTED_VALUE"""),5.9)</f>
        <v>5.9</v>
      </c>
      <c r="K113" s="8">
        <f>IFERROR(__xludf.DUMMYFUNCTION("""COMPUTED_VALUE"""),-0.2716)</f>
        <v>-0.2716</v>
      </c>
    </row>
    <row r="114" ht="15.75" customHeight="1">
      <c r="C114" s="2" t="str">
        <f>IFERROR(__xludf.DUMMYFUNCTION("""COMPUTED_VALUE"""),"Malí [+]")</f>
        <v>Malí [+]</v>
      </c>
      <c r="D114" s="2">
        <f>IFERROR(__xludf.DUMMYFUNCTION("""COMPUTED_VALUE"""),2014.0)</f>
        <v>2014</v>
      </c>
      <c r="E114" s="2">
        <f>IFERROR(__xludf.DUMMYFUNCTION("""COMPUTED_VALUE"""),326.0)</f>
        <v>326</v>
      </c>
      <c r="F114" s="2">
        <f>IFERROR(__xludf.DUMMYFUNCTION("""COMPUTED_VALUE"""),678.0)</f>
        <v>678</v>
      </c>
      <c r="G114" s="6">
        <f>IFERROR(__xludf.DUMMYFUNCTION("""COMPUTED_VALUE"""),1003.0)</f>
        <v>1003</v>
      </c>
      <c r="H114" s="7">
        <f>IFERROR(__xludf.DUMMYFUNCTION("""COMPUTED_VALUE"""),3.85)</f>
        <v>3.85</v>
      </c>
      <c r="I114" s="2">
        <f>IFERROR(__xludf.DUMMYFUNCTION("""COMPUTED_VALUE"""),8.0)</f>
        <v>8</v>
      </c>
      <c r="J114" s="4">
        <f>IFERROR(__xludf.DUMMYFUNCTION("""COMPUTED_VALUE"""),5.92)</f>
        <v>5.92</v>
      </c>
      <c r="K114" s="8">
        <f>IFERROR(__xludf.DUMMYFUNCTION("""COMPUTED_VALUE"""),-0.01)</f>
        <v>-0.01</v>
      </c>
    </row>
    <row r="115" ht="15.75" customHeight="1">
      <c r="C115" s="2" t="str">
        <f>IFERROR(__xludf.DUMMYFUNCTION("""COMPUTED_VALUE"""),"Myanmar [+]")</f>
        <v>Myanmar [+]</v>
      </c>
      <c r="D115" s="2">
        <f>IFERROR(__xludf.DUMMYFUNCTION("""COMPUTED_VALUE"""),2014.0)</f>
        <v>2014</v>
      </c>
      <c r="E115" s="2">
        <f>IFERROR(__xludf.DUMMYFUNCTION("""COMPUTED_VALUE"""),866.0)</f>
        <v>866</v>
      </c>
      <c r="F115" s="6">
        <f>IFERROR(__xludf.DUMMYFUNCTION("""COMPUTED_VALUE"""),1358.0)</f>
        <v>1358</v>
      </c>
      <c r="G115" s="6">
        <f>IFERROR(__xludf.DUMMYFUNCTION("""COMPUTED_VALUE"""),2224.0)</f>
        <v>2224</v>
      </c>
      <c r="H115" s="7">
        <f>IFERROR(__xludf.DUMMYFUNCTION("""COMPUTED_VALUE"""),3.2)</f>
        <v>3.2</v>
      </c>
      <c r="I115" s="2">
        <f>IFERROR(__xludf.DUMMYFUNCTION("""COMPUTED_VALUE"""),5.39)</f>
        <v>5.39</v>
      </c>
      <c r="J115" s="4">
        <f>IFERROR(__xludf.DUMMYFUNCTION("""COMPUTED_VALUE"""),4.38)</f>
        <v>4.38</v>
      </c>
      <c r="K115" s="8">
        <f>IFERROR(__xludf.DUMMYFUNCTION("""COMPUTED_VALUE"""),0.0453)</f>
        <v>0.0453</v>
      </c>
    </row>
    <row r="116" ht="15.75" customHeight="1">
      <c r="C116" s="2" t="str">
        <f>IFERROR(__xludf.DUMMYFUNCTION("""COMPUTED_VALUE"""),"Mongolia [+]")</f>
        <v>Mongolia [+]</v>
      </c>
      <c r="D116" s="2">
        <f>IFERROR(__xludf.DUMMYFUNCTION("""COMPUTED_VALUE"""),2014.0)</f>
        <v>2014</v>
      </c>
      <c r="E116" s="2">
        <f>IFERROR(__xludf.DUMMYFUNCTION("""COMPUTED_VALUE"""),138.0)</f>
        <v>138</v>
      </c>
      <c r="F116" s="2">
        <f>IFERROR(__xludf.DUMMYFUNCTION("""COMPUTED_VALUE"""),704.0)</f>
        <v>704</v>
      </c>
      <c r="G116" s="2">
        <f>IFERROR(__xludf.DUMMYFUNCTION("""COMPUTED_VALUE"""),842.0)</f>
        <v>842</v>
      </c>
      <c r="H116" s="7">
        <f>IFERROR(__xludf.DUMMYFUNCTION("""COMPUTED_VALUE"""),9.3)</f>
        <v>9.3</v>
      </c>
      <c r="I116" s="2">
        <f>IFERROR(__xludf.DUMMYFUNCTION("""COMPUTED_VALUE"""),48.39)</f>
        <v>48.39</v>
      </c>
      <c r="J116" s="4">
        <f>IFERROR(__xludf.DUMMYFUNCTION("""COMPUTED_VALUE"""),28.1)</f>
        <v>28.1</v>
      </c>
      <c r="K116" s="8">
        <f>IFERROR(__xludf.DUMMYFUNCTION("""COMPUTED_VALUE"""),-0.0088)</f>
        <v>-0.0088</v>
      </c>
    </row>
    <row r="117" ht="15.75" customHeight="1">
      <c r="C117" s="2" t="str">
        <f>IFERROR(__xludf.DUMMYFUNCTION("""COMPUTED_VALUE"""),"Mauritania [+]")</f>
        <v>Mauritania [+]</v>
      </c>
      <c r="D117" s="2">
        <f>IFERROR(__xludf.DUMMYFUNCTION("""COMPUTED_VALUE"""),2014.0)</f>
        <v>2014</v>
      </c>
      <c r="E117" s="2">
        <f>IFERROR(__xludf.DUMMYFUNCTION("""COMPUTED_VALUE"""),69.0)</f>
        <v>69</v>
      </c>
      <c r="F117" s="2">
        <f>IFERROR(__xludf.DUMMYFUNCTION("""COMPUTED_VALUE"""),163.0)</f>
        <v>163</v>
      </c>
      <c r="G117" s="2">
        <f>IFERROR(__xludf.DUMMYFUNCTION("""COMPUTED_VALUE"""),231.0)</f>
        <v>231</v>
      </c>
      <c r="H117" s="7">
        <f>IFERROR(__xludf.DUMMYFUNCTION("""COMPUTED_VALUE"""),3.49)</f>
        <v>3.49</v>
      </c>
      <c r="I117" s="2">
        <f>IFERROR(__xludf.DUMMYFUNCTION("""COMPUTED_VALUE"""),8.26)</f>
        <v>8.26</v>
      </c>
      <c r="J117" s="4">
        <f>IFERROR(__xludf.DUMMYFUNCTION("""COMPUTED_VALUE"""),6.39)</f>
        <v>6.39</v>
      </c>
      <c r="K117" s="8">
        <f>IFERROR(__xludf.DUMMYFUNCTION("""COMPUTED_VALUE"""),0.0191)</f>
        <v>0.0191</v>
      </c>
    </row>
    <row r="118" ht="15.75" customHeight="1">
      <c r="C118" s="2" t="str">
        <f>IFERROR(__xludf.DUMMYFUNCTION("""COMPUTED_VALUE"""),"Malta [+]")</f>
        <v>Malta [+]</v>
      </c>
      <c r="D118" s="5">
        <f>IFERROR(__xludf.DUMMYFUNCTION("""COMPUTED_VALUE"""),2014.0)</f>
        <v>2014</v>
      </c>
      <c r="E118" s="5">
        <f>IFERROR(__xludf.DUMMYFUNCTION("""COMPUTED_VALUE"""),5.0)</f>
        <v>5</v>
      </c>
      <c r="F118" s="2">
        <f>IFERROR(__xludf.DUMMYFUNCTION("""COMPUTED_VALUE"""),31.0)</f>
        <v>31</v>
      </c>
      <c r="G118" s="6">
        <f>IFERROR(__xludf.DUMMYFUNCTION("""COMPUTED_VALUE"""),36.0)</f>
        <v>36</v>
      </c>
      <c r="H118" s="7">
        <f>IFERROR(__xludf.DUMMYFUNCTION("""COMPUTED_VALUE"""),2.3)</f>
        <v>2.3</v>
      </c>
      <c r="I118" s="2">
        <f>IFERROR(__xludf.DUMMYFUNCTION("""COMPUTED_VALUE"""),12.41)</f>
        <v>12.41</v>
      </c>
      <c r="J118" s="4">
        <f>IFERROR(__xludf.DUMMYFUNCTION("""COMPUTED_VALUE"""),7.36)</f>
        <v>7.36</v>
      </c>
      <c r="K118" s="8">
        <f>IFERROR(__xludf.DUMMYFUNCTION("""COMPUTED_VALUE"""),0.4264)</f>
        <v>0.4264</v>
      </c>
    </row>
    <row r="119" ht="15.75" customHeight="1">
      <c r="C119" s="2" t="str">
        <f>IFERROR(__xludf.DUMMYFUNCTION("""COMPUTED_VALUE"""),"Mauricio [+]")</f>
        <v>Mauricio [+]</v>
      </c>
      <c r="D119" s="5">
        <f>IFERROR(__xludf.DUMMYFUNCTION("""COMPUTED_VALUE"""),2014.0)</f>
        <v>2014</v>
      </c>
      <c r="E119" s="2">
        <f>IFERROR(__xludf.DUMMYFUNCTION("""COMPUTED_VALUE"""),27.0)</f>
        <v>27</v>
      </c>
      <c r="F119" s="2">
        <f>IFERROR(__xludf.DUMMYFUNCTION("""COMPUTED_VALUE"""),100.0)</f>
        <v>100</v>
      </c>
      <c r="G119" s="2">
        <f>IFERROR(__xludf.DUMMYFUNCTION("""COMPUTED_VALUE"""),127.0)</f>
        <v>127</v>
      </c>
      <c r="H119" s="7">
        <f>IFERROR(__xludf.DUMMYFUNCTION("""COMPUTED_VALUE"""),4.23)</f>
        <v>4.23</v>
      </c>
      <c r="I119" s="2">
        <f>IFERROR(__xludf.DUMMYFUNCTION("""COMPUTED_VALUE"""),16.08)</f>
        <v>16.08</v>
      </c>
      <c r="J119" s="4">
        <f>IFERROR(__xludf.DUMMYFUNCTION("""COMPUTED_VALUE"""),10.1)</f>
        <v>10.1</v>
      </c>
      <c r="K119" s="8">
        <f>IFERROR(__xludf.DUMMYFUNCTION("""COMPUTED_VALUE"""),0.2242)</f>
        <v>0.2242</v>
      </c>
    </row>
    <row r="120" ht="15.75" customHeight="1">
      <c r="C120" s="2" t="str">
        <f>IFERROR(__xludf.DUMMYFUNCTION("""COMPUTED_VALUE"""),"Maldivas [+]")</f>
        <v>Maldivas [+]</v>
      </c>
      <c r="D120" s="2">
        <f>IFERROR(__xludf.DUMMYFUNCTION("""COMPUTED_VALUE"""),2014.0)</f>
        <v>2014</v>
      </c>
      <c r="E120" s="2">
        <f>IFERROR(__xludf.DUMMYFUNCTION("""COMPUTED_VALUE"""),12.0)</f>
        <v>12</v>
      </c>
      <c r="F120" s="2">
        <f>IFERROR(__xludf.DUMMYFUNCTION("""COMPUTED_VALUE"""),20.0)</f>
        <v>20</v>
      </c>
      <c r="G120" s="2">
        <f>IFERROR(__xludf.DUMMYFUNCTION("""COMPUTED_VALUE"""),32.0)</f>
        <v>32</v>
      </c>
      <c r="H120" s="7">
        <f>IFERROR(__xludf.DUMMYFUNCTION("""COMPUTED_VALUE"""),6.66)</f>
        <v>6.66</v>
      </c>
      <c r="I120" s="2">
        <f>IFERROR(__xludf.DUMMYFUNCTION("""COMPUTED_VALUE"""),7.7)</f>
        <v>7.7</v>
      </c>
      <c r="J120" s="4">
        <f>IFERROR(__xludf.DUMMYFUNCTION("""COMPUTED_VALUE"""),9.25)</f>
        <v>9.25</v>
      </c>
      <c r="K120" s="8">
        <f>IFERROR(__xludf.DUMMYFUNCTION("""COMPUTED_VALUE"""),-0.018)</f>
        <v>-0.018</v>
      </c>
    </row>
    <row r="121" ht="15.75" customHeight="1">
      <c r="C121" s="2" t="str">
        <f>IFERROR(__xludf.DUMMYFUNCTION("""COMPUTED_VALUE"""),"Malaui [+]")</f>
        <v>Malaui [+]</v>
      </c>
      <c r="D121" s="2">
        <f>IFERROR(__xludf.DUMMYFUNCTION("""COMPUTED_VALUE"""),2014.0)</f>
        <v>2014</v>
      </c>
      <c r="E121" s="2">
        <f>IFERROR(__xludf.DUMMYFUNCTION("""COMPUTED_VALUE"""),207.0)</f>
        <v>207</v>
      </c>
      <c r="F121" s="2">
        <f>IFERROR(__xludf.DUMMYFUNCTION("""COMPUTED_VALUE"""),700.0)</f>
        <v>700</v>
      </c>
      <c r="G121" s="2">
        <f>IFERROR(__xludf.DUMMYFUNCTION("""COMPUTED_VALUE"""),907.0)</f>
        <v>907</v>
      </c>
      <c r="H121" s="7">
        <f>IFERROR(__xludf.DUMMYFUNCTION("""COMPUTED_VALUE"""),2.51)</f>
        <v>2.51</v>
      </c>
      <c r="I121" s="2">
        <f>IFERROR(__xludf.DUMMYFUNCTION("""COMPUTED_VALUE"""),8.72)</f>
        <v>8.72</v>
      </c>
      <c r="J121" s="4">
        <f>IFERROR(__xludf.DUMMYFUNCTION("""COMPUTED_VALUE"""),5.15)</f>
        <v>5.15</v>
      </c>
      <c r="K121" s="8">
        <f>IFERROR(__xludf.DUMMYFUNCTION("""COMPUTED_VALUE"""),0.0198)</f>
        <v>0.0198</v>
      </c>
    </row>
    <row r="122" ht="15.75" customHeight="1">
      <c r="C122" s="2" t="str">
        <f>IFERROR(__xludf.DUMMYFUNCTION("""COMPUTED_VALUE"""),"México [+]")</f>
        <v>México [+]</v>
      </c>
      <c r="D122" s="2">
        <f>IFERROR(__xludf.DUMMYFUNCTION("""COMPUTED_VALUE"""),2014.0)</f>
        <v>2014</v>
      </c>
      <c r="E122" s="6">
        <f>IFERROR(__xludf.DUMMYFUNCTION("""COMPUTED_VALUE"""),1231.0)</f>
        <v>1231</v>
      </c>
      <c r="F122" s="6">
        <f>IFERROR(__xludf.DUMMYFUNCTION("""COMPUTED_VALUE"""),4984.0)</f>
        <v>4984</v>
      </c>
      <c r="G122" s="6">
        <f>IFERROR(__xludf.DUMMYFUNCTION("""COMPUTED_VALUE"""),6337.0)</f>
        <v>6337</v>
      </c>
      <c r="H122" s="7">
        <f>IFERROR(__xludf.DUMMYFUNCTION("""COMPUTED_VALUE"""),2.0)</f>
        <v>2</v>
      </c>
      <c r="I122" s="2">
        <f>IFERROR(__xludf.DUMMYFUNCTION("""COMPUTED_VALUE"""),8.5)</f>
        <v>8.5</v>
      </c>
      <c r="J122" s="4">
        <f>IFERROR(__xludf.DUMMYFUNCTION("""COMPUTED_VALUE"""),5.2)</f>
        <v>5.2</v>
      </c>
      <c r="K122" s="8">
        <f>IFERROR(__xludf.DUMMYFUNCTION("""COMPUTED_VALUE"""),0.0612)</f>
        <v>0.0612</v>
      </c>
    </row>
    <row r="123" ht="15.75" customHeight="1">
      <c r="C123" s="4" t="str">
        <f>IFERROR(__xludf.DUMMYFUNCTION("""COMPUTED_VALUE"""),"Malasia [+]")</f>
        <v>Malasia [+]</v>
      </c>
      <c r="D123" s="4">
        <f>IFERROR(__xludf.DUMMYFUNCTION("""COMPUTED_VALUE"""),2014.0)</f>
        <v>2014</v>
      </c>
      <c r="E123" s="4">
        <f>IFERROR(__xludf.DUMMYFUNCTION("""COMPUTED_VALUE"""),428.0)</f>
        <v>428</v>
      </c>
      <c r="F123" s="9">
        <f>IFERROR(__xludf.DUMMYFUNCTION("""COMPUTED_VALUE"""),1259.0)</f>
        <v>1259</v>
      </c>
      <c r="G123" s="9">
        <f>IFERROR(__xludf.DUMMYFUNCTION("""COMPUTED_VALUE"""),1687.0)</f>
        <v>1687</v>
      </c>
      <c r="H123" s="4">
        <f>IFERROR(__xludf.DUMMYFUNCTION("""COMPUTED_VALUE"""),2.95)</f>
        <v>2.95</v>
      </c>
      <c r="I123" s="4">
        <f>IFERROR(__xludf.DUMMYFUNCTION("""COMPUTED_VALUE"""),8.19)</f>
        <v>8.19</v>
      </c>
      <c r="J123" s="4">
        <f>IFERROR(__xludf.DUMMYFUNCTION("""COMPUTED_VALUE"""),5.49)</f>
        <v>5.49</v>
      </c>
      <c r="K123" s="8">
        <f>IFERROR(__xludf.DUMMYFUNCTION("""COMPUTED_VALUE"""),0.0018)</f>
        <v>0.0018</v>
      </c>
    </row>
    <row r="124" ht="15.75" customHeight="1">
      <c r="C124" s="4" t="str">
        <f>IFERROR(__xludf.DUMMYFUNCTION("""COMPUTED_VALUE"""),"Mozambique [+]")</f>
        <v>Mozambique [+]</v>
      </c>
      <c r="D124" s="4">
        <f>IFERROR(__xludf.DUMMYFUNCTION("""COMPUTED_VALUE"""),2014.0)</f>
        <v>2014</v>
      </c>
      <c r="E124" s="4">
        <f>IFERROR(__xludf.DUMMYFUNCTION("""COMPUTED_VALUE"""),634.0)</f>
        <v>634</v>
      </c>
      <c r="F124" s="9">
        <f>IFERROR(__xludf.DUMMYFUNCTION("""COMPUTED_VALUE"""),1659.0)</f>
        <v>1659</v>
      </c>
      <c r="G124" s="9">
        <f>IFERROR(__xludf.DUMMYFUNCTION("""COMPUTED_VALUE"""),2293.0)</f>
        <v>2293</v>
      </c>
      <c r="H124" s="4">
        <f>IFERROR(__xludf.DUMMYFUNCTION("""COMPUTED_VALUE"""),4.67)</f>
        <v>4.67</v>
      </c>
      <c r="I124" s="4">
        <f>IFERROR(__xludf.DUMMYFUNCTION("""COMPUTED_VALUE"""),13.04)</f>
        <v>13.04</v>
      </c>
      <c r="J124" s="4">
        <f>IFERROR(__xludf.DUMMYFUNCTION("""COMPUTED_VALUE"""),8.72)</f>
        <v>8.72</v>
      </c>
      <c r="K124" s="8">
        <f>IFERROR(__xludf.DUMMYFUNCTION("""COMPUTED_VALUE"""),-0.0034)</f>
        <v>-0.0034</v>
      </c>
    </row>
    <row r="125" ht="15.75" customHeight="1">
      <c r="C125" s="4" t="str">
        <f>IFERROR(__xludf.DUMMYFUNCTION("""COMPUTED_VALUE"""),"Namibia [+]")</f>
        <v>Namibia [+]</v>
      </c>
      <c r="D125" s="4">
        <f>IFERROR(__xludf.DUMMYFUNCTION("""COMPUTED_VALUE"""),2014.0)</f>
        <v>2014</v>
      </c>
      <c r="E125" s="4">
        <f>IFERROR(__xludf.DUMMYFUNCTION("""COMPUTED_VALUE"""),47.0)</f>
        <v>47</v>
      </c>
      <c r="F125" s="4">
        <f>IFERROR(__xludf.DUMMYFUNCTION("""COMPUTED_VALUE"""),141.0)</f>
        <v>141</v>
      </c>
      <c r="G125" s="4">
        <f>IFERROR(__xludf.DUMMYFUNCTION("""COMPUTED_VALUE"""),188.0)</f>
        <v>188</v>
      </c>
      <c r="H125" s="4">
        <f>IFERROR(__xludf.DUMMYFUNCTION("""COMPUTED_VALUE"""),4.0)</f>
        <v>4</v>
      </c>
      <c r="I125" s="4">
        <f>IFERROR(__xludf.DUMMYFUNCTION("""COMPUTED_VALUE"""),12.79)</f>
        <v>12.79</v>
      </c>
      <c r="J125" s="4">
        <f>IFERROR(__xludf.DUMMYFUNCTION("""COMPUTED_VALUE"""),8.38)</f>
        <v>8.38</v>
      </c>
      <c r="K125" s="8">
        <f>IFERROR(__xludf.DUMMYFUNCTION("""COMPUTED_VALUE"""),0.006)</f>
        <v>0.006</v>
      </c>
    </row>
    <row r="126" ht="15.75" customHeight="1">
      <c r="C126" s="4" t="str">
        <f>IFERROR(__xludf.DUMMYFUNCTION("""COMPUTED_VALUE"""),"Níger [+]")</f>
        <v>Níger [+]</v>
      </c>
      <c r="D126" s="4">
        <f>IFERROR(__xludf.DUMMYFUNCTION("""COMPUTED_VALUE"""),2014.0)</f>
        <v>2014</v>
      </c>
      <c r="E126" s="4">
        <f>IFERROR(__xludf.DUMMYFUNCTION("""COMPUTED_VALUE"""),265.0)</f>
        <v>265</v>
      </c>
      <c r="F126" s="4">
        <f>IFERROR(__xludf.DUMMYFUNCTION("""COMPUTED_VALUE"""),540.0)</f>
        <v>540</v>
      </c>
      <c r="G126" s="4">
        <f>IFERROR(__xludf.DUMMYFUNCTION("""COMPUTED_VALUE"""),805.0)</f>
        <v>805</v>
      </c>
      <c r="H126" s="4">
        <f>IFERROR(__xludf.DUMMYFUNCTION("""COMPUTED_VALUE"""),2.76)</f>
        <v>2.76</v>
      </c>
      <c r="I126" s="4">
        <f>IFERROR(__xludf.DUMMYFUNCTION("""COMPUTED_VALUE"""),5.61)</f>
        <v>5.61</v>
      </c>
      <c r="J126" s="4">
        <f>IFERROR(__xludf.DUMMYFUNCTION("""COMPUTED_VALUE"""),4.18)</f>
        <v>4.18</v>
      </c>
      <c r="K126" s="8">
        <f>IFERROR(__xludf.DUMMYFUNCTION("""COMPUTED_VALUE"""),-0.0118)</f>
        <v>-0.0118</v>
      </c>
    </row>
    <row r="127" ht="15.75" customHeight="1">
      <c r="C127" s="4" t="str">
        <f>IFERROR(__xludf.DUMMYFUNCTION("""COMPUTED_VALUE"""),"Nigeria [+]")</f>
        <v>Nigeria [+]</v>
      </c>
      <c r="D127" s="4">
        <f>IFERROR(__xludf.DUMMYFUNCTION("""COMPUTED_VALUE"""),2014.0)</f>
        <v>2014</v>
      </c>
      <c r="E127" s="9">
        <f>IFERROR(__xludf.DUMMYFUNCTION("""COMPUTED_VALUE"""),5309.0)</f>
        <v>5309</v>
      </c>
      <c r="F127" s="9">
        <f>IFERROR(__xludf.DUMMYFUNCTION("""COMPUTED_VALUE"""),12465.0)</f>
        <v>12465</v>
      </c>
      <c r="G127" s="9">
        <f>IFERROR(__xludf.DUMMYFUNCTION("""COMPUTED_VALUE"""),17774.0)</f>
        <v>17774</v>
      </c>
      <c r="H127" s="4">
        <f>IFERROR(__xludf.DUMMYFUNCTION("""COMPUTED_VALUE"""),6.1)</f>
        <v>6.1</v>
      </c>
      <c r="I127" s="4">
        <f>IFERROR(__xludf.DUMMYFUNCTION("""COMPUTED_VALUE"""),13.96)</f>
        <v>13.96</v>
      </c>
      <c r="J127" s="4">
        <f>IFERROR(__xludf.DUMMYFUNCTION("""COMPUTED_VALUE"""),10.08)</f>
        <v>10.08</v>
      </c>
      <c r="K127" s="8">
        <f>IFERROR(__xludf.DUMMYFUNCTION("""COMPUTED_VALUE"""),0.008)</f>
        <v>0.008</v>
      </c>
    </row>
    <row r="128" ht="15.75" customHeight="1">
      <c r="C128" s="4" t="str">
        <f>IFERROR(__xludf.DUMMYFUNCTION("""COMPUTED_VALUE"""),"Nicaragua [+]")</f>
        <v>Nicaragua [+]</v>
      </c>
      <c r="D128" s="4">
        <f>IFERROR(__xludf.DUMMYFUNCTION("""COMPUTED_VALUE"""),2014.0)</f>
        <v>2014</v>
      </c>
      <c r="E128" s="4">
        <f>IFERROR(__xludf.DUMMYFUNCTION("""COMPUTED_VALUE"""),136.0)</f>
        <v>136</v>
      </c>
      <c r="F128" s="4">
        <f>IFERROR(__xludf.DUMMYFUNCTION("""COMPUTED_VALUE"""),447.0)</f>
        <v>447</v>
      </c>
      <c r="G128" s="4">
        <f>IFERROR(__xludf.DUMMYFUNCTION("""COMPUTED_VALUE"""),582.0)</f>
        <v>582</v>
      </c>
      <c r="H128" s="4">
        <f>IFERROR(__xludf.DUMMYFUNCTION("""COMPUTED_VALUE"""),4.35)</f>
        <v>4.35</v>
      </c>
      <c r="I128" s="4">
        <f>IFERROR(__xludf.DUMMYFUNCTION("""COMPUTED_VALUE"""),14.76)</f>
        <v>14.76</v>
      </c>
      <c r="J128" s="4">
        <f>IFERROR(__xludf.DUMMYFUNCTION("""COMPUTED_VALUE"""),9.36)</f>
        <v>9.36</v>
      </c>
      <c r="K128" s="8">
        <f>IFERROR(__xludf.DUMMYFUNCTION("""COMPUTED_VALUE"""),-0.0593)</f>
        <v>-0.0593</v>
      </c>
    </row>
    <row r="129" ht="15.75" customHeight="1">
      <c r="C129" s="4" t="str">
        <f>IFERROR(__xludf.DUMMYFUNCTION("""COMPUTED_VALUE"""),"Países Bajos [+]")</f>
        <v>Países Bajos [+]</v>
      </c>
      <c r="D129" s="4">
        <f>IFERROR(__xludf.DUMMYFUNCTION("""COMPUTED_VALUE"""),2014.0)</f>
        <v>2014</v>
      </c>
      <c r="E129" s="4">
        <f>IFERROR(__xludf.DUMMYFUNCTION("""COMPUTED_VALUE"""),600.0)</f>
        <v>600</v>
      </c>
      <c r="F129" s="9">
        <f>IFERROR(__xludf.DUMMYFUNCTION("""COMPUTED_VALUE"""),1296.0)</f>
        <v>1296</v>
      </c>
      <c r="G129" s="9">
        <f>IFERROR(__xludf.DUMMYFUNCTION("""COMPUTED_VALUE"""),1897.0)</f>
        <v>1897</v>
      </c>
      <c r="H129" s="4">
        <f>IFERROR(__xludf.DUMMYFUNCTION("""COMPUTED_VALUE"""),6.98)</f>
        <v>6.98</v>
      </c>
      <c r="I129" s="4">
        <f>IFERROR(__xludf.DUMMYFUNCTION("""COMPUTED_VALUE"""),15.21)</f>
        <v>15.21</v>
      </c>
      <c r="J129" s="4">
        <f>IFERROR(__xludf.DUMMYFUNCTION("""COMPUTED_VALUE"""),11.06)</f>
        <v>11.06</v>
      </c>
      <c r="K129" s="8">
        <f>IFERROR(__xludf.DUMMYFUNCTION("""COMPUTED_VALUE"""),-0.016)</f>
        <v>-0.016</v>
      </c>
    </row>
    <row r="130" ht="15.75" customHeight="1">
      <c r="C130" s="4" t="str">
        <f>IFERROR(__xludf.DUMMYFUNCTION("""COMPUTED_VALUE"""),"Noruega [+]")</f>
        <v>Noruega [+]</v>
      </c>
      <c r="D130" s="4">
        <f>IFERROR(__xludf.DUMMYFUNCTION("""COMPUTED_VALUE"""),2014.0)</f>
        <v>2014</v>
      </c>
      <c r="E130" s="4">
        <f>IFERROR(__xludf.DUMMYFUNCTION("""COMPUTED_VALUE"""),147.0)</f>
        <v>147</v>
      </c>
      <c r="F130" s="4">
        <f>IFERROR(__xludf.DUMMYFUNCTION("""COMPUTED_VALUE"""),416.0)</f>
        <v>416</v>
      </c>
      <c r="G130" s="4">
        <f>IFERROR(__xludf.DUMMYFUNCTION("""COMPUTED_VALUE"""),563.0)</f>
        <v>563</v>
      </c>
      <c r="H130" s="4">
        <f>IFERROR(__xludf.DUMMYFUNCTION("""COMPUTED_VALUE"""),5.68)</f>
        <v>5.68</v>
      </c>
      <c r="I130" s="4">
        <f>IFERROR(__xludf.DUMMYFUNCTION("""COMPUTED_VALUE"""),15.56)</f>
        <v>15.56</v>
      </c>
      <c r="J130" s="4">
        <f>IFERROR(__xludf.DUMMYFUNCTION("""COMPUTED_VALUE"""),10.65)</f>
        <v>10.65</v>
      </c>
      <c r="K130" s="8">
        <f>IFERROR(__xludf.DUMMYFUNCTION("""COMPUTED_VALUE"""),-0.0256)</f>
        <v>-0.0256</v>
      </c>
    </row>
    <row r="131" ht="15.75" customHeight="1">
      <c r="C131" s="4" t="str">
        <f>IFERROR(__xludf.DUMMYFUNCTION("""COMPUTED_VALUE"""),"Nepal [+]")</f>
        <v>Nepal [+]</v>
      </c>
      <c r="D131" s="4">
        <f>IFERROR(__xludf.DUMMYFUNCTION("""COMPUTED_VALUE"""),2014.0)</f>
        <v>2014</v>
      </c>
      <c r="E131" s="4">
        <f>IFERROR(__xludf.DUMMYFUNCTION("""COMPUTED_VALUE"""),828.0)</f>
        <v>828</v>
      </c>
      <c r="F131" s="4">
        <f>IFERROR(__xludf.DUMMYFUNCTION("""COMPUTED_VALUE"""),899.0)</f>
        <v>899</v>
      </c>
      <c r="G131" s="9">
        <f>IFERROR(__xludf.DUMMYFUNCTION("""COMPUTED_VALUE"""),1726.0)</f>
        <v>1726</v>
      </c>
      <c r="H131" s="4">
        <f>IFERROR(__xludf.DUMMYFUNCTION("""COMPUTED_VALUE"""),5.74)</f>
        <v>5.74</v>
      </c>
      <c r="I131" s="4">
        <f>IFERROR(__xludf.DUMMYFUNCTION("""COMPUTED_VALUE"""),7.19)</f>
        <v>7.19</v>
      </c>
      <c r="J131" s="4">
        <f>IFERROR(__xludf.DUMMYFUNCTION("""COMPUTED_VALUE"""),6.42)</f>
        <v>6.42</v>
      </c>
      <c r="K131" s="4">
        <f>IFERROR(__xludf.DUMMYFUNCTION("""COMPUTED_VALUE"""),0.0)</f>
        <v>0</v>
      </c>
    </row>
    <row r="132" ht="15.75" customHeight="1">
      <c r="C132" s="4" t="str">
        <f>IFERROR(__xludf.DUMMYFUNCTION("""COMPUTED_VALUE"""),"Nueva Zelanda [+]")</f>
        <v>Nueva Zelanda [+]</v>
      </c>
      <c r="D132" s="4">
        <f>IFERROR(__xludf.DUMMYFUNCTION("""COMPUTED_VALUE"""),2014.0)</f>
        <v>2014</v>
      </c>
      <c r="E132" s="4">
        <f>IFERROR(__xludf.DUMMYFUNCTION("""COMPUTED_VALUE"""),130.0)</f>
        <v>130</v>
      </c>
      <c r="F132" s="4">
        <f>IFERROR(__xludf.DUMMYFUNCTION("""COMPUTED_VALUE"""),377.0)</f>
        <v>377</v>
      </c>
      <c r="G132" s="4">
        <f>IFERROR(__xludf.DUMMYFUNCTION("""COMPUTED_VALUE"""),507.0)</f>
        <v>507</v>
      </c>
      <c r="H132" s="4">
        <f>IFERROR(__xludf.DUMMYFUNCTION("""COMPUTED_VALUE"""),5.7)</f>
        <v>5.7</v>
      </c>
      <c r="I132" s="4">
        <f>IFERROR(__xludf.DUMMYFUNCTION("""COMPUTED_VALUE"""),17.0)</f>
        <v>17</v>
      </c>
      <c r="J132" s="4">
        <f>IFERROR(__xludf.DUMMYFUNCTION("""COMPUTED_VALUE"""),11.2)</f>
        <v>11.2</v>
      </c>
      <c r="K132" s="8">
        <f>IFERROR(__xludf.DUMMYFUNCTION("""COMPUTED_VALUE"""),-0.0261)</f>
        <v>-0.0261</v>
      </c>
    </row>
    <row r="133" ht="15.75" customHeight="1">
      <c r="C133" s="4" t="str">
        <f>IFERROR(__xludf.DUMMYFUNCTION("""COMPUTED_VALUE"""),"Omán [+]")</f>
        <v>Omán [+]</v>
      </c>
      <c r="D133" s="4">
        <f>IFERROR(__xludf.DUMMYFUNCTION("""COMPUTED_VALUE"""),2014.0)</f>
        <v>2014</v>
      </c>
      <c r="E133" s="4">
        <f>IFERROR(__xludf.DUMMYFUNCTION("""COMPUTED_VALUE"""),17.0)</f>
        <v>17</v>
      </c>
      <c r="F133" s="4">
        <f>IFERROR(__xludf.DUMMYFUNCTION("""COMPUTED_VALUE"""),223.0)</f>
        <v>223</v>
      </c>
      <c r="G133" s="4">
        <f>IFERROR(__xludf.DUMMYFUNCTION("""COMPUTED_VALUE"""),240.0)</f>
        <v>240</v>
      </c>
      <c r="H133" s="4">
        <f>IFERROR(__xludf.DUMMYFUNCTION("""COMPUTED_VALUE"""),1.19)</f>
        <v>1.19</v>
      </c>
      <c r="I133" s="4">
        <f>IFERROR(__xludf.DUMMYFUNCTION("""COMPUTED_VALUE"""),8.56)</f>
        <v>8.56</v>
      </c>
      <c r="J133" s="4">
        <f>IFERROR(__xludf.DUMMYFUNCTION("""COMPUTED_VALUE"""),6.0)</f>
        <v>6</v>
      </c>
      <c r="K133" s="8">
        <f>IFERROR(__xludf.DUMMYFUNCTION("""COMPUTED_VALUE"""),0.0508)</f>
        <v>0.0508</v>
      </c>
    </row>
    <row r="134" ht="15.75" customHeight="1">
      <c r="C134" s="4" t="str">
        <f>IFERROR(__xludf.DUMMYFUNCTION("""COMPUTED_VALUE"""),"Panamá [+]")</f>
        <v>Panamá [+]</v>
      </c>
      <c r="D134" s="4">
        <f>IFERROR(__xludf.DUMMYFUNCTION("""COMPUTED_VALUE"""),2014.0)</f>
        <v>2014</v>
      </c>
      <c r="E134" s="4">
        <f>IFERROR(__xludf.DUMMYFUNCTION("""COMPUTED_VALUE"""),26.0)</f>
        <v>26</v>
      </c>
      <c r="F134" s="4">
        <f>IFERROR(__xludf.DUMMYFUNCTION("""COMPUTED_VALUE"""),210.0)</f>
        <v>210</v>
      </c>
      <c r="G134" s="4">
        <f>IFERROR(__xludf.DUMMYFUNCTION("""COMPUTED_VALUE"""),237.0)</f>
        <v>237</v>
      </c>
      <c r="H134" s="4">
        <f>IFERROR(__xludf.DUMMYFUNCTION("""COMPUTED_VALUE"""),1.36)</f>
        <v>1.36</v>
      </c>
      <c r="I134" s="4">
        <f>IFERROR(__xludf.DUMMYFUNCTION("""COMPUTED_VALUE"""),10.75)</f>
        <v>10.75</v>
      </c>
      <c r="J134" s="4">
        <f>IFERROR(__xludf.DUMMYFUNCTION("""COMPUTED_VALUE"""),6.05)</f>
        <v>6.05</v>
      </c>
      <c r="K134" s="8">
        <f>IFERROR(__xludf.DUMMYFUNCTION("""COMPUTED_VALUE"""),0.2552)</f>
        <v>0.2552</v>
      </c>
    </row>
    <row r="135" ht="15.75" customHeight="1">
      <c r="C135" s="4" t="str">
        <f>IFERROR(__xludf.DUMMYFUNCTION("""COMPUTED_VALUE"""),"Perú [+]")</f>
        <v>Perú [+]</v>
      </c>
      <c r="D135" s="4">
        <f>IFERROR(__xludf.DUMMYFUNCTION("""COMPUTED_VALUE"""),2014.0)</f>
        <v>2014</v>
      </c>
      <c r="E135" s="4">
        <f>IFERROR(__xludf.DUMMYFUNCTION("""COMPUTED_VALUE"""),138.0)</f>
        <v>138</v>
      </c>
      <c r="F135" s="4">
        <f>IFERROR(__xludf.DUMMYFUNCTION("""COMPUTED_VALUE"""),264.0)</f>
        <v>264</v>
      </c>
      <c r="G135" s="4">
        <f>IFERROR(__xludf.DUMMYFUNCTION("""COMPUTED_VALUE"""),402.0)</f>
        <v>402</v>
      </c>
      <c r="H135" s="4">
        <f>IFERROR(__xludf.DUMMYFUNCTION("""COMPUTED_VALUE"""),0.9)</f>
        <v>0.9</v>
      </c>
      <c r="I135" s="4">
        <f>IFERROR(__xludf.DUMMYFUNCTION("""COMPUTED_VALUE"""),1.8)</f>
        <v>1.8</v>
      </c>
      <c r="J135" s="4">
        <f>IFERROR(__xludf.DUMMYFUNCTION("""COMPUTED_VALUE"""),1.3)</f>
        <v>1.3</v>
      </c>
      <c r="K135" s="8">
        <f>IFERROR(__xludf.DUMMYFUNCTION("""COMPUTED_VALUE"""),0.0833)</f>
        <v>0.0833</v>
      </c>
    </row>
    <row r="136" ht="15.75" customHeight="1">
      <c r="C136" s="4" t="str">
        <f>IFERROR(__xludf.DUMMYFUNCTION("""COMPUTED_VALUE"""),"Papúa Nueva Guinea [+]")</f>
        <v>Papúa Nueva Guinea [+]</v>
      </c>
      <c r="D136" s="4">
        <f>IFERROR(__xludf.DUMMYFUNCTION("""COMPUTED_VALUE"""),2014.0)</f>
        <v>2014</v>
      </c>
      <c r="E136" s="4">
        <f>IFERROR(__xludf.DUMMYFUNCTION("""COMPUTED_VALUE"""),200.0)</f>
        <v>200</v>
      </c>
      <c r="F136" s="4">
        <f>IFERROR(__xludf.DUMMYFUNCTION("""COMPUTED_VALUE"""),585.0)</f>
        <v>585</v>
      </c>
      <c r="G136" s="4">
        <f>IFERROR(__xludf.DUMMYFUNCTION("""COMPUTED_VALUE"""),785.0)</f>
        <v>785</v>
      </c>
      <c r="H136" s="4">
        <f>IFERROR(__xludf.DUMMYFUNCTION("""COMPUTED_VALUE"""),5.13)</f>
        <v>5.13</v>
      </c>
      <c r="I136" s="4">
        <f>IFERROR(__xludf.DUMMYFUNCTION("""COMPUTED_VALUE"""),14.44)</f>
        <v>14.44</v>
      </c>
      <c r="J136" s="4">
        <f>IFERROR(__xludf.DUMMYFUNCTION("""COMPUTED_VALUE"""),10.12)</f>
        <v>10.12</v>
      </c>
      <c r="K136" s="8">
        <f>IFERROR(__xludf.DUMMYFUNCTION("""COMPUTED_VALUE"""),0.122)</f>
        <v>0.122</v>
      </c>
    </row>
    <row r="137" ht="15.75" customHeight="1">
      <c r="C137" s="4" t="str">
        <f>IFERROR(__xludf.DUMMYFUNCTION("""COMPUTED_VALUE"""),"Filipinas [+]")</f>
        <v>Filipinas [+]</v>
      </c>
      <c r="D137" s="4">
        <f>IFERROR(__xludf.DUMMYFUNCTION("""COMPUTED_VALUE"""),2014.0)</f>
        <v>2014</v>
      </c>
      <c r="E137" s="4">
        <f>IFERROR(__xludf.DUMMYFUNCTION("""COMPUTED_VALUE"""),862.0)</f>
        <v>862</v>
      </c>
      <c r="F137" s="9">
        <f>IFERROR(__xludf.DUMMYFUNCTION("""COMPUTED_VALUE"""),2607.0)</f>
        <v>2607</v>
      </c>
      <c r="G137" s="9">
        <f>IFERROR(__xludf.DUMMYFUNCTION("""COMPUTED_VALUE"""),3469.0)</f>
        <v>3469</v>
      </c>
      <c r="H137" s="4">
        <f>IFERROR(__xludf.DUMMYFUNCTION("""COMPUTED_VALUE"""),1.73)</f>
        <v>1.73</v>
      </c>
      <c r="I137" s="4">
        <f>IFERROR(__xludf.DUMMYFUNCTION("""COMPUTED_VALUE"""),5.15)</f>
        <v>5.15</v>
      </c>
      <c r="J137" s="4">
        <f>IFERROR(__xludf.DUMMYFUNCTION("""COMPUTED_VALUE"""),3.49)</f>
        <v>3.49</v>
      </c>
      <c r="K137" s="8">
        <f>IFERROR(__xludf.DUMMYFUNCTION("""COMPUTED_VALUE"""),-0.0279)</f>
        <v>-0.0279</v>
      </c>
    </row>
    <row r="138" ht="15.75" customHeight="1">
      <c r="C138" s="4" t="str">
        <f>IFERROR(__xludf.DUMMYFUNCTION("""COMPUTED_VALUE"""),"Pakistán [+]")</f>
        <v>Pakistán [+]</v>
      </c>
      <c r="D138" s="4">
        <f>IFERROR(__xludf.DUMMYFUNCTION("""COMPUTED_VALUE"""),2014.0)</f>
        <v>2014</v>
      </c>
      <c r="E138" s="9">
        <f>IFERROR(__xludf.DUMMYFUNCTION("""COMPUTED_VALUE"""),1805.0)</f>
        <v>1805</v>
      </c>
      <c r="F138" s="9">
        <f>IFERROR(__xludf.DUMMYFUNCTION("""COMPUTED_VALUE"""),2015.0)</f>
        <v>2015</v>
      </c>
      <c r="G138" s="9">
        <f>IFERROR(__xludf.DUMMYFUNCTION("""COMPUTED_VALUE"""),3820.0)</f>
        <v>3820</v>
      </c>
      <c r="H138" s="4">
        <f>IFERROR(__xludf.DUMMYFUNCTION("""COMPUTED_VALUE"""),1.9)</f>
        <v>1.9</v>
      </c>
      <c r="I138" s="4">
        <f>IFERROR(__xludf.DUMMYFUNCTION("""COMPUTED_VALUE"""),2.0)</f>
        <v>2</v>
      </c>
      <c r="J138" s="4">
        <f>IFERROR(__xludf.DUMMYFUNCTION("""COMPUTED_VALUE"""),1.98)</f>
        <v>1.98</v>
      </c>
      <c r="K138" s="8">
        <f>IFERROR(__xludf.DUMMYFUNCTION("""COMPUTED_VALUE"""),-0.005)</f>
        <v>-0.005</v>
      </c>
    </row>
    <row r="139" ht="15.75" customHeight="1">
      <c r="C139" s="4" t="str">
        <f>IFERROR(__xludf.DUMMYFUNCTION("""COMPUTED_VALUE"""),"Polonia [+]")</f>
        <v>Polonia [+]</v>
      </c>
      <c r="D139" s="4">
        <f>IFERROR(__xludf.DUMMYFUNCTION("""COMPUTED_VALUE"""),2014.0)</f>
        <v>2014</v>
      </c>
      <c r="E139" s="4">
        <f>IFERROR(__xludf.DUMMYFUNCTION("""COMPUTED_VALUE"""),811.0)</f>
        <v>811</v>
      </c>
      <c r="F139" s="9">
        <f>IFERROR(__xludf.DUMMYFUNCTION("""COMPUTED_VALUE"""),5140.0)</f>
        <v>5140</v>
      </c>
      <c r="G139" s="9">
        <f>IFERROR(__xludf.DUMMYFUNCTION("""COMPUTED_VALUE"""),5951.0)</f>
        <v>5951</v>
      </c>
      <c r="H139" s="4">
        <f>IFERROR(__xludf.DUMMYFUNCTION("""COMPUTED_VALUE"""),4.16)</f>
        <v>4.16</v>
      </c>
      <c r="I139" s="4">
        <f>IFERROR(__xludf.DUMMYFUNCTION("""COMPUTED_VALUE"""),28.05)</f>
        <v>28.05</v>
      </c>
      <c r="J139" s="4">
        <f>IFERROR(__xludf.DUMMYFUNCTION("""COMPUTED_VALUE"""),15.73)</f>
        <v>15.73</v>
      </c>
      <c r="K139" s="8">
        <f>IFERROR(__xludf.DUMMYFUNCTION("""COMPUTED_VALUE"""),-0.0455)</f>
        <v>-0.0455</v>
      </c>
    </row>
    <row r="140" ht="15.75" customHeight="1">
      <c r="C140" s="4" t="str">
        <f>IFERROR(__xludf.DUMMYFUNCTION("""COMPUTED_VALUE"""),"Paraguay [+]")</f>
        <v>Paraguay [+]</v>
      </c>
      <c r="D140" s="4">
        <f>IFERROR(__xludf.DUMMYFUNCTION("""COMPUTED_VALUE"""),2014.0)</f>
        <v>2014</v>
      </c>
      <c r="E140" s="4">
        <f>IFERROR(__xludf.DUMMYFUNCTION("""COMPUTED_VALUE"""),208.0)</f>
        <v>208</v>
      </c>
      <c r="F140" s="4">
        <f>IFERROR(__xludf.DUMMYFUNCTION("""COMPUTED_VALUE"""),462.0)</f>
        <v>462</v>
      </c>
      <c r="G140" s="4">
        <f>IFERROR(__xludf.DUMMYFUNCTION("""COMPUTED_VALUE"""),670.0)</f>
        <v>670</v>
      </c>
      <c r="H140" s="4">
        <f>IFERROR(__xludf.DUMMYFUNCTION("""COMPUTED_VALUE"""),6.41)</f>
        <v>6.41</v>
      </c>
      <c r="I140" s="4">
        <f>IFERROR(__xludf.DUMMYFUNCTION("""COMPUTED_VALUE"""),13.76)</f>
        <v>13.76</v>
      </c>
      <c r="J140" s="4">
        <f>IFERROR(__xludf.DUMMYFUNCTION("""COMPUTED_VALUE"""),10.06)</f>
        <v>10.06</v>
      </c>
      <c r="K140" s="8">
        <f>IFERROR(__xludf.DUMMYFUNCTION("""COMPUTED_VALUE"""),0.005)</f>
        <v>0.005</v>
      </c>
    </row>
    <row r="141" ht="15.75" customHeight="1">
      <c r="C141" s="4" t="str">
        <f>IFERROR(__xludf.DUMMYFUNCTION("""COMPUTED_VALUE"""),"Catar [+]")</f>
        <v>Catar [+]</v>
      </c>
      <c r="D141" s="4">
        <f>IFERROR(__xludf.DUMMYFUNCTION("""COMPUTED_VALUE"""),2014.0)</f>
        <v>2014</v>
      </c>
      <c r="E141" s="4">
        <f>IFERROR(__xludf.DUMMYFUNCTION("""COMPUTED_VALUE"""),6.0)</f>
        <v>6</v>
      </c>
      <c r="F141" s="4">
        <f>IFERROR(__xludf.DUMMYFUNCTION("""COMPUTED_VALUE"""),132.0)</f>
        <v>132</v>
      </c>
      <c r="G141" s="4">
        <f>IFERROR(__xludf.DUMMYFUNCTION("""COMPUTED_VALUE"""),138.0)</f>
        <v>138</v>
      </c>
      <c r="H141" s="4">
        <f>IFERROR(__xludf.DUMMYFUNCTION("""COMPUTED_VALUE"""),0.96)</f>
        <v>0.96</v>
      </c>
      <c r="I141" s="4">
        <f>IFERROR(__xludf.DUMMYFUNCTION("""COMPUTED_VALUE"""),7.07)</f>
        <v>7.07</v>
      </c>
      <c r="J141" s="4">
        <f>IFERROR(__xludf.DUMMYFUNCTION("""COMPUTED_VALUE"""),6.23)</f>
        <v>6.23</v>
      </c>
      <c r="K141" s="8">
        <f>IFERROR(__xludf.DUMMYFUNCTION("""COMPUTED_VALUE"""),-0.0958)</f>
        <v>-0.0958</v>
      </c>
    </row>
    <row r="142" ht="15.75" customHeight="1">
      <c r="C142" s="4" t="str">
        <f>IFERROR(__xludf.DUMMYFUNCTION("""COMPUTED_VALUE"""),"Rumanía [+]")</f>
        <v>Rumanía [+]</v>
      </c>
      <c r="D142" s="4">
        <f>IFERROR(__xludf.DUMMYFUNCTION("""COMPUTED_VALUE"""),2014.0)</f>
        <v>2014</v>
      </c>
      <c r="E142" s="4">
        <f>IFERROR(__xludf.DUMMYFUNCTION("""COMPUTED_VALUE"""),322.0)</f>
        <v>322</v>
      </c>
      <c r="F142" s="9">
        <f>IFERROR(__xludf.DUMMYFUNCTION("""COMPUTED_VALUE"""),1879.0)</f>
        <v>1879</v>
      </c>
      <c r="G142" s="9">
        <f>IFERROR(__xludf.DUMMYFUNCTION("""COMPUTED_VALUE"""),2201.0)</f>
        <v>2201</v>
      </c>
      <c r="H142" s="4">
        <f>IFERROR(__xludf.DUMMYFUNCTION("""COMPUTED_VALUE"""),3.21)</f>
        <v>3.21</v>
      </c>
      <c r="I142" s="4">
        <f>IFERROR(__xludf.DUMMYFUNCTION("""COMPUTED_VALUE"""),19.61)</f>
        <v>19.61</v>
      </c>
      <c r="J142" s="4">
        <f>IFERROR(__xludf.DUMMYFUNCTION("""COMPUTED_VALUE"""),11.22)</f>
        <v>11.22</v>
      </c>
      <c r="K142" s="8">
        <f>IFERROR(__xludf.DUMMYFUNCTION("""COMPUTED_VALUE"""),-0.0781)</f>
        <v>-0.0781</v>
      </c>
    </row>
    <row r="143" ht="15.75" customHeight="1">
      <c r="C143" s="4" t="str">
        <f>IFERROR(__xludf.DUMMYFUNCTION("""COMPUTED_VALUE"""),"Serbia [+]")</f>
        <v>Serbia [+]</v>
      </c>
      <c r="D143" s="4">
        <f>IFERROR(__xludf.DUMMYFUNCTION("""COMPUTED_VALUE"""),2014.0)</f>
        <v>2014</v>
      </c>
      <c r="E143" s="4">
        <f>IFERROR(__xludf.DUMMYFUNCTION("""COMPUTED_VALUE"""),277.0)</f>
        <v>277</v>
      </c>
      <c r="F143" s="4">
        <f>IFERROR(__xludf.DUMMYFUNCTION("""COMPUTED_VALUE"""),857.0)</f>
        <v>857</v>
      </c>
      <c r="G143" s="9">
        <f>IFERROR(__xludf.DUMMYFUNCTION("""COMPUTED_VALUE"""),1134.0)</f>
        <v>1134</v>
      </c>
      <c r="H143" s="4">
        <f>IFERROR(__xludf.DUMMYFUNCTION("""COMPUTED_VALUE"""),7.57)</f>
        <v>7.57</v>
      </c>
      <c r="I143" s="4">
        <f>IFERROR(__xludf.DUMMYFUNCTION("""COMPUTED_VALUE"""),24.68)</f>
        <v>24.68</v>
      </c>
      <c r="J143" s="4">
        <f>IFERROR(__xludf.DUMMYFUNCTION("""COMPUTED_VALUE"""),15.9)</f>
        <v>15.9</v>
      </c>
      <c r="K143" s="8">
        <f>IFERROR(__xludf.DUMMYFUNCTION("""COMPUTED_VALUE"""),-0.0507)</f>
        <v>-0.0507</v>
      </c>
    </row>
    <row r="144" ht="15.75" customHeight="1">
      <c r="C144" s="4" t="str">
        <f>IFERROR(__xludf.DUMMYFUNCTION("""COMPUTED_VALUE"""),"Rusia [+]")</f>
        <v>Rusia [+]</v>
      </c>
      <c r="D144" s="4">
        <f>IFERROR(__xludf.DUMMYFUNCTION("""COMPUTED_VALUE"""),2014.0)</f>
        <v>2014</v>
      </c>
      <c r="E144" s="9">
        <f>IFERROR(__xludf.DUMMYFUNCTION("""COMPUTED_VALUE"""),4665.0)</f>
        <v>4665</v>
      </c>
      <c r="F144" s="9">
        <f>IFERROR(__xludf.DUMMYFUNCTION("""COMPUTED_VALUE"""),21941.0)</f>
        <v>21941</v>
      </c>
      <c r="G144" s="9">
        <f>IFERROR(__xludf.DUMMYFUNCTION("""COMPUTED_VALUE"""),26606.0)</f>
        <v>26606</v>
      </c>
      <c r="H144" s="4">
        <f>IFERROR(__xludf.DUMMYFUNCTION("""COMPUTED_VALUE"""),6.0)</f>
        <v>6</v>
      </c>
      <c r="I144" s="4">
        <f>IFERROR(__xludf.DUMMYFUNCTION("""COMPUTED_VALUE"""),32.9)</f>
        <v>32.9</v>
      </c>
      <c r="J144" s="4">
        <f>IFERROR(__xludf.DUMMYFUNCTION("""COMPUTED_VALUE"""),18.5)</f>
        <v>18.5</v>
      </c>
      <c r="K144" s="8">
        <f>IFERROR(__xludf.DUMMYFUNCTION("""COMPUTED_VALUE"""),-0.0796)</f>
        <v>-0.0796</v>
      </c>
    </row>
    <row r="145" ht="15.75" customHeight="1">
      <c r="C145" s="4" t="str">
        <f>IFERROR(__xludf.DUMMYFUNCTION("""COMPUTED_VALUE"""),"Ruanda [+]")</f>
        <v>Ruanda [+]</v>
      </c>
      <c r="D145" s="4">
        <f>IFERROR(__xludf.DUMMYFUNCTION("""COMPUTED_VALUE"""),2014.0)</f>
        <v>2014</v>
      </c>
      <c r="E145" s="4">
        <f>IFERROR(__xludf.DUMMYFUNCTION("""COMPUTED_VALUE"""),128.0)</f>
        <v>128</v>
      </c>
      <c r="F145" s="4">
        <f>IFERROR(__xludf.DUMMYFUNCTION("""COMPUTED_VALUE"""),848.0)</f>
        <v>848</v>
      </c>
      <c r="G145" s="4">
        <f>IFERROR(__xludf.DUMMYFUNCTION("""COMPUTED_VALUE"""),976.0)</f>
        <v>976</v>
      </c>
      <c r="H145" s="4">
        <f>IFERROR(__xludf.DUMMYFUNCTION("""COMPUTED_VALUE"""),2.27)</f>
        <v>2.27</v>
      </c>
      <c r="I145" s="4">
        <f>IFERROR(__xludf.DUMMYFUNCTION("""COMPUTED_VALUE"""),15.59)</f>
        <v>15.59</v>
      </c>
      <c r="J145" s="4">
        <f>IFERROR(__xludf.DUMMYFUNCTION("""COMPUTED_VALUE"""),8.81)</f>
        <v>8.81</v>
      </c>
      <c r="K145" s="8">
        <f>IFERROR(__xludf.DUMMYFUNCTION("""COMPUTED_VALUE"""),-0.0068)</f>
        <v>-0.0068</v>
      </c>
    </row>
    <row r="146" ht="15.75" customHeight="1">
      <c r="C146" s="4" t="str">
        <f>IFERROR(__xludf.DUMMYFUNCTION("""COMPUTED_VALUE"""),"Arabia Saudita [+]")</f>
        <v>Arabia Saudita [+]</v>
      </c>
      <c r="D146" s="4">
        <f>IFERROR(__xludf.DUMMYFUNCTION("""COMPUTED_VALUE"""),2014.0)</f>
        <v>2014</v>
      </c>
      <c r="E146" s="4">
        <f>IFERROR(__xludf.DUMMYFUNCTION("""COMPUTED_VALUE"""),262.0)</f>
        <v>262</v>
      </c>
      <c r="F146" s="4">
        <f>IFERROR(__xludf.DUMMYFUNCTION("""COMPUTED_VALUE"""),798.0)</f>
        <v>798</v>
      </c>
      <c r="G146" s="9">
        <f>IFERROR(__xludf.DUMMYFUNCTION("""COMPUTED_VALUE"""),1060.0)</f>
        <v>1060</v>
      </c>
      <c r="H146" s="4">
        <f>IFERROR(__xludf.DUMMYFUNCTION("""COMPUTED_VALUE"""),1.96)</f>
        <v>1.96</v>
      </c>
      <c r="I146" s="4">
        <f>IFERROR(__xludf.DUMMYFUNCTION("""COMPUTED_VALUE"""),4.55)</f>
        <v>4.55</v>
      </c>
      <c r="J146" s="4">
        <f>IFERROR(__xludf.DUMMYFUNCTION("""COMPUTED_VALUE"""),3.49)</f>
        <v>3.49</v>
      </c>
      <c r="K146" s="8">
        <f>IFERROR(__xludf.DUMMYFUNCTION("""COMPUTED_VALUE"""),-0.0141)</f>
        <v>-0.0141</v>
      </c>
    </row>
    <row r="147" ht="15.75" customHeight="1">
      <c r="C147" s="4" t="str">
        <f>IFERROR(__xludf.DUMMYFUNCTION("""COMPUTED_VALUE"""),"Islas Salomón [+]")</f>
        <v>Islas Salomón [+]</v>
      </c>
      <c r="D147" s="4">
        <f>IFERROR(__xludf.DUMMYFUNCTION("""COMPUTED_VALUE"""),2014.0)</f>
        <v>2014</v>
      </c>
      <c r="E147" s="4">
        <f>IFERROR(__xludf.DUMMYFUNCTION("""COMPUTED_VALUE"""),13.0)</f>
        <v>13</v>
      </c>
      <c r="F147" s="4">
        <f>IFERROR(__xludf.DUMMYFUNCTION("""COMPUTED_VALUE"""),33.0)</f>
        <v>33</v>
      </c>
      <c r="G147" s="4">
        <f>IFERROR(__xludf.DUMMYFUNCTION("""COMPUTED_VALUE"""),46.0)</f>
        <v>46</v>
      </c>
      <c r="H147" s="4">
        <f>IFERROR(__xludf.DUMMYFUNCTION("""COMPUTED_VALUE"""),4.45)</f>
        <v>4.45</v>
      </c>
      <c r="I147" s="4">
        <f>IFERROR(__xludf.DUMMYFUNCTION("""COMPUTED_VALUE"""),11.2)</f>
        <v>11.2</v>
      </c>
      <c r="J147" s="4">
        <f>IFERROR(__xludf.DUMMYFUNCTION("""COMPUTED_VALUE"""),7.88)</f>
        <v>7.88</v>
      </c>
      <c r="K147" s="8">
        <f>IFERROR(__xludf.DUMMYFUNCTION("""COMPUTED_VALUE"""),-0.0088)</f>
        <v>-0.0088</v>
      </c>
    </row>
    <row r="148" ht="15.75" customHeight="1">
      <c r="C148" s="4" t="str">
        <f>IFERROR(__xludf.DUMMYFUNCTION("""COMPUTED_VALUE"""),"Seychelles [+]")</f>
        <v>Seychelles [+]</v>
      </c>
      <c r="D148" s="4">
        <f>IFERROR(__xludf.DUMMYFUNCTION("""COMPUTED_VALUE"""),2014.0)</f>
        <v>2014</v>
      </c>
      <c r="E148" s="4">
        <f>IFERROR(__xludf.DUMMYFUNCTION("""COMPUTED_VALUE"""),1.0)</f>
        <v>1</v>
      </c>
      <c r="F148" s="4">
        <f>IFERROR(__xludf.DUMMYFUNCTION("""COMPUTED_VALUE"""),8.0)</f>
        <v>8</v>
      </c>
      <c r="G148" s="4">
        <f>IFERROR(__xludf.DUMMYFUNCTION("""COMPUTED_VALUE"""),9.0)</f>
        <v>9</v>
      </c>
      <c r="H148" s="4">
        <f>IFERROR(__xludf.DUMMYFUNCTION("""COMPUTED_VALUE"""),2.2)</f>
        <v>2.2</v>
      </c>
      <c r="I148" s="4">
        <f>IFERROR(__xludf.DUMMYFUNCTION("""COMPUTED_VALUE"""),16.98)</f>
        <v>16.98</v>
      </c>
      <c r="J148" s="4">
        <f>IFERROR(__xludf.DUMMYFUNCTION("""COMPUTED_VALUE"""),9.86)</f>
        <v>9.86</v>
      </c>
      <c r="K148" s="8">
        <f>IFERROR(__xludf.DUMMYFUNCTION("""COMPUTED_VALUE"""),-0.005)</f>
        <v>-0.005</v>
      </c>
    </row>
    <row r="149" ht="15.75" customHeight="1">
      <c r="C149" s="4" t="str">
        <f>IFERROR(__xludf.DUMMYFUNCTION("""COMPUTED_VALUE"""),"Sudán [+]")</f>
        <v>Sudán [+]</v>
      </c>
      <c r="D149" s="4">
        <f>IFERROR(__xludf.DUMMYFUNCTION("""COMPUTED_VALUE"""),2014.0)</f>
        <v>2014</v>
      </c>
      <c r="E149" s="9">
        <f>IFERROR(__xludf.DUMMYFUNCTION("""COMPUTED_VALUE"""),1130.0)</f>
        <v>1130</v>
      </c>
      <c r="F149" s="9">
        <f>IFERROR(__xludf.DUMMYFUNCTION("""COMPUTED_VALUE"""),2914.0)</f>
        <v>2914</v>
      </c>
      <c r="G149" s="9">
        <f>IFERROR(__xludf.DUMMYFUNCTION("""COMPUTED_VALUE"""),4045.0)</f>
        <v>4045</v>
      </c>
      <c r="H149" s="4">
        <f>IFERROR(__xludf.DUMMYFUNCTION("""COMPUTED_VALUE"""),5.94)</f>
        <v>5.94</v>
      </c>
      <c r="I149" s="4">
        <f>IFERROR(__xludf.DUMMYFUNCTION("""COMPUTED_VALUE"""),15.37)</f>
        <v>15.37</v>
      </c>
      <c r="J149" s="4">
        <f>IFERROR(__xludf.DUMMYFUNCTION("""COMPUTED_VALUE"""),10.65)</f>
        <v>10.65</v>
      </c>
      <c r="K149" s="8">
        <f>IFERROR(__xludf.DUMMYFUNCTION("""COMPUTED_VALUE"""),-0.0037)</f>
        <v>-0.0037</v>
      </c>
    </row>
    <row r="150" ht="15.75" customHeight="1">
      <c r="C150" s="4" t="str">
        <f>IFERROR(__xludf.DUMMYFUNCTION("""COMPUTED_VALUE"""),"Suecia [+]")</f>
        <v>Suecia [+]</v>
      </c>
      <c r="D150" s="4">
        <f>IFERROR(__xludf.DUMMYFUNCTION("""COMPUTED_VALUE"""),2014.0)</f>
        <v>2014</v>
      </c>
      <c r="E150" s="4">
        <f>IFERROR(__xludf.DUMMYFUNCTION("""COMPUTED_VALUE"""),365.0)</f>
        <v>365</v>
      </c>
      <c r="F150" s="4">
        <f>IFERROR(__xludf.DUMMYFUNCTION("""COMPUTED_VALUE"""),791.0)</f>
        <v>791</v>
      </c>
      <c r="G150" s="9">
        <f>IFERROR(__xludf.DUMMYFUNCTION("""COMPUTED_VALUE"""),1180.0)</f>
        <v>1180</v>
      </c>
      <c r="H150" s="4">
        <f>IFERROR(__xludf.DUMMYFUNCTION("""COMPUTED_VALUE"""),7.54)</f>
        <v>7.54</v>
      </c>
      <c r="I150" s="4">
        <f>IFERROR(__xludf.DUMMYFUNCTION("""COMPUTED_VALUE"""),16.33)</f>
        <v>16.33</v>
      </c>
      <c r="J150" s="4">
        <f>IFERROR(__xludf.DUMMYFUNCTION("""COMPUTED_VALUE"""),11.93)</f>
        <v>11.93</v>
      </c>
      <c r="K150" s="8">
        <f>IFERROR(__xludf.DUMMYFUNCTION("""COMPUTED_VALUE"""),-0.0716)</f>
        <v>-0.0716</v>
      </c>
    </row>
    <row r="151" ht="15.75" customHeight="1">
      <c r="C151" s="4" t="str">
        <f>IFERROR(__xludf.DUMMYFUNCTION("""COMPUTED_VALUE"""),"Singapur [+]")</f>
        <v>Singapur [+]</v>
      </c>
      <c r="D151" s="4">
        <f>IFERROR(__xludf.DUMMYFUNCTION("""COMPUTED_VALUE"""),2014.0)</f>
        <v>2014</v>
      </c>
      <c r="E151" s="4">
        <f>IFERROR(__xludf.DUMMYFUNCTION("""COMPUTED_VALUE"""),179.0)</f>
        <v>179</v>
      </c>
      <c r="F151" s="4">
        <f>IFERROR(__xludf.DUMMYFUNCTION("""COMPUTED_VALUE"""),467.0)</f>
        <v>467</v>
      </c>
      <c r="G151" s="4">
        <f>IFERROR(__xludf.DUMMYFUNCTION("""COMPUTED_VALUE"""),645.0)</f>
        <v>645</v>
      </c>
      <c r="H151" s="4">
        <f>IFERROR(__xludf.DUMMYFUNCTION("""COMPUTED_VALUE"""),6.85)</f>
        <v>6.85</v>
      </c>
      <c r="I151" s="4">
        <f>IFERROR(__xludf.DUMMYFUNCTION("""COMPUTED_VALUE"""),16.3)</f>
        <v>16.3</v>
      </c>
      <c r="J151" s="4">
        <f>IFERROR(__xludf.DUMMYFUNCTION("""COMPUTED_VALUE"""),11.8)</f>
        <v>11.8</v>
      </c>
      <c r="K151" s="8">
        <f>IFERROR(__xludf.DUMMYFUNCTION("""COMPUTED_VALUE"""),0.0025)</f>
        <v>0.0025</v>
      </c>
    </row>
    <row r="152" ht="15.75" customHeight="1">
      <c r="C152" s="4" t="str">
        <f>IFERROR(__xludf.DUMMYFUNCTION("""COMPUTED_VALUE"""),"Eslovenia [+]")</f>
        <v>Eslovenia [+]</v>
      </c>
      <c r="D152" s="4">
        <f>IFERROR(__xludf.DUMMYFUNCTION("""COMPUTED_VALUE"""),2014.0)</f>
        <v>2014</v>
      </c>
      <c r="E152" s="4">
        <f>IFERROR(__xludf.DUMMYFUNCTION("""COMPUTED_VALUE"""),65.0)</f>
        <v>65</v>
      </c>
      <c r="F152" s="4">
        <f>IFERROR(__xludf.DUMMYFUNCTION("""COMPUTED_VALUE"""),330.0)</f>
        <v>330</v>
      </c>
      <c r="G152" s="4">
        <f>IFERROR(__xludf.DUMMYFUNCTION("""COMPUTED_VALUE"""),395.0)</f>
        <v>395</v>
      </c>
      <c r="H152" s="4">
        <f>IFERROR(__xludf.DUMMYFUNCTION("""COMPUTED_VALUE"""),6.25)</f>
        <v>6.25</v>
      </c>
      <c r="I152" s="4">
        <f>IFERROR(__xludf.DUMMYFUNCTION("""COMPUTED_VALUE"""),32.4)</f>
        <v>32.4</v>
      </c>
      <c r="J152" s="4">
        <f>IFERROR(__xludf.DUMMYFUNCTION("""COMPUTED_VALUE"""),19.2)</f>
        <v>19.2</v>
      </c>
      <c r="K152" s="8">
        <f>IFERROR(__xludf.DUMMYFUNCTION("""COMPUTED_VALUE"""),-0.1328)</f>
        <v>-0.1328</v>
      </c>
    </row>
    <row r="153" ht="15.75" customHeight="1">
      <c r="C153" s="4" t="str">
        <f>IFERROR(__xludf.DUMMYFUNCTION("""COMPUTED_VALUE"""),"Eslovaquia [+]")</f>
        <v>Eslovaquia [+]</v>
      </c>
      <c r="D153" s="4">
        <f>IFERROR(__xludf.DUMMYFUNCTION("""COMPUTED_VALUE"""),2014.0)</f>
        <v>2014</v>
      </c>
      <c r="E153" s="4">
        <f>IFERROR(__xludf.DUMMYFUNCTION("""COMPUTED_VALUE"""),83.0)</f>
        <v>83</v>
      </c>
      <c r="F153" s="4">
        <f>IFERROR(__xludf.DUMMYFUNCTION("""COMPUTED_VALUE"""),473.0)</f>
        <v>473</v>
      </c>
      <c r="G153" s="4">
        <f>IFERROR(__xludf.DUMMYFUNCTION("""COMPUTED_VALUE"""),556.0)</f>
        <v>556</v>
      </c>
      <c r="H153" s="4">
        <f>IFERROR(__xludf.DUMMYFUNCTION("""COMPUTED_VALUE"""),3.06)</f>
        <v>3.06</v>
      </c>
      <c r="I153" s="4">
        <f>IFERROR(__xludf.DUMMYFUNCTION("""COMPUTED_VALUE"""),18.37)</f>
        <v>18.37</v>
      </c>
      <c r="J153" s="4">
        <f>IFERROR(__xludf.DUMMYFUNCTION("""COMPUTED_VALUE"""),10.52)</f>
        <v>10.52</v>
      </c>
      <c r="K153" s="8">
        <f>IFERROR(__xludf.DUMMYFUNCTION("""COMPUTED_VALUE"""),-0.1115)</f>
        <v>-0.1115</v>
      </c>
    </row>
    <row r="154" ht="15.75" customHeight="1">
      <c r="C154" s="4" t="str">
        <f>IFERROR(__xludf.DUMMYFUNCTION("""COMPUTED_VALUE"""),"Sierra Leona [+]")</f>
        <v>Sierra Leona [+]</v>
      </c>
      <c r="D154" s="4">
        <f>IFERROR(__xludf.DUMMYFUNCTION("""COMPUTED_VALUE"""),2014.0)</f>
        <v>2014</v>
      </c>
      <c r="E154" s="4">
        <f>IFERROR(__xludf.DUMMYFUNCTION("""COMPUTED_VALUE"""),295.0)</f>
        <v>295</v>
      </c>
      <c r="F154" s="4">
        <f>IFERROR(__xludf.DUMMYFUNCTION("""COMPUTED_VALUE"""),652.0)</f>
        <v>652</v>
      </c>
      <c r="G154" s="4">
        <f>IFERROR(__xludf.DUMMYFUNCTION("""COMPUTED_VALUE"""),946.0)</f>
        <v>946</v>
      </c>
      <c r="H154" s="4">
        <f>IFERROR(__xludf.DUMMYFUNCTION("""COMPUTED_VALUE"""),8.37)</f>
        <v>8.37</v>
      </c>
      <c r="I154" s="4">
        <f>IFERROR(__xludf.DUMMYFUNCTION("""COMPUTED_VALUE"""),18.64)</f>
        <v>18.64</v>
      </c>
      <c r="J154" s="4">
        <f>IFERROR(__xludf.DUMMYFUNCTION("""COMPUTED_VALUE"""),13.49)</f>
        <v>13.49</v>
      </c>
      <c r="K154" s="8">
        <f>IFERROR(__xludf.DUMMYFUNCTION("""COMPUTED_VALUE"""),0.0052)</f>
        <v>0.0052</v>
      </c>
    </row>
    <row r="155" ht="15.75" customHeight="1">
      <c r="C155" s="4" t="str">
        <f>IFERROR(__xludf.DUMMYFUNCTION("""COMPUTED_VALUE"""),"Senegal [+]")</f>
        <v>Senegal [+]</v>
      </c>
      <c r="D155" s="4">
        <f>IFERROR(__xludf.DUMMYFUNCTION("""COMPUTED_VALUE"""),2014.0)</f>
        <v>2014</v>
      </c>
      <c r="E155" s="4">
        <f>IFERROR(__xludf.DUMMYFUNCTION("""COMPUTED_VALUE"""),235.0)</f>
        <v>235</v>
      </c>
      <c r="F155" s="4">
        <f>IFERROR(__xludf.DUMMYFUNCTION("""COMPUTED_VALUE"""),672.0)</f>
        <v>672</v>
      </c>
      <c r="G155" s="4">
        <f>IFERROR(__xludf.DUMMYFUNCTION("""COMPUTED_VALUE"""),907.0)</f>
        <v>907</v>
      </c>
      <c r="H155" s="4">
        <f>IFERROR(__xludf.DUMMYFUNCTION("""COMPUTED_VALUE"""),3.23)</f>
        <v>3.23</v>
      </c>
      <c r="I155" s="4">
        <f>IFERROR(__xludf.DUMMYFUNCTION("""COMPUTED_VALUE"""),9.75)</f>
        <v>9.75</v>
      </c>
      <c r="J155" s="4">
        <f>IFERROR(__xludf.DUMMYFUNCTION("""COMPUTED_VALUE"""),6.4)</f>
        <v>6.4</v>
      </c>
      <c r="K155" s="8">
        <f>IFERROR(__xludf.DUMMYFUNCTION("""COMPUTED_VALUE"""),-0.0229)</f>
        <v>-0.0229</v>
      </c>
    </row>
    <row r="156" ht="15.75" customHeight="1">
      <c r="C156" s="4" t="str">
        <f>IFERROR(__xludf.DUMMYFUNCTION("""COMPUTED_VALUE"""),"Somalia [+]")</f>
        <v>Somalia [+]</v>
      </c>
      <c r="D156" s="4">
        <f>IFERROR(__xludf.DUMMYFUNCTION("""COMPUTED_VALUE"""),2014.0)</f>
        <v>2014</v>
      </c>
      <c r="E156" s="4">
        <f>IFERROR(__xludf.DUMMYFUNCTION("""COMPUTED_VALUE"""),160.0)</f>
        <v>160</v>
      </c>
      <c r="F156" s="4">
        <f>IFERROR(__xludf.DUMMYFUNCTION("""COMPUTED_VALUE"""),396.0)</f>
        <v>396</v>
      </c>
      <c r="G156" s="4">
        <f>IFERROR(__xludf.DUMMYFUNCTION("""COMPUTED_VALUE"""),556.0)</f>
        <v>556</v>
      </c>
      <c r="H156" s="4">
        <f>IFERROR(__xludf.DUMMYFUNCTION("""COMPUTED_VALUE"""),2.38)</f>
        <v>2.38</v>
      </c>
      <c r="I156" s="4">
        <f>IFERROR(__xludf.DUMMYFUNCTION("""COMPUTED_VALUE"""),5.91)</f>
        <v>5.91</v>
      </c>
      <c r="J156" s="4">
        <f>IFERROR(__xludf.DUMMYFUNCTION("""COMPUTED_VALUE"""),4.14)</f>
        <v>4.14</v>
      </c>
      <c r="K156" s="8">
        <f>IFERROR(__xludf.DUMMYFUNCTION("""COMPUTED_VALUE"""),-0.0526)</f>
        <v>-0.0526</v>
      </c>
    </row>
    <row r="157" ht="15.75" customHeight="1">
      <c r="C157" s="4" t="str">
        <f>IFERROR(__xludf.DUMMYFUNCTION("""COMPUTED_VALUE"""),"Surinam [+]")</f>
        <v>Surinam [+]</v>
      </c>
      <c r="D157" s="4">
        <f>IFERROR(__xludf.DUMMYFUNCTION("""COMPUTED_VALUE"""),2014.0)</f>
        <v>2014</v>
      </c>
      <c r="E157" s="4">
        <f>IFERROR(__xludf.DUMMYFUNCTION("""COMPUTED_VALUE"""),33.0)</f>
        <v>33</v>
      </c>
      <c r="F157" s="4">
        <f>IFERROR(__xludf.DUMMYFUNCTION("""COMPUTED_VALUE"""),106.0)</f>
        <v>106</v>
      </c>
      <c r="G157" s="4">
        <f>IFERROR(__xludf.DUMMYFUNCTION("""COMPUTED_VALUE"""),140.0)</f>
        <v>140</v>
      </c>
      <c r="H157" s="4">
        <f>IFERROR(__xludf.DUMMYFUNCTION("""COMPUTED_VALUE"""),12.08)</f>
        <v>12.08</v>
      </c>
      <c r="I157" s="4">
        <f>IFERROR(__xludf.DUMMYFUNCTION("""COMPUTED_VALUE"""),38.19)</f>
        <v>38.19</v>
      </c>
      <c r="J157" s="4">
        <f>IFERROR(__xludf.DUMMYFUNCTION("""COMPUTED_VALUE"""),24.96)</f>
        <v>24.96</v>
      </c>
      <c r="K157" s="8">
        <f>IFERROR(__xludf.DUMMYFUNCTION("""COMPUTED_VALUE"""),-0.0103)</f>
        <v>-0.0103</v>
      </c>
    </row>
    <row r="158" ht="15.75" customHeight="1">
      <c r="C158" s="4" t="str">
        <f>IFERROR(__xludf.DUMMYFUNCTION("""COMPUTED_VALUE"""),"Sudán del Sur [+]")</f>
        <v>Sudán del Sur [+]</v>
      </c>
      <c r="D158" s="4">
        <f>IFERROR(__xludf.DUMMYFUNCTION("""COMPUTED_VALUE"""),2014.0)</f>
        <v>2014</v>
      </c>
      <c r="E158" s="4">
        <f>IFERROR(__xludf.DUMMYFUNCTION("""COMPUTED_VALUE"""),218.0)</f>
        <v>218</v>
      </c>
      <c r="F158" s="4">
        <f>IFERROR(__xludf.DUMMYFUNCTION("""COMPUTED_VALUE"""),541.0)</f>
        <v>541</v>
      </c>
      <c r="G158" s="4">
        <f>IFERROR(__xludf.DUMMYFUNCTION("""COMPUTED_VALUE"""),760.0)</f>
        <v>760</v>
      </c>
      <c r="H158" s="4">
        <f>IFERROR(__xludf.DUMMYFUNCTION("""COMPUTED_VALUE"""),4.14)</f>
        <v>4.14</v>
      </c>
      <c r="I158" s="4">
        <f>IFERROR(__xludf.DUMMYFUNCTION("""COMPUTED_VALUE"""),10.25)</f>
        <v>10.25</v>
      </c>
      <c r="J158" s="4">
        <f>IFERROR(__xludf.DUMMYFUNCTION("""COMPUTED_VALUE"""),7.2)</f>
        <v>7.2</v>
      </c>
      <c r="K158" s="8">
        <f>IFERROR(__xludf.DUMMYFUNCTION("""COMPUTED_VALUE"""),0.0198)</f>
        <v>0.0198</v>
      </c>
    </row>
    <row r="159" ht="15.75" customHeight="1">
      <c r="C159" s="4" t="str">
        <f>IFERROR(__xludf.DUMMYFUNCTION("""COMPUTED_VALUE"""),"Santo Tomé y Príncipe [+]")</f>
        <v>Santo Tomé y Príncipe [+]</v>
      </c>
      <c r="D159" s="4">
        <f>IFERROR(__xludf.DUMMYFUNCTION("""COMPUTED_VALUE"""),2014.0)</f>
        <v>2014</v>
      </c>
      <c r="E159" s="4">
        <f>IFERROR(__xludf.DUMMYFUNCTION("""COMPUTED_VALUE"""),1.0)</f>
        <v>1</v>
      </c>
      <c r="F159" s="4">
        <f>IFERROR(__xludf.DUMMYFUNCTION("""COMPUTED_VALUE"""),2.0)</f>
        <v>2</v>
      </c>
      <c r="G159" s="4">
        <f>IFERROR(__xludf.DUMMYFUNCTION("""COMPUTED_VALUE"""),4.0)</f>
        <v>4</v>
      </c>
      <c r="H159" s="4">
        <f>IFERROR(__xludf.DUMMYFUNCTION("""COMPUTED_VALUE"""),1.22)</f>
        <v>1.22</v>
      </c>
      <c r="I159" s="4">
        <f>IFERROR(__xludf.DUMMYFUNCTION("""COMPUTED_VALUE"""),2.53)</f>
        <v>2.53</v>
      </c>
      <c r="J159" s="4">
        <f>IFERROR(__xludf.DUMMYFUNCTION("""COMPUTED_VALUE"""),1.88)</f>
        <v>1.88</v>
      </c>
      <c r="K159" s="4">
        <f>IFERROR(__xludf.DUMMYFUNCTION("""COMPUTED_VALUE"""),0.0)</f>
        <v>0</v>
      </c>
    </row>
    <row r="160" ht="15.75" customHeight="1">
      <c r="C160" s="4" t="str">
        <f>IFERROR(__xludf.DUMMYFUNCTION("""COMPUTED_VALUE"""),"El Salvador [+]")</f>
        <v>El Salvador [+]</v>
      </c>
      <c r="D160" s="4">
        <f>IFERROR(__xludf.DUMMYFUNCTION("""COMPUTED_VALUE"""),2014.0)</f>
        <v>2014</v>
      </c>
      <c r="E160" s="4">
        <f>IFERROR(__xludf.DUMMYFUNCTION("""COMPUTED_VALUE"""),155.0)</f>
        <v>155</v>
      </c>
      <c r="F160" s="4">
        <f>IFERROR(__xludf.DUMMYFUNCTION("""COMPUTED_VALUE"""),540.0)</f>
        <v>540</v>
      </c>
      <c r="G160" s="4">
        <f>IFERROR(__xludf.DUMMYFUNCTION("""COMPUTED_VALUE"""),695.0)</f>
        <v>695</v>
      </c>
      <c r="H160" s="4">
        <f>IFERROR(__xludf.DUMMYFUNCTION("""COMPUTED_VALUE"""),4.64)</f>
        <v>4.64</v>
      </c>
      <c r="I160" s="4">
        <f>IFERROR(__xludf.DUMMYFUNCTION("""COMPUTED_VALUE"""),18.22)</f>
        <v>18.22</v>
      </c>
      <c r="J160" s="4">
        <f>IFERROR(__xludf.DUMMYFUNCTION("""COMPUTED_VALUE"""),11.03)</f>
        <v>11.03</v>
      </c>
      <c r="K160" s="8">
        <f>IFERROR(__xludf.DUMMYFUNCTION("""COMPUTED_VALUE"""),-0.0316)</f>
        <v>-0.0316</v>
      </c>
    </row>
    <row r="161" ht="15.75" customHeight="1">
      <c r="C161" s="4" t="str">
        <f>IFERROR(__xludf.DUMMYFUNCTION("""COMPUTED_VALUE"""),"Siria [+]")</f>
        <v>Siria [+]</v>
      </c>
      <c r="D161" s="4">
        <f>IFERROR(__xludf.DUMMYFUNCTION("""COMPUTED_VALUE"""),2014.0)</f>
        <v>2014</v>
      </c>
      <c r="E161" s="4">
        <f>IFERROR(__xludf.DUMMYFUNCTION("""COMPUTED_VALUE"""),92.0)</f>
        <v>92</v>
      </c>
      <c r="F161" s="4">
        <f>IFERROR(__xludf.DUMMYFUNCTION("""COMPUTED_VALUE"""),405.0)</f>
        <v>405</v>
      </c>
      <c r="G161" s="4">
        <f>IFERROR(__xludf.DUMMYFUNCTION("""COMPUTED_VALUE"""),497.0)</f>
        <v>497</v>
      </c>
      <c r="H161" s="4">
        <f>IFERROR(__xludf.DUMMYFUNCTION("""COMPUTED_VALUE"""),0.99)</f>
        <v>0.99</v>
      </c>
      <c r="I161" s="4">
        <f>IFERROR(__xludf.DUMMYFUNCTION("""COMPUTED_VALUE"""),4.29)</f>
        <v>4.29</v>
      </c>
      <c r="J161" s="4">
        <f>IFERROR(__xludf.DUMMYFUNCTION("""COMPUTED_VALUE"""),2.65)</f>
        <v>2.65</v>
      </c>
      <c r="K161" s="8">
        <f>IFERROR(__xludf.DUMMYFUNCTION("""COMPUTED_VALUE"""),0.0232)</f>
        <v>0.0232</v>
      </c>
    </row>
    <row r="162" ht="15.75" customHeight="1">
      <c r="C162" s="4" t="str">
        <f>IFERROR(__xludf.DUMMYFUNCTION("""COMPUTED_VALUE"""),"Eswatini [+]")</f>
        <v>Eswatini [+]</v>
      </c>
      <c r="D162" s="4">
        <f>IFERROR(__xludf.DUMMYFUNCTION("""COMPUTED_VALUE"""),2014.0)</f>
        <v>2014</v>
      </c>
      <c r="E162" s="4">
        <f>IFERROR(__xludf.DUMMYFUNCTION("""COMPUTED_VALUE"""),48.0)</f>
        <v>48</v>
      </c>
      <c r="F162" s="4">
        <f>IFERROR(__xludf.DUMMYFUNCTION("""COMPUTED_VALUE"""),138.0)</f>
        <v>138</v>
      </c>
      <c r="G162" s="4">
        <f>IFERROR(__xludf.DUMMYFUNCTION("""COMPUTED_VALUE"""),186.0)</f>
        <v>186</v>
      </c>
      <c r="H162" s="4">
        <f>IFERROR(__xludf.DUMMYFUNCTION("""COMPUTED_VALUE"""),8.43)</f>
        <v>8.43</v>
      </c>
      <c r="I162" s="4">
        <f>IFERROR(__xludf.DUMMYFUNCTION("""COMPUTED_VALUE"""),26.24)</f>
        <v>26.24</v>
      </c>
      <c r="J162" s="4">
        <f>IFERROR(__xludf.DUMMYFUNCTION("""COMPUTED_VALUE"""),17.35)</f>
        <v>17.35</v>
      </c>
      <c r="K162" s="8">
        <f>IFERROR(__xludf.DUMMYFUNCTION("""COMPUTED_VALUE"""),-0.0052)</f>
        <v>-0.0052</v>
      </c>
    </row>
    <row r="163" ht="15.75" customHeight="1">
      <c r="C163" s="4" t="str">
        <f>IFERROR(__xludf.DUMMYFUNCTION("""COMPUTED_VALUE"""),"Chad [+]")</f>
        <v>Chad [+]</v>
      </c>
      <c r="D163" s="4">
        <f>IFERROR(__xludf.DUMMYFUNCTION("""COMPUTED_VALUE"""),2014.0)</f>
        <v>2014</v>
      </c>
      <c r="E163" s="4">
        <f>IFERROR(__xludf.DUMMYFUNCTION("""COMPUTED_VALUE"""),303.0)</f>
        <v>303</v>
      </c>
      <c r="F163" s="4">
        <f>IFERROR(__xludf.DUMMYFUNCTION("""COMPUTED_VALUE"""),865.0)</f>
        <v>865</v>
      </c>
      <c r="G163" s="9">
        <f>IFERROR(__xludf.DUMMYFUNCTION("""COMPUTED_VALUE"""),1167.0)</f>
        <v>1167</v>
      </c>
      <c r="H163" s="4">
        <f>IFERROR(__xludf.DUMMYFUNCTION("""COMPUTED_VALUE"""),4.42)</f>
        <v>4.42</v>
      </c>
      <c r="I163" s="4">
        <f>IFERROR(__xludf.DUMMYFUNCTION("""COMPUTED_VALUE"""),12.68)</f>
        <v>12.68</v>
      </c>
      <c r="J163" s="4">
        <f>IFERROR(__xludf.DUMMYFUNCTION("""COMPUTED_VALUE"""),8.54)</f>
        <v>8.54</v>
      </c>
      <c r="K163" s="8">
        <f>IFERROR(__xludf.DUMMYFUNCTION("""COMPUTED_VALUE"""),0.0179)</f>
        <v>0.0179</v>
      </c>
    </row>
    <row r="164" ht="15.75" customHeight="1">
      <c r="C164" s="4" t="str">
        <f>IFERROR(__xludf.DUMMYFUNCTION("""COMPUTED_VALUE"""),"Togo [+]")</f>
        <v>Togo [+]</v>
      </c>
      <c r="D164" s="4">
        <f>IFERROR(__xludf.DUMMYFUNCTION("""COMPUTED_VALUE"""),2014.0)</f>
        <v>2014</v>
      </c>
      <c r="E164" s="4">
        <f>IFERROR(__xludf.DUMMYFUNCTION("""COMPUTED_VALUE"""),192.0)</f>
        <v>192</v>
      </c>
      <c r="F164" s="4">
        <f>IFERROR(__xludf.DUMMYFUNCTION("""COMPUTED_VALUE"""),481.0)</f>
        <v>481</v>
      </c>
      <c r="G164" s="4">
        <f>IFERROR(__xludf.DUMMYFUNCTION("""COMPUTED_VALUE"""),673.0)</f>
        <v>673</v>
      </c>
      <c r="H164" s="4">
        <f>IFERROR(__xludf.DUMMYFUNCTION("""COMPUTED_VALUE"""),5.34)</f>
        <v>5.34</v>
      </c>
      <c r="I164" s="4">
        <f>IFERROR(__xludf.DUMMYFUNCTION("""COMPUTED_VALUE"""),13.56)</f>
        <v>13.56</v>
      </c>
      <c r="J164" s="4">
        <f>IFERROR(__xludf.DUMMYFUNCTION("""COMPUTED_VALUE"""),9.42)</f>
        <v>9.42</v>
      </c>
      <c r="K164" s="8">
        <f>IFERROR(__xludf.DUMMYFUNCTION("""COMPUTED_VALUE"""),0.0064)</f>
        <v>0.0064</v>
      </c>
    </row>
    <row r="165" ht="15.75" customHeight="1">
      <c r="C165" s="4" t="str">
        <f>IFERROR(__xludf.DUMMYFUNCTION("""COMPUTED_VALUE"""),"Tailandia [+]")</f>
        <v>Tailandia [+]</v>
      </c>
      <c r="D165" s="4">
        <f>IFERROR(__xludf.DUMMYFUNCTION("""COMPUTED_VALUE"""),2014.0)</f>
        <v>2014</v>
      </c>
      <c r="E165" s="9">
        <f>IFERROR(__xludf.DUMMYFUNCTION("""COMPUTED_VALUE"""),3358.0)</f>
        <v>3358</v>
      </c>
      <c r="F165" s="9">
        <f>IFERROR(__xludf.DUMMYFUNCTION("""COMPUTED_VALUE"""),7621.0)</f>
        <v>7621</v>
      </c>
      <c r="G165" s="9">
        <f>IFERROR(__xludf.DUMMYFUNCTION("""COMPUTED_VALUE"""),10980.0)</f>
        <v>10980</v>
      </c>
      <c r="H165" s="4">
        <f>IFERROR(__xludf.DUMMYFUNCTION("""COMPUTED_VALUE"""),9.6)</f>
        <v>9.6</v>
      </c>
      <c r="I165" s="4">
        <f>IFERROR(__xludf.DUMMYFUNCTION("""COMPUTED_VALUE"""),22.79)</f>
        <v>22.79</v>
      </c>
      <c r="J165" s="4">
        <f>IFERROR(__xludf.DUMMYFUNCTION("""COMPUTED_VALUE"""),16.04)</f>
        <v>16.04</v>
      </c>
      <c r="K165" s="8">
        <f>IFERROR(__xludf.DUMMYFUNCTION("""COMPUTED_VALUE"""),0.005)</f>
        <v>0.005</v>
      </c>
    </row>
    <row r="166" ht="15.75" customHeight="1">
      <c r="C166" s="4" t="str">
        <f>IFERROR(__xludf.DUMMYFUNCTION("""COMPUTED_VALUE"""),"Tayikistán [+]")</f>
        <v>Tayikistán [+]</v>
      </c>
      <c r="D166" s="4">
        <f>IFERROR(__xludf.DUMMYFUNCTION("""COMPUTED_VALUE"""),2014.0)</f>
        <v>2014</v>
      </c>
      <c r="E166" s="4">
        <f>IFERROR(__xludf.DUMMYFUNCTION("""COMPUTED_VALUE"""),88.0)</f>
        <v>88</v>
      </c>
      <c r="F166" s="4">
        <f>IFERROR(__xludf.DUMMYFUNCTION("""COMPUTED_VALUE"""),239.0)</f>
        <v>239</v>
      </c>
      <c r="G166" s="4">
        <f>IFERROR(__xludf.DUMMYFUNCTION("""COMPUTED_VALUE"""),327.0)</f>
        <v>327</v>
      </c>
      <c r="H166" s="4">
        <f>IFERROR(__xludf.DUMMYFUNCTION("""COMPUTED_VALUE"""),2.16)</f>
        <v>2.16</v>
      </c>
      <c r="I166" s="4">
        <f>IFERROR(__xludf.DUMMYFUNCTION("""COMPUTED_VALUE"""),5.74)</f>
        <v>5.74</v>
      </c>
      <c r="J166" s="4">
        <f>IFERROR(__xludf.DUMMYFUNCTION("""COMPUTED_VALUE"""),3.92)</f>
        <v>3.92</v>
      </c>
      <c r="K166" s="8">
        <f>IFERROR(__xludf.DUMMYFUNCTION("""COMPUTED_VALUE"""),0.0129)</f>
        <v>0.0129</v>
      </c>
    </row>
    <row r="167" ht="15.75" customHeight="1">
      <c r="C167" s="4" t="str">
        <f>IFERROR(__xludf.DUMMYFUNCTION("""COMPUTED_VALUE"""),"Timor Oriental [+]")</f>
        <v>Timor Oriental [+]</v>
      </c>
      <c r="D167" s="4">
        <f>IFERROR(__xludf.DUMMYFUNCTION("""COMPUTED_VALUE"""),2014.0)</f>
        <v>2014</v>
      </c>
      <c r="E167" s="4">
        <f>IFERROR(__xludf.DUMMYFUNCTION("""COMPUTED_VALUE"""),28.0)</f>
        <v>28</v>
      </c>
      <c r="F167" s="4">
        <f>IFERROR(__xludf.DUMMYFUNCTION("""COMPUTED_VALUE"""),61.0)</f>
        <v>61</v>
      </c>
      <c r="G167" s="4">
        <f>IFERROR(__xludf.DUMMYFUNCTION("""COMPUTED_VALUE"""),89.0)</f>
        <v>89</v>
      </c>
      <c r="H167" s="4">
        <f>IFERROR(__xludf.DUMMYFUNCTION("""COMPUTED_VALUE"""),4.82)</f>
        <v>4.82</v>
      </c>
      <c r="I167" s="4">
        <f>IFERROR(__xludf.DUMMYFUNCTION("""COMPUTED_VALUE"""),10.22)</f>
        <v>10.22</v>
      </c>
      <c r="J167" s="4">
        <f>IFERROR(__xludf.DUMMYFUNCTION("""COMPUTED_VALUE"""),7.55)</f>
        <v>7.55</v>
      </c>
      <c r="K167" s="8">
        <f>IFERROR(__xludf.DUMMYFUNCTION("""COMPUTED_VALUE"""),-0.0156)</f>
        <v>-0.0156</v>
      </c>
    </row>
    <row r="168" ht="15.75" customHeight="1">
      <c r="C168" s="4" t="str">
        <f>IFERROR(__xludf.DUMMYFUNCTION("""COMPUTED_VALUE"""),"Turkmenistán [+]")</f>
        <v>Turkmenistán [+]</v>
      </c>
      <c r="D168" s="4">
        <f>IFERROR(__xludf.DUMMYFUNCTION("""COMPUTED_VALUE"""),2014.0)</f>
        <v>2014</v>
      </c>
      <c r="E168" s="4">
        <f>IFERROR(__xludf.DUMMYFUNCTION("""COMPUTED_VALUE"""),137.0)</f>
        <v>137</v>
      </c>
      <c r="F168" s="4">
        <f>IFERROR(__xludf.DUMMYFUNCTION("""COMPUTED_VALUE"""),396.0)</f>
        <v>396</v>
      </c>
      <c r="G168" s="4">
        <f>IFERROR(__xludf.DUMMYFUNCTION("""COMPUTED_VALUE"""),533.0)</f>
        <v>533</v>
      </c>
      <c r="H168" s="4">
        <f>IFERROR(__xludf.DUMMYFUNCTION("""COMPUTED_VALUE"""),4.92)</f>
        <v>4.92</v>
      </c>
      <c r="I168" s="4">
        <f>IFERROR(__xludf.DUMMYFUNCTION("""COMPUTED_VALUE"""),14.73)</f>
        <v>14.73</v>
      </c>
      <c r="J168" s="4">
        <f>IFERROR(__xludf.DUMMYFUNCTION("""COMPUTED_VALUE"""),9.75)</f>
        <v>9.75</v>
      </c>
      <c r="K168" s="8">
        <f>IFERROR(__xludf.DUMMYFUNCTION("""COMPUTED_VALUE"""),-0.0767)</f>
        <v>-0.0767</v>
      </c>
    </row>
    <row r="169" ht="15.75" customHeight="1">
      <c r="C169" s="4" t="str">
        <f>IFERROR(__xludf.DUMMYFUNCTION("""COMPUTED_VALUE"""),"Túnez [+]")</f>
        <v>Túnez [+]</v>
      </c>
      <c r="D169" s="4">
        <f>IFERROR(__xludf.DUMMYFUNCTION("""COMPUTED_VALUE"""),2014.0)</f>
        <v>2014</v>
      </c>
      <c r="E169" s="4">
        <f>IFERROR(__xludf.DUMMYFUNCTION("""COMPUTED_VALUE"""),249.0)</f>
        <v>249</v>
      </c>
      <c r="F169" s="4">
        <f>IFERROR(__xludf.DUMMYFUNCTION("""COMPUTED_VALUE"""),371.0)</f>
        <v>371</v>
      </c>
      <c r="G169" s="4">
        <f>IFERROR(__xludf.DUMMYFUNCTION("""COMPUTED_VALUE"""),620.0)</f>
        <v>620</v>
      </c>
      <c r="H169" s="4">
        <f>IFERROR(__xludf.DUMMYFUNCTION("""COMPUTED_VALUE"""),4.47)</f>
        <v>4.47</v>
      </c>
      <c r="I169" s="4">
        <f>IFERROR(__xludf.DUMMYFUNCTION("""COMPUTED_VALUE"""),6.75)</f>
        <v>6.75</v>
      </c>
      <c r="J169" s="4">
        <f>IFERROR(__xludf.DUMMYFUNCTION("""COMPUTED_VALUE"""),5.56)</f>
        <v>5.56</v>
      </c>
      <c r="K169" s="8">
        <f>IFERROR(__xludf.DUMMYFUNCTION("""COMPUTED_VALUE"""),-0.0054)</f>
        <v>-0.0054</v>
      </c>
    </row>
    <row r="170" ht="15.75" customHeight="1">
      <c r="C170" s="4" t="str">
        <f>IFERROR(__xludf.DUMMYFUNCTION("""COMPUTED_VALUE"""),"Tonga [+]")</f>
        <v>Tonga [+]</v>
      </c>
      <c r="D170" s="4">
        <f>IFERROR(__xludf.DUMMYFUNCTION("""COMPUTED_VALUE"""),2014.0)</f>
        <v>2014</v>
      </c>
      <c r="E170" s="4">
        <f>IFERROR(__xludf.DUMMYFUNCTION("""COMPUTED_VALUE"""),2.0)</f>
        <v>2</v>
      </c>
      <c r="F170" s="4">
        <f>IFERROR(__xludf.DUMMYFUNCTION("""COMPUTED_VALUE"""),2.0)</f>
        <v>2</v>
      </c>
      <c r="G170" s="4">
        <f>IFERROR(__xludf.DUMMYFUNCTION("""COMPUTED_VALUE"""),4.0)</f>
        <v>4</v>
      </c>
      <c r="H170" s="4">
        <f>IFERROR(__xludf.DUMMYFUNCTION("""COMPUTED_VALUE"""),3.09)</f>
        <v>3.09</v>
      </c>
      <c r="I170" s="4">
        <f>IFERROR(__xludf.DUMMYFUNCTION("""COMPUTED_VALUE"""),4.3)</f>
        <v>4.3</v>
      </c>
      <c r="J170" s="4">
        <f>IFERROR(__xludf.DUMMYFUNCTION("""COMPUTED_VALUE"""),3.66)</f>
        <v>3.66</v>
      </c>
      <c r="K170" s="8">
        <f>IFERROR(__xludf.DUMMYFUNCTION("""COMPUTED_VALUE"""),0.0083)</f>
        <v>0.0083</v>
      </c>
    </row>
    <row r="171" ht="15.75" customHeight="1">
      <c r="C171" s="4" t="str">
        <f>IFERROR(__xludf.DUMMYFUNCTION("""COMPUTED_VALUE"""),"Türkiye [+]")</f>
        <v>Türkiye [+]</v>
      </c>
      <c r="D171" s="4">
        <f>IFERROR(__xludf.DUMMYFUNCTION("""COMPUTED_VALUE"""),2014.0)</f>
        <v>2014</v>
      </c>
      <c r="E171" s="4">
        <f>IFERROR(__xludf.DUMMYFUNCTION("""COMPUTED_VALUE"""),408.0)</f>
        <v>408</v>
      </c>
      <c r="F171" s="9">
        <f>IFERROR(__xludf.DUMMYFUNCTION("""COMPUTED_VALUE"""),1209.0)</f>
        <v>1209</v>
      </c>
      <c r="G171" s="9">
        <f>IFERROR(__xludf.DUMMYFUNCTION("""COMPUTED_VALUE"""),1617.0)</f>
        <v>1617</v>
      </c>
      <c r="H171" s="4">
        <f>IFERROR(__xludf.DUMMYFUNCTION("""COMPUTED_VALUE"""),1.05)</f>
        <v>1.05</v>
      </c>
      <c r="I171" s="4">
        <f>IFERROR(__xludf.DUMMYFUNCTION("""COMPUTED_VALUE"""),3.1)</f>
        <v>3.1</v>
      </c>
      <c r="J171" s="4">
        <f>IFERROR(__xludf.DUMMYFUNCTION("""COMPUTED_VALUE"""),2.08)</f>
        <v>2.08</v>
      </c>
      <c r="K171" s="8">
        <f>IFERROR(__xludf.DUMMYFUNCTION("""COMPUTED_VALUE"""),-0.1475)</f>
        <v>-0.1475</v>
      </c>
    </row>
    <row r="172" ht="15.75" customHeight="1">
      <c r="C172" s="4" t="str">
        <f>IFERROR(__xludf.DUMMYFUNCTION("""COMPUTED_VALUE"""),"Trinidad y Tobago [+]")</f>
        <v>Trinidad y Tobago [+]</v>
      </c>
      <c r="D172" s="4">
        <f>IFERROR(__xludf.DUMMYFUNCTION("""COMPUTED_VALUE"""),2014.0)</f>
        <v>2014</v>
      </c>
      <c r="E172" s="4">
        <f>IFERROR(__xludf.DUMMYFUNCTION("""COMPUTED_VALUE"""),33.0)</f>
        <v>33</v>
      </c>
      <c r="F172" s="4">
        <f>IFERROR(__xludf.DUMMYFUNCTION("""COMPUTED_VALUE"""),162.0)</f>
        <v>162</v>
      </c>
      <c r="G172" s="4">
        <f>IFERROR(__xludf.DUMMYFUNCTION("""COMPUTED_VALUE"""),196.0)</f>
        <v>196</v>
      </c>
      <c r="H172" s="4">
        <f>IFERROR(__xludf.DUMMYFUNCTION("""COMPUTED_VALUE"""),4.82)</f>
        <v>4.82</v>
      </c>
      <c r="I172" s="4">
        <f>IFERROR(__xludf.DUMMYFUNCTION("""COMPUTED_VALUE"""),24.1)</f>
        <v>24.1</v>
      </c>
      <c r="J172" s="4">
        <f>IFERROR(__xludf.DUMMYFUNCTION("""COMPUTED_VALUE"""),14.36)</f>
        <v>14.36</v>
      </c>
      <c r="K172" s="8">
        <f>IFERROR(__xludf.DUMMYFUNCTION("""COMPUTED_VALUE"""),0.0035)</f>
        <v>0.0035</v>
      </c>
    </row>
    <row r="173" ht="15.75" customHeight="1">
      <c r="C173" s="4" t="str">
        <f>IFERROR(__xludf.DUMMYFUNCTION("""COMPUTED_VALUE"""),"Tanzania [+]")</f>
        <v>Tanzania [+]</v>
      </c>
      <c r="D173" s="4">
        <f>IFERROR(__xludf.DUMMYFUNCTION("""COMPUTED_VALUE"""),2014.0)</f>
        <v>2014</v>
      </c>
      <c r="E173" s="4">
        <f>IFERROR(__xludf.DUMMYFUNCTION("""COMPUTED_VALUE"""),933.0)</f>
        <v>933</v>
      </c>
      <c r="F173" s="9">
        <f>IFERROR(__xludf.DUMMYFUNCTION("""COMPUTED_VALUE"""),2673.0)</f>
        <v>2673</v>
      </c>
      <c r="G173" s="9">
        <f>IFERROR(__xludf.DUMMYFUNCTION("""COMPUTED_VALUE"""),3606.0)</f>
        <v>3606</v>
      </c>
      <c r="H173" s="4">
        <f>IFERROR(__xludf.DUMMYFUNCTION("""COMPUTED_VALUE"""),3.73)</f>
        <v>3.73</v>
      </c>
      <c r="I173" s="4">
        <f>IFERROR(__xludf.DUMMYFUNCTION("""COMPUTED_VALUE"""),10.72)</f>
        <v>10.72</v>
      </c>
      <c r="J173" s="4">
        <f>IFERROR(__xludf.DUMMYFUNCTION("""COMPUTED_VALUE"""),7.22)</f>
        <v>7.22</v>
      </c>
      <c r="K173" s="8">
        <f>IFERROR(__xludf.DUMMYFUNCTION("""COMPUTED_VALUE"""),-0.0204)</f>
        <v>-0.0204</v>
      </c>
    </row>
    <row r="174" ht="15.75" customHeight="1">
      <c r="C174" s="4" t="str">
        <f>IFERROR(__xludf.DUMMYFUNCTION("""COMPUTED_VALUE"""),"Ucrania [+]")</f>
        <v>Ucrania [+]</v>
      </c>
      <c r="D174" s="4">
        <f>IFERROR(__xludf.DUMMYFUNCTION("""COMPUTED_VALUE"""),2014.0)</f>
        <v>2014</v>
      </c>
      <c r="E174" s="9">
        <f>IFERROR(__xludf.DUMMYFUNCTION("""COMPUTED_VALUE"""),1856.0)</f>
        <v>1856</v>
      </c>
      <c r="F174" s="9">
        <f>IFERROR(__xludf.DUMMYFUNCTION("""COMPUTED_VALUE"""),6972.0)</f>
        <v>6972</v>
      </c>
      <c r="G174" s="9">
        <f>IFERROR(__xludf.DUMMYFUNCTION("""COMPUTED_VALUE"""),8828.0)</f>
        <v>8828</v>
      </c>
      <c r="H174" s="4">
        <f>IFERROR(__xludf.DUMMYFUNCTION("""COMPUTED_VALUE"""),8.08)</f>
        <v>8.08</v>
      </c>
      <c r="I174" s="4">
        <f>IFERROR(__xludf.DUMMYFUNCTION("""COMPUTED_VALUE"""),35.24)</f>
        <v>35.24</v>
      </c>
      <c r="J174" s="4">
        <f>IFERROR(__xludf.DUMMYFUNCTION("""COMPUTED_VALUE"""),20.65)</f>
        <v>20.65</v>
      </c>
      <c r="K174" s="8">
        <f>IFERROR(__xludf.DUMMYFUNCTION("""COMPUTED_VALUE"""),-0.0355)</f>
        <v>-0.0355</v>
      </c>
    </row>
    <row r="175" ht="15.75" customHeight="1">
      <c r="C175" s="4" t="str">
        <f>IFERROR(__xludf.DUMMYFUNCTION("""COMPUTED_VALUE"""),"Uganda [+]")</f>
        <v>Uganda [+]</v>
      </c>
      <c r="D175" s="4">
        <f>IFERROR(__xludf.DUMMYFUNCTION("""COMPUTED_VALUE"""),2014.0)</f>
        <v>2014</v>
      </c>
      <c r="E175" s="4">
        <f>IFERROR(__xludf.DUMMYFUNCTION("""COMPUTED_VALUE"""),835.0)</f>
        <v>835</v>
      </c>
      <c r="F175" s="9">
        <f>IFERROR(__xludf.DUMMYFUNCTION("""COMPUTED_VALUE"""),1859.0)</f>
        <v>1859</v>
      </c>
      <c r="G175" s="9">
        <f>IFERROR(__xludf.DUMMYFUNCTION("""COMPUTED_VALUE"""),2694.0)</f>
        <v>2694</v>
      </c>
      <c r="H175" s="4">
        <f>IFERROR(__xludf.DUMMYFUNCTION("""COMPUTED_VALUE"""),4.44)</f>
        <v>4.44</v>
      </c>
      <c r="I175" s="4">
        <f>IFERROR(__xludf.DUMMYFUNCTION("""COMPUTED_VALUE"""),10.26)</f>
        <v>10.26</v>
      </c>
      <c r="J175" s="4">
        <f>IFERROR(__xludf.DUMMYFUNCTION("""COMPUTED_VALUE"""),7.81)</f>
        <v>7.81</v>
      </c>
      <c r="K175" s="8">
        <f>IFERROR(__xludf.DUMMYFUNCTION("""COMPUTED_VALUE"""),-0.0064)</f>
        <v>-0.0064</v>
      </c>
    </row>
    <row r="176" ht="15.75" customHeight="1">
      <c r="C176" s="4" t="str">
        <f>IFERROR(__xludf.DUMMYFUNCTION("""COMPUTED_VALUE"""),"Uruguay [+]")</f>
        <v>Uruguay [+]</v>
      </c>
      <c r="D176" s="4">
        <f>IFERROR(__xludf.DUMMYFUNCTION("""COMPUTED_VALUE"""),2014.0)</f>
        <v>2014</v>
      </c>
      <c r="E176" s="4">
        <f>IFERROR(__xludf.DUMMYFUNCTION("""COMPUTED_VALUE"""),137.0)</f>
        <v>137</v>
      </c>
      <c r="F176" s="4">
        <f>IFERROR(__xludf.DUMMYFUNCTION("""COMPUTED_VALUE"""),456.0)</f>
        <v>456</v>
      </c>
      <c r="G176" s="4">
        <f>IFERROR(__xludf.DUMMYFUNCTION("""COMPUTED_VALUE"""),593.0)</f>
        <v>593</v>
      </c>
      <c r="H176" s="4">
        <f>IFERROR(__xludf.DUMMYFUNCTION("""COMPUTED_VALUE"""),7.78)</f>
        <v>7.78</v>
      </c>
      <c r="I176" s="4">
        <f>IFERROR(__xludf.DUMMYFUNCTION("""COMPUTED_VALUE"""),27.79)</f>
        <v>27.79</v>
      </c>
      <c r="J176" s="4">
        <f>IFERROR(__xludf.DUMMYFUNCTION("""COMPUTED_VALUE"""),17.16)</f>
        <v>17.16</v>
      </c>
      <c r="K176" s="8">
        <f>IFERROR(__xludf.DUMMYFUNCTION("""COMPUTED_VALUE"""),0.0826)</f>
        <v>0.0826</v>
      </c>
    </row>
    <row r="177" ht="15.75" customHeight="1">
      <c r="C177" s="4" t="str">
        <f>IFERROR(__xludf.DUMMYFUNCTION("""COMPUTED_VALUE"""),"Uzbekistán [+]")</f>
        <v>Uzbekistán [+]</v>
      </c>
      <c r="D177" s="4">
        <f>IFERROR(__xludf.DUMMYFUNCTION("""COMPUTED_VALUE"""),2014.0)</f>
        <v>2014</v>
      </c>
      <c r="E177" s="4">
        <f>IFERROR(__xludf.DUMMYFUNCTION("""COMPUTED_VALUE"""),907.0)</f>
        <v>907</v>
      </c>
      <c r="F177" s="9">
        <f>IFERROR(__xludf.DUMMYFUNCTION("""COMPUTED_VALUE"""),2054.0)</f>
        <v>2054</v>
      </c>
      <c r="G177" s="9">
        <f>IFERROR(__xludf.DUMMYFUNCTION("""COMPUTED_VALUE"""),2962.0)</f>
        <v>2962</v>
      </c>
      <c r="H177" s="4">
        <f>IFERROR(__xludf.DUMMYFUNCTION("""COMPUTED_VALUE"""),5.88)</f>
        <v>5.88</v>
      </c>
      <c r="I177" s="4">
        <f>IFERROR(__xludf.DUMMYFUNCTION("""COMPUTED_VALUE"""),13.41)</f>
        <v>13.41</v>
      </c>
      <c r="J177" s="4">
        <f>IFERROR(__xludf.DUMMYFUNCTION("""COMPUTED_VALUE"""),9.71)</f>
        <v>9.71</v>
      </c>
      <c r="K177" s="8">
        <f>IFERROR(__xludf.DUMMYFUNCTION("""COMPUTED_VALUE"""),0.0706)</f>
        <v>0.0706</v>
      </c>
    </row>
    <row r="178" ht="15.75" customHeight="1">
      <c r="C178" s="4" t="str">
        <f>IFERROR(__xludf.DUMMYFUNCTION("""COMPUTED_VALUE"""),"San Vicente y las Granadinas [+]")</f>
        <v>San Vicente y las Granadinas [+]</v>
      </c>
      <c r="D178" s="4">
        <f>IFERROR(__xludf.DUMMYFUNCTION("""COMPUTED_VALUE"""),2014.0)</f>
        <v>2014</v>
      </c>
      <c r="E178" s="4">
        <f>IFERROR(__xludf.DUMMYFUNCTION("""COMPUTED_VALUE"""),0.0)</f>
        <v>0</v>
      </c>
      <c r="F178" s="4">
        <f>IFERROR(__xludf.DUMMYFUNCTION("""COMPUTED_VALUE"""),1.0)</f>
        <v>1</v>
      </c>
      <c r="G178" s="4">
        <f>IFERROR(__xludf.DUMMYFUNCTION("""COMPUTED_VALUE"""),1.0)</f>
        <v>1</v>
      </c>
      <c r="H178" s="4">
        <f>IFERROR(__xludf.DUMMYFUNCTION("""COMPUTED_VALUE"""),0.3)</f>
        <v>0.3</v>
      </c>
      <c r="I178" s="4">
        <f>IFERROR(__xludf.DUMMYFUNCTION("""COMPUTED_VALUE"""),2.04)</f>
        <v>2.04</v>
      </c>
      <c r="J178" s="4">
        <f>IFERROR(__xludf.DUMMYFUNCTION("""COMPUTED_VALUE"""),1.17)</f>
        <v>1.17</v>
      </c>
      <c r="K178" s="8">
        <f>IFERROR(__xludf.DUMMYFUNCTION("""COMPUTED_VALUE"""),-0.6497)</f>
        <v>-0.6497</v>
      </c>
    </row>
    <row r="179" ht="15.75" customHeight="1">
      <c r="C179" s="4" t="str">
        <f>IFERROR(__xludf.DUMMYFUNCTION("""COMPUTED_VALUE"""),"Venezuela [+]")</f>
        <v>Venezuela [+]</v>
      </c>
      <c r="D179" s="4">
        <f>IFERROR(__xludf.DUMMYFUNCTION("""COMPUTED_VALUE"""),2014.0)</f>
        <v>2014</v>
      </c>
      <c r="E179" s="4">
        <f>IFERROR(__xludf.DUMMYFUNCTION("""COMPUTED_VALUE"""),160.0)</f>
        <v>160</v>
      </c>
      <c r="F179" s="4">
        <f>IFERROR(__xludf.DUMMYFUNCTION("""COMPUTED_VALUE"""),760.0)</f>
        <v>760</v>
      </c>
      <c r="G179" s="4">
        <f>IFERROR(__xludf.DUMMYFUNCTION("""COMPUTED_VALUE"""),920.0)</f>
        <v>920</v>
      </c>
      <c r="H179" s="4">
        <f>IFERROR(__xludf.DUMMYFUNCTION("""COMPUTED_VALUE"""),1.06)</f>
        <v>1.06</v>
      </c>
      <c r="I179" s="4">
        <f>IFERROR(__xludf.DUMMYFUNCTION("""COMPUTED_VALUE"""),5.08)</f>
        <v>5.08</v>
      </c>
      <c r="J179" s="4">
        <f>IFERROR(__xludf.DUMMYFUNCTION("""COMPUTED_VALUE"""),3.06)</f>
        <v>3.06</v>
      </c>
      <c r="K179" s="8">
        <f>IFERROR(__xludf.DUMMYFUNCTION("""COMPUTED_VALUE"""),0.1418)</f>
        <v>0.1418</v>
      </c>
    </row>
    <row r="180" ht="15.75" customHeight="1">
      <c r="C180" s="4" t="str">
        <f>IFERROR(__xludf.DUMMYFUNCTION("""COMPUTED_VALUE"""),"Viet Nam [+]")</f>
        <v>Viet Nam [+]</v>
      </c>
      <c r="D180" s="4">
        <f>IFERROR(__xludf.DUMMYFUNCTION("""COMPUTED_VALUE"""),2014.0)</f>
        <v>2014</v>
      </c>
      <c r="E180" s="9">
        <f>IFERROR(__xludf.DUMMYFUNCTION("""COMPUTED_VALUE"""),1716.0)</f>
        <v>1716</v>
      </c>
      <c r="F180" s="9">
        <f>IFERROR(__xludf.DUMMYFUNCTION("""COMPUTED_VALUE"""),4980.0)</f>
        <v>4980</v>
      </c>
      <c r="G180" s="9">
        <f>IFERROR(__xludf.DUMMYFUNCTION("""COMPUTED_VALUE"""),6696.0)</f>
        <v>6696</v>
      </c>
      <c r="H180" s="4">
        <f>IFERROR(__xludf.DUMMYFUNCTION("""COMPUTED_VALUE"""),3.73)</f>
        <v>3.73</v>
      </c>
      <c r="I180" s="4">
        <f>IFERROR(__xludf.DUMMYFUNCTION("""COMPUTED_VALUE"""),10.9)</f>
        <v>10.9</v>
      </c>
      <c r="J180" s="4">
        <f>IFERROR(__xludf.DUMMYFUNCTION("""COMPUTED_VALUE"""),7.38)</f>
        <v>7.38</v>
      </c>
      <c r="K180" s="8">
        <f>IFERROR(__xludf.DUMMYFUNCTION("""COMPUTED_VALUE"""),0.0179)</f>
        <v>0.0179</v>
      </c>
    </row>
    <row r="181" ht="15.75" customHeight="1">
      <c r="C181" s="4" t="str">
        <f>IFERROR(__xludf.DUMMYFUNCTION("""COMPUTED_VALUE"""),"Vanuatu [+]")</f>
        <v>Vanuatu [+]</v>
      </c>
      <c r="D181" s="4">
        <f>IFERROR(__xludf.DUMMYFUNCTION("""COMPUTED_VALUE"""),2014.0)</f>
        <v>2014</v>
      </c>
      <c r="E181" s="4">
        <f>IFERROR(__xludf.DUMMYFUNCTION("""COMPUTED_VALUE"""),4.0)</f>
        <v>4</v>
      </c>
      <c r="F181" s="4">
        <f>IFERROR(__xludf.DUMMYFUNCTION("""COMPUTED_VALUE"""),12.0)</f>
        <v>12</v>
      </c>
      <c r="G181" s="4">
        <f>IFERROR(__xludf.DUMMYFUNCTION("""COMPUTED_VALUE"""),15.0)</f>
        <v>15</v>
      </c>
      <c r="H181" s="4">
        <f>IFERROR(__xludf.DUMMYFUNCTION("""COMPUTED_VALUE"""),2.77)</f>
        <v>2.77</v>
      </c>
      <c r="I181" s="4">
        <f>IFERROR(__xludf.DUMMYFUNCTION("""COMPUTED_VALUE"""),8.66)</f>
        <v>8.66</v>
      </c>
      <c r="J181" s="4">
        <f>IFERROR(__xludf.DUMMYFUNCTION("""COMPUTED_VALUE"""),5.78)</f>
        <v>5.78</v>
      </c>
      <c r="K181" s="8">
        <f>IFERROR(__xludf.DUMMYFUNCTION("""COMPUTED_VALUE"""),-0.0269)</f>
        <v>-0.0269</v>
      </c>
    </row>
    <row r="182" ht="15.75" customHeight="1">
      <c r="C182" s="4" t="str">
        <f>IFERROR(__xludf.DUMMYFUNCTION("""COMPUTED_VALUE"""),"Samoa [+]")</f>
        <v>Samoa [+]</v>
      </c>
      <c r="D182" s="4">
        <f>IFERROR(__xludf.DUMMYFUNCTION("""COMPUTED_VALUE"""),2014.0)</f>
        <v>2014</v>
      </c>
      <c r="E182" s="4">
        <f>IFERROR(__xludf.DUMMYFUNCTION("""COMPUTED_VALUE"""),2.0)</f>
        <v>2</v>
      </c>
      <c r="F182" s="4">
        <f>IFERROR(__xludf.DUMMYFUNCTION("""COMPUTED_VALUE"""),9.0)</f>
        <v>9</v>
      </c>
      <c r="G182" s="4">
        <f>IFERROR(__xludf.DUMMYFUNCTION("""COMPUTED_VALUE"""),11.0)</f>
        <v>11</v>
      </c>
      <c r="H182" s="4">
        <f>IFERROR(__xludf.DUMMYFUNCTION("""COMPUTED_VALUE"""),2.42)</f>
        <v>2.42</v>
      </c>
      <c r="I182" s="4">
        <f>IFERROR(__xludf.DUMMYFUNCTION("""COMPUTED_VALUE"""),8.99)</f>
        <v>8.99</v>
      </c>
      <c r="J182" s="4">
        <f>IFERROR(__xludf.DUMMYFUNCTION("""COMPUTED_VALUE"""),5.82)</f>
        <v>5.82</v>
      </c>
      <c r="K182" s="8">
        <f>IFERROR(__xludf.DUMMYFUNCTION("""COMPUTED_VALUE"""),-0.0152)</f>
        <v>-0.0152</v>
      </c>
    </row>
    <row r="183" ht="15.75" customHeight="1">
      <c r="C183" s="4" t="str">
        <f>IFERROR(__xludf.DUMMYFUNCTION("""COMPUTED_VALUE"""),"Yemen [+]")</f>
        <v>Yemen [+]</v>
      </c>
      <c r="D183" s="4">
        <f>IFERROR(__xludf.DUMMYFUNCTION("""COMPUTED_VALUE"""),2014.0)</f>
        <v>2014</v>
      </c>
      <c r="E183" s="4">
        <f>IFERROR(__xludf.DUMMYFUNCTION("""COMPUTED_VALUE"""),752.0)</f>
        <v>752</v>
      </c>
      <c r="F183" s="9">
        <f>IFERROR(__xludf.DUMMYFUNCTION("""COMPUTED_VALUE"""),1404.0)</f>
        <v>1404</v>
      </c>
      <c r="G183" s="9">
        <f>IFERROR(__xludf.DUMMYFUNCTION("""COMPUTED_VALUE"""),2156.0)</f>
        <v>2156</v>
      </c>
      <c r="H183" s="4">
        <f>IFERROR(__xludf.DUMMYFUNCTION("""COMPUTED_VALUE"""),5.87)</f>
        <v>5.87</v>
      </c>
      <c r="I183" s="4">
        <f>IFERROR(__xludf.DUMMYFUNCTION("""COMPUTED_VALUE"""),10.79)</f>
        <v>10.79</v>
      </c>
      <c r="J183" s="4">
        <f>IFERROR(__xludf.DUMMYFUNCTION("""COMPUTED_VALUE"""),8.22)</f>
        <v>8.22</v>
      </c>
      <c r="K183" s="8">
        <f>IFERROR(__xludf.DUMMYFUNCTION("""COMPUTED_VALUE"""),-0.0144)</f>
        <v>-0.0144</v>
      </c>
    </row>
    <row r="184" ht="15.75" customHeight="1">
      <c r="C184" s="4" t="str">
        <f>IFERROR(__xludf.DUMMYFUNCTION("""COMPUTED_VALUE"""),"Sudáfrica [+]")</f>
        <v>Sudáfrica [+]</v>
      </c>
      <c r="D184" s="4">
        <f>IFERROR(__xludf.DUMMYFUNCTION("""COMPUTED_VALUE"""),2014.0)</f>
        <v>2014</v>
      </c>
      <c r="E184" s="4">
        <f>IFERROR(__xludf.DUMMYFUNCTION("""COMPUTED_VALUE"""),121.0)</f>
        <v>121</v>
      </c>
      <c r="F184" s="4">
        <f>IFERROR(__xludf.DUMMYFUNCTION("""COMPUTED_VALUE"""),461.0)</f>
        <v>461</v>
      </c>
      <c r="G184" s="4">
        <f>IFERROR(__xludf.DUMMYFUNCTION("""COMPUTED_VALUE"""),582.0)</f>
        <v>582</v>
      </c>
      <c r="H184" s="4">
        <f>IFERROR(__xludf.DUMMYFUNCTION("""COMPUTED_VALUE"""),0.4)</f>
        <v>0.4</v>
      </c>
      <c r="I184" s="4">
        <f>IFERROR(__xludf.DUMMYFUNCTION("""COMPUTED_VALUE"""),1.7)</f>
        <v>1.7</v>
      </c>
      <c r="J184" s="4">
        <f>IFERROR(__xludf.DUMMYFUNCTION("""COMPUTED_VALUE"""),1.1)</f>
        <v>1.1</v>
      </c>
      <c r="K184" s="4">
        <f>IFERROR(__xludf.DUMMYFUNCTION("""COMPUTED_VALUE"""),0.0)</f>
        <v>0</v>
      </c>
    </row>
    <row r="185" ht="15.75" customHeight="1">
      <c r="C185" s="4" t="str">
        <f>IFERROR(__xludf.DUMMYFUNCTION("""COMPUTED_VALUE"""),"Zambia [+]")</f>
        <v>Zambia [+]</v>
      </c>
      <c r="D185" s="4">
        <f>IFERROR(__xludf.DUMMYFUNCTION("""COMPUTED_VALUE"""),2014.0)</f>
        <v>2014</v>
      </c>
      <c r="E185" s="4">
        <f>IFERROR(__xludf.DUMMYFUNCTION("""COMPUTED_VALUE"""),236.0)</f>
        <v>236</v>
      </c>
      <c r="F185" s="4">
        <f>IFERROR(__xludf.DUMMYFUNCTION("""COMPUTED_VALUE"""),785.0)</f>
        <v>785</v>
      </c>
      <c r="G185" s="9">
        <f>IFERROR(__xludf.DUMMYFUNCTION("""COMPUTED_VALUE"""),1021.0)</f>
        <v>1021</v>
      </c>
      <c r="H185" s="4">
        <f>IFERROR(__xludf.DUMMYFUNCTION("""COMPUTED_VALUE"""),3.03)</f>
        <v>3.03</v>
      </c>
      <c r="I185" s="4">
        <f>IFERROR(__xludf.DUMMYFUNCTION("""COMPUTED_VALUE"""),10.31)</f>
        <v>10.31</v>
      </c>
      <c r="J185" s="4">
        <f>IFERROR(__xludf.DUMMYFUNCTION("""COMPUTED_VALUE"""),6.5)</f>
        <v>6.5</v>
      </c>
      <c r="K185" s="8">
        <f>IFERROR(__xludf.DUMMYFUNCTION("""COMPUTED_VALUE"""),0.0046)</f>
        <v>0.0046</v>
      </c>
    </row>
    <row r="186" ht="15.75" customHeight="1">
      <c r="C186" s="4" t="str">
        <f>IFERROR(__xludf.DUMMYFUNCTION("""COMPUTED_VALUE"""),"Zimbabue [+]")</f>
        <v>Zimbabue [+]</v>
      </c>
      <c r="D186" s="4">
        <f>IFERROR(__xludf.DUMMYFUNCTION("""COMPUTED_VALUE"""),2014.0)</f>
        <v>2014</v>
      </c>
      <c r="E186" s="4">
        <f>IFERROR(__xludf.DUMMYFUNCTION("""COMPUTED_VALUE"""),435.0)</f>
        <v>435</v>
      </c>
      <c r="F186" s="9">
        <f>IFERROR(__xludf.DUMMYFUNCTION("""COMPUTED_VALUE"""),1200.0)</f>
        <v>1200</v>
      </c>
      <c r="G186" s="9">
        <f>IFERROR(__xludf.DUMMYFUNCTION("""COMPUTED_VALUE"""),1635.0)</f>
        <v>1635</v>
      </c>
      <c r="H186" s="4">
        <f>IFERROR(__xludf.DUMMYFUNCTION("""COMPUTED_VALUE"""),6.1)</f>
        <v>6.1</v>
      </c>
      <c r="I186" s="4">
        <f>IFERROR(__xludf.DUMMYFUNCTION("""COMPUTED_VALUE"""),18.57)</f>
        <v>18.57</v>
      </c>
      <c r="J186" s="4">
        <f>IFERROR(__xludf.DUMMYFUNCTION("""COMPUTED_VALUE"""),11.86)</f>
        <v>11.86</v>
      </c>
      <c r="K186" s="8">
        <f>IFERROR(__xludf.DUMMYFUNCTION("""COMPUTED_VALUE"""),-0.0279)</f>
        <v>-0.0279</v>
      </c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4</v>
      </c>
      <c r="B1" s="2" t="str">
        <f>SUBSTITUTE(C1,"[+]","")</f>
        <v/>
      </c>
    </row>
    <row r="2" ht="15.75" customHeight="1">
      <c r="B2" s="3"/>
      <c r="C2" s="2" t="str">
        <f>IFERROR(__xludf.DUMMYFUNCTION("IMPORTXML(A1, ""//table[1]/thead/tr"")"),"Países")</f>
        <v>Países</v>
      </c>
      <c r="D2" s="2" t="str">
        <f>IFERROR(__xludf.DUMMYFUNCTION("""COMPUTED_VALUE"""),"Fecha")</f>
        <v>Fecha</v>
      </c>
      <c r="E2" s="2" t="str">
        <f>IFERROR(__xludf.DUMMYFUNCTION("""COMPUTED_VALUE"""),"Suicidios mujeres")</f>
        <v>Suicidios mujeres</v>
      </c>
      <c r="F2" s="2" t="str">
        <f>IFERROR(__xludf.DUMMYFUNCTION("""COMPUTED_VALUE"""),"Suicidios hombres")</f>
        <v>Suicidios hombres</v>
      </c>
      <c r="G2" s="2" t="str">
        <f>IFERROR(__xludf.DUMMYFUNCTION("""COMPUTED_VALUE"""),"Suicidios ")</f>
        <v>Suicidios </v>
      </c>
      <c r="H2" s="2" t="str">
        <f>IFERROR(__xludf.DUMMYFUNCTION("""COMPUTED_VALUE"""),"Suicidios tasa femenina")</f>
        <v>Suicidios tasa femenina</v>
      </c>
      <c r="I2" s="2" t="str">
        <f>IFERROR(__xludf.DUMMYFUNCTION("""COMPUTED_VALUE"""),"Suicidios tasa masculina")</f>
        <v>Suicidios tasa masculina</v>
      </c>
      <c r="J2" s="4" t="str">
        <f>IFERROR(__xludf.DUMMYFUNCTION("""COMPUTED_VALUE"""),"Suicidios por 100.000")</f>
        <v>Suicidios por 100.000</v>
      </c>
      <c r="K2" s="4" t="str">
        <f>IFERROR(__xludf.DUMMYFUNCTION("""COMPUTED_VALUE"""),"Var.")</f>
        <v>Var.</v>
      </c>
    </row>
    <row r="3" ht="15.75" customHeight="1">
      <c r="C3" s="2" t="str">
        <f>IFERROR(__xludf.DUMMYFUNCTION("IMPORTXML(A1, ""//table[1]/tbody/tr"")"),"España [+]")</f>
        <v>España [+]</v>
      </c>
      <c r="D3" s="5">
        <f>IFERROR(__xludf.DUMMYFUNCTION("""COMPUTED_VALUE"""),2012.0)</f>
        <v>2012</v>
      </c>
      <c r="E3" s="2">
        <f>IFERROR(__xludf.DUMMYFUNCTION("""COMPUTED_VALUE"""),815.0)</f>
        <v>815</v>
      </c>
      <c r="F3" s="6">
        <f>IFERROR(__xludf.DUMMYFUNCTION("""COMPUTED_VALUE"""),2724.0)</f>
        <v>2724</v>
      </c>
      <c r="G3" s="6">
        <f>IFERROR(__xludf.DUMMYFUNCTION("""COMPUTED_VALUE"""),3539.0)</f>
        <v>3539</v>
      </c>
      <c r="H3" s="7">
        <f>IFERROR(__xludf.DUMMYFUNCTION("""COMPUTED_VALUE"""),3.44)</f>
        <v>3.44</v>
      </c>
      <c r="I3" s="2">
        <f>IFERROR(__xludf.DUMMYFUNCTION("""COMPUTED_VALUE"""),11.82)</f>
        <v>11.82</v>
      </c>
      <c r="J3" s="4">
        <f>IFERROR(__xludf.DUMMYFUNCTION("""COMPUTED_VALUE"""),7.57)</f>
        <v>7.57</v>
      </c>
      <c r="K3" s="8">
        <f>IFERROR(__xludf.DUMMYFUNCTION("""COMPUTED_VALUE"""),0.0976)</f>
        <v>0.0976</v>
      </c>
    </row>
    <row r="4" ht="15.75" customHeight="1">
      <c r="C4" s="2" t="str">
        <f>IFERROR(__xludf.DUMMYFUNCTION("""COMPUTED_VALUE"""),"Alemania [+]")</f>
        <v>Alemania [+]</v>
      </c>
      <c r="D4" s="5">
        <f>IFERROR(__xludf.DUMMYFUNCTION("""COMPUTED_VALUE"""),2012.0)</f>
        <v>2012</v>
      </c>
      <c r="E4" s="6">
        <f>IFERROR(__xludf.DUMMYFUNCTION("""COMPUTED_VALUE"""),2616.0)</f>
        <v>2616</v>
      </c>
      <c r="F4" s="6">
        <f>IFERROR(__xludf.DUMMYFUNCTION("""COMPUTED_VALUE"""),7336.0)</f>
        <v>7336</v>
      </c>
      <c r="G4" s="6">
        <f>IFERROR(__xludf.DUMMYFUNCTION("""COMPUTED_VALUE"""),9952.0)</f>
        <v>9952</v>
      </c>
      <c r="H4" s="7">
        <f>IFERROR(__xludf.DUMMYFUNCTION("""COMPUTED_VALUE"""),6.37)</f>
        <v>6.37</v>
      </c>
      <c r="I4" s="2">
        <f>IFERROR(__xludf.DUMMYFUNCTION("""COMPUTED_VALUE"""),18.69)</f>
        <v>18.69</v>
      </c>
      <c r="J4" s="4">
        <f>IFERROR(__xludf.DUMMYFUNCTION("""COMPUTED_VALUE"""),12.39)</f>
        <v>12.39</v>
      </c>
      <c r="K4" s="8">
        <f>IFERROR(__xludf.DUMMYFUNCTION("""COMPUTED_VALUE"""),-0.0259)</f>
        <v>-0.0259</v>
      </c>
    </row>
    <row r="5" ht="15.75" customHeight="1">
      <c r="C5" s="2" t="str">
        <f>IFERROR(__xludf.DUMMYFUNCTION("""COMPUTED_VALUE"""),"Reino Unido [+]")</f>
        <v>Reino Unido [+]</v>
      </c>
      <c r="D5" s="5">
        <f>IFERROR(__xludf.DUMMYFUNCTION("""COMPUTED_VALUE"""),2012.0)</f>
        <v>2012</v>
      </c>
      <c r="E5" s="2">
        <f>IFERROR(__xludf.DUMMYFUNCTION("""COMPUTED_VALUE"""),922.0)</f>
        <v>922</v>
      </c>
      <c r="F5" s="6">
        <f>IFERROR(__xludf.DUMMYFUNCTION("""COMPUTED_VALUE"""),3570.0)</f>
        <v>3570</v>
      </c>
      <c r="G5" s="6">
        <f>IFERROR(__xludf.DUMMYFUNCTION("""COMPUTED_VALUE"""),4492.0)</f>
        <v>4492</v>
      </c>
      <c r="H5" s="7">
        <f>IFERROR(__xludf.DUMMYFUNCTION("""COMPUTED_VALUE"""),2.87)</f>
        <v>2.87</v>
      </c>
      <c r="I5" s="2">
        <f>IFERROR(__xludf.DUMMYFUNCTION("""COMPUTED_VALUE"""),11.42)</f>
        <v>11.42</v>
      </c>
      <c r="J5" s="4">
        <f>IFERROR(__xludf.DUMMYFUNCTION("""COMPUTED_VALUE"""),7.07)</f>
        <v>7.07</v>
      </c>
      <c r="K5" s="8">
        <f>IFERROR(__xludf.DUMMYFUNCTION("""COMPUTED_VALUE"""),0.0728)</f>
        <v>0.0728</v>
      </c>
    </row>
    <row r="6" ht="15.75" customHeight="1">
      <c r="C6" s="2" t="str">
        <f>IFERROR(__xludf.DUMMYFUNCTION("""COMPUTED_VALUE"""),"Francia [+]")</f>
        <v>Francia [+]</v>
      </c>
      <c r="D6" s="5">
        <f>IFERROR(__xludf.DUMMYFUNCTION("""COMPUTED_VALUE"""),2012.0)</f>
        <v>2012</v>
      </c>
      <c r="E6" s="6">
        <f>IFERROR(__xludf.DUMMYFUNCTION("""COMPUTED_VALUE"""),2456.0)</f>
        <v>2456</v>
      </c>
      <c r="F6" s="6">
        <f>IFERROR(__xludf.DUMMYFUNCTION("""COMPUTED_VALUE"""),7494.0)</f>
        <v>7494</v>
      </c>
      <c r="G6" s="6">
        <f>IFERROR(__xludf.DUMMYFUNCTION("""COMPUTED_VALUE"""),9950.0)</f>
        <v>9950</v>
      </c>
      <c r="H6" s="7">
        <f>IFERROR(__xludf.DUMMYFUNCTION("""COMPUTED_VALUE"""),7.28)</f>
        <v>7.28</v>
      </c>
      <c r="I6" s="2">
        <f>IFERROR(__xludf.DUMMYFUNCTION("""COMPUTED_VALUE"""),23.55)</f>
        <v>23.55</v>
      </c>
      <c r="J6" s="4">
        <f>IFERROR(__xludf.DUMMYFUNCTION("""COMPUTED_VALUE"""),15.16)</f>
        <v>15.16</v>
      </c>
      <c r="K6" s="8">
        <f>IFERROR(__xludf.DUMMYFUNCTION("""COMPUTED_VALUE"""),-0.0648)</f>
        <v>-0.0648</v>
      </c>
    </row>
    <row r="7" ht="15.75" customHeight="1">
      <c r="C7" s="2" t="str">
        <f>IFERROR(__xludf.DUMMYFUNCTION("""COMPUTED_VALUE"""),"Italia [+]")</f>
        <v>Italia [+]</v>
      </c>
      <c r="D7" s="5">
        <f>IFERROR(__xludf.DUMMYFUNCTION("""COMPUTED_VALUE"""),2012.0)</f>
        <v>2012</v>
      </c>
      <c r="E7" s="2">
        <f>IFERROR(__xludf.DUMMYFUNCTION("""COMPUTED_VALUE"""),933.0)</f>
        <v>933</v>
      </c>
      <c r="F7" s="6">
        <f>IFERROR(__xludf.DUMMYFUNCTION("""COMPUTED_VALUE"""),3325.0)</f>
        <v>3325</v>
      </c>
      <c r="G7" s="6">
        <f>IFERROR(__xludf.DUMMYFUNCTION("""COMPUTED_VALUE"""),4258.0)</f>
        <v>4258</v>
      </c>
      <c r="H7" s="7">
        <f>IFERROR(__xludf.DUMMYFUNCTION("""COMPUTED_VALUE"""),2.98)</f>
        <v>2.98</v>
      </c>
      <c r="I7" s="2">
        <f>IFERROR(__xludf.DUMMYFUNCTION("""COMPUTED_VALUE"""),11.25)</f>
        <v>11.25</v>
      </c>
      <c r="J7" s="4">
        <f>IFERROR(__xludf.DUMMYFUNCTION("""COMPUTED_VALUE"""),6.98)</f>
        <v>6.98</v>
      </c>
      <c r="K7" s="8">
        <f>IFERROR(__xludf.DUMMYFUNCTION("""COMPUTED_VALUE"""),0.025)</f>
        <v>0.025</v>
      </c>
    </row>
    <row r="8" ht="15.75" customHeight="1">
      <c r="C8" s="2" t="str">
        <f>IFERROR(__xludf.DUMMYFUNCTION("""COMPUTED_VALUE"""),"Portugal [+]")</f>
        <v>Portugal [+]</v>
      </c>
      <c r="D8" s="5">
        <f>IFERROR(__xludf.DUMMYFUNCTION("""COMPUTED_VALUE"""),2012.0)</f>
        <v>2012</v>
      </c>
      <c r="E8" s="2">
        <f>IFERROR(__xludf.DUMMYFUNCTION("""COMPUTED_VALUE"""),217.0)</f>
        <v>217</v>
      </c>
      <c r="F8" s="6">
        <f>IFERROR(__xludf.DUMMYFUNCTION("""COMPUTED_VALUE"""),859.0)</f>
        <v>859</v>
      </c>
      <c r="G8" s="6">
        <f>IFERROR(__xludf.DUMMYFUNCTION("""COMPUTED_VALUE"""),1076.0)</f>
        <v>1076</v>
      </c>
      <c r="H8" s="7">
        <f>IFERROR(__xludf.DUMMYFUNCTION("""COMPUTED_VALUE"""),3.91)</f>
        <v>3.91</v>
      </c>
      <c r="I8" s="2">
        <f>IFERROR(__xludf.DUMMYFUNCTION("""COMPUTED_VALUE"""),16.98)</f>
        <v>16.98</v>
      </c>
      <c r="J8" s="4">
        <f>IFERROR(__xludf.DUMMYFUNCTION("""COMPUTED_VALUE"""),10.14)</f>
        <v>10.14</v>
      </c>
      <c r="K8" s="8">
        <f>IFERROR(__xludf.DUMMYFUNCTION("""COMPUTED_VALUE"""),0.0563)</f>
        <v>0.0563</v>
      </c>
    </row>
    <row r="9" ht="15.75" customHeight="1">
      <c r="C9" s="2" t="str">
        <f>IFERROR(__xludf.DUMMYFUNCTION("""COMPUTED_VALUE"""),"Estados Unidos [+]")</f>
        <v>Estados Unidos [+]</v>
      </c>
      <c r="D9" s="2">
        <f>IFERROR(__xludf.DUMMYFUNCTION("""COMPUTED_VALUE"""),2012.0)</f>
        <v>2012</v>
      </c>
      <c r="E9" s="6">
        <f>IFERROR(__xludf.DUMMYFUNCTION("""COMPUTED_VALUE"""),8804.0)</f>
        <v>8804</v>
      </c>
      <c r="F9" s="6">
        <f>IFERROR(__xludf.DUMMYFUNCTION("""COMPUTED_VALUE"""),31727.0)</f>
        <v>31727</v>
      </c>
      <c r="G9" s="6">
        <f>IFERROR(__xludf.DUMMYFUNCTION("""COMPUTED_VALUE"""),40531.0)</f>
        <v>40531</v>
      </c>
      <c r="H9" s="7">
        <f>IFERROR(__xludf.DUMMYFUNCTION("""COMPUTED_VALUE"""),5.5)</f>
        <v>5.5</v>
      </c>
      <c r="I9" s="2">
        <f>IFERROR(__xludf.DUMMYFUNCTION("""COMPUTED_VALUE"""),20.5)</f>
        <v>20.5</v>
      </c>
      <c r="J9" s="4">
        <f>IFERROR(__xludf.DUMMYFUNCTION("""COMPUTED_VALUE"""),12.9)</f>
        <v>12.9</v>
      </c>
      <c r="K9" s="8">
        <f>IFERROR(__xludf.DUMMYFUNCTION("""COMPUTED_VALUE"""),0.0157)</f>
        <v>0.0157</v>
      </c>
    </row>
    <row r="10" ht="15.75" customHeight="1">
      <c r="C10" s="2" t="str">
        <f>IFERROR(__xludf.DUMMYFUNCTION("""COMPUTED_VALUE"""),"Japón [+]")</f>
        <v>Japón [+]</v>
      </c>
      <c r="D10" s="2">
        <f>IFERROR(__xludf.DUMMYFUNCTION("""COMPUTED_VALUE"""),2012.0)</f>
        <v>2012</v>
      </c>
      <c r="E10" s="6">
        <f>IFERROR(__xludf.DUMMYFUNCTION("""COMPUTED_VALUE"""),7948.0)</f>
        <v>7948</v>
      </c>
      <c r="F10" s="6">
        <f>IFERROR(__xludf.DUMMYFUNCTION("""COMPUTED_VALUE"""),18485.0)</f>
        <v>18485</v>
      </c>
      <c r="G10" s="6">
        <f>IFERROR(__xludf.DUMMYFUNCTION("""COMPUTED_VALUE"""),26433.0)</f>
        <v>26433</v>
      </c>
      <c r="H10" s="7">
        <f>IFERROR(__xludf.DUMMYFUNCTION("""COMPUTED_VALUE"""),12.1)</f>
        <v>12.1</v>
      </c>
      <c r="I10" s="2">
        <f>IFERROR(__xludf.DUMMYFUNCTION("""COMPUTED_VALUE"""),29.8)</f>
        <v>29.8</v>
      </c>
      <c r="J10" s="4">
        <f>IFERROR(__xludf.DUMMYFUNCTION("""COMPUTED_VALUE"""),20.7)</f>
        <v>20.7</v>
      </c>
      <c r="K10" s="8">
        <f>IFERROR(__xludf.DUMMYFUNCTION("""COMPUTED_VALUE"""),-0.0841)</f>
        <v>-0.0841</v>
      </c>
    </row>
    <row r="11" ht="15.75" customHeight="1">
      <c r="C11" s="2" t="str">
        <f>IFERROR(__xludf.DUMMYFUNCTION("""COMPUTED_VALUE"""),"China [+]")</f>
        <v>China [+]</v>
      </c>
      <c r="D11" s="2">
        <f>IFERROR(__xludf.DUMMYFUNCTION("""COMPUTED_VALUE"""),2012.0)</f>
        <v>2012</v>
      </c>
      <c r="E11" s="6">
        <f>IFERROR(__xludf.DUMMYFUNCTION("""COMPUTED_VALUE"""),74315.0)</f>
        <v>74315</v>
      </c>
      <c r="F11" s="6">
        <f>IFERROR(__xludf.DUMMYFUNCTION("""COMPUTED_VALUE"""),59074.0)</f>
        <v>59074</v>
      </c>
      <c r="G11" s="6">
        <f>IFERROR(__xludf.DUMMYFUNCTION("""COMPUTED_VALUE"""),133389.0)</f>
        <v>133389</v>
      </c>
      <c r="H11" s="7">
        <f>IFERROR(__xludf.DUMMYFUNCTION("""COMPUTED_VALUE"""),11.26)</f>
        <v>11.26</v>
      </c>
      <c r="I11" s="2">
        <f>IFERROR(__xludf.DUMMYFUNCTION("""COMPUTED_VALUE"""),8.51)</f>
        <v>8.51</v>
      </c>
      <c r="J11" s="4">
        <f>IFERROR(__xludf.DUMMYFUNCTION("""COMPUTED_VALUE"""),9.85)</f>
        <v>9.85</v>
      </c>
      <c r="K11" s="8">
        <f>IFERROR(__xludf.DUMMYFUNCTION("""COMPUTED_VALUE"""),0.0092)</f>
        <v>0.0092</v>
      </c>
    </row>
    <row r="12" ht="15.75" customHeight="1">
      <c r="C12" s="2" t="str">
        <f>IFERROR(__xludf.DUMMYFUNCTION("""COMPUTED_VALUE"""),"Emiratos Árabes Unidos [+]")</f>
        <v>Emiratos Árabes Unidos [+]</v>
      </c>
      <c r="D12" s="2">
        <f>IFERROR(__xludf.DUMMYFUNCTION("""COMPUTED_VALUE"""),2012.0)</f>
        <v>2012</v>
      </c>
      <c r="E12" s="2">
        <f>IFERROR(__xludf.DUMMYFUNCTION("""COMPUTED_VALUE"""),20.0)</f>
        <v>20</v>
      </c>
      <c r="F12" s="6">
        <f>IFERROR(__xludf.DUMMYFUNCTION("""COMPUTED_VALUE"""),260.0)</f>
        <v>260</v>
      </c>
      <c r="G12" s="2">
        <f>IFERROR(__xludf.DUMMYFUNCTION("""COMPUTED_VALUE"""),280.0)</f>
        <v>280</v>
      </c>
      <c r="H12" s="7">
        <f>IFERROR(__xludf.DUMMYFUNCTION("""COMPUTED_VALUE"""),0.81)</f>
        <v>0.81</v>
      </c>
      <c r="I12" s="2">
        <f>IFERROR(__xludf.DUMMYFUNCTION("""COMPUTED_VALUE"""),3.88)</f>
        <v>3.88</v>
      </c>
      <c r="J12" s="4">
        <f>IFERROR(__xludf.DUMMYFUNCTION("""COMPUTED_VALUE"""),3.28)</f>
        <v>3.28</v>
      </c>
      <c r="K12" s="8">
        <f>IFERROR(__xludf.DUMMYFUNCTION("""COMPUTED_VALUE"""),-0.0324)</f>
        <v>-0.0324</v>
      </c>
    </row>
    <row r="13" ht="15.75" customHeight="1">
      <c r="C13" s="2" t="str">
        <f>IFERROR(__xludf.DUMMYFUNCTION("""COMPUTED_VALUE"""),"Afganistán [+]")</f>
        <v>Afganistán [+]</v>
      </c>
      <c r="D13" s="2">
        <f>IFERROR(__xludf.DUMMYFUNCTION("""COMPUTED_VALUE"""),2012.0)</f>
        <v>2012</v>
      </c>
      <c r="E13" s="2">
        <f>IFERROR(__xludf.DUMMYFUNCTION("""COMPUTED_VALUE"""),334.0)</f>
        <v>334</v>
      </c>
      <c r="F13" s="6">
        <f>IFERROR(__xludf.DUMMYFUNCTION("""COMPUTED_VALUE"""),1184.0)</f>
        <v>1184</v>
      </c>
      <c r="G13" s="6">
        <f>IFERROR(__xludf.DUMMYFUNCTION("""COMPUTED_VALUE"""),1518.0)</f>
        <v>1518</v>
      </c>
      <c r="H13" s="7">
        <f>IFERROR(__xludf.DUMMYFUNCTION("""COMPUTED_VALUE"""),2.2)</f>
        <v>2.2</v>
      </c>
      <c r="I13" s="2">
        <f>IFERROR(__xludf.DUMMYFUNCTION("""COMPUTED_VALUE"""),7.42)</f>
        <v>7.42</v>
      </c>
      <c r="J13" s="4">
        <f>IFERROR(__xludf.DUMMYFUNCTION("""COMPUTED_VALUE"""),5.87)</f>
        <v>5.87</v>
      </c>
      <c r="K13" s="8">
        <f>IFERROR(__xludf.DUMMYFUNCTION("""COMPUTED_VALUE"""),-0.0101)</f>
        <v>-0.0101</v>
      </c>
    </row>
    <row r="14" ht="15.75" customHeight="1">
      <c r="C14" s="2" t="str">
        <f>IFERROR(__xludf.DUMMYFUNCTION("""COMPUTED_VALUE"""),"Antigua y Barbuda [+]")</f>
        <v>Antigua y Barbuda [+]</v>
      </c>
      <c r="D14" s="5">
        <f>IFERROR(__xludf.DUMMYFUNCTION("""COMPUTED_VALUE"""),2012.0)</f>
        <v>2012</v>
      </c>
      <c r="E14" s="2">
        <f>IFERROR(__xludf.DUMMYFUNCTION("""COMPUTED_VALUE"""),0.0)</f>
        <v>0</v>
      </c>
      <c r="F14" s="6">
        <f>IFERROR(__xludf.DUMMYFUNCTION("""COMPUTED_VALUE"""),0.0)</f>
        <v>0</v>
      </c>
      <c r="G14" s="2">
        <f>IFERROR(__xludf.DUMMYFUNCTION("""COMPUTED_VALUE"""),0.0)</f>
        <v>0</v>
      </c>
      <c r="H14" s="7">
        <f>IFERROR(__xludf.DUMMYFUNCTION("""COMPUTED_VALUE"""),0.0)</f>
        <v>0</v>
      </c>
      <c r="I14" s="2">
        <f>IFERROR(__xludf.DUMMYFUNCTION("""COMPUTED_VALUE"""),0.0)</f>
        <v>0</v>
      </c>
      <c r="J14" s="4">
        <f>IFERROR(__xludf.DUMMYFUNCTION("""COMPUTED_VALUE"""),0.0)</f>
        <v>0</v>
      </c>
      <c r="K14" s="8">
        <f>IFERROR(__xludf.DUMMYFUNCTION("""COMPUTED_VALUE"""),-1.0)</f>
        <v>-1</v>
      </c>
    </row>
    <row r="15" ht="15.75" customHeight="1">
      <c r="C15" s="2" t="str">
        <f>IFERROR(__xludf.DUMMYFUNCTION("""COMPUTED_VALUE"""),"Albania [+]")</f>
        <v>Albania [+]</v>
      </c>
      <c r="D15" s="2">
        <f>IFERROR(__xludf.DUMMYFUNCTION("""COMPUTED_VALUE"""),2010.0)</f>
        <v>2010</v>
      </c>
      <c r="E15" s="2">
        <f>IFERROR(__xludf.DUMMYFUNCTION("""COMPUTED_VALUE"""),35.0)</f>
        <v>35</v>
      </c>
      <c r="F15" s="2">
        <f>IFERROR(__xludf.DUMMYFUNCTION("""COMPUTED_VALUE"""),61.0)</f>
        <v>61</v>
      </c>
      <c r="G15" s="2">
        <f>IFERROR(__xludf.DUMMYFUNCTION("""COMPUTED_VALUE"""),96.0)</f>
        <v>96</v>
      </c>
      <c r="H15" s="7">
        <f>IFERROR(__xludf.DUMMYFUNCTION("""COMPUTED_VALUE"""),2.41)</f>
        <v>2.41</v>
      </c>
      <c r="I15" s="2">
        <f>IFERROR(__xludf.DUMMYFUNCTION("""COMPUTED_VALUE"""),4.19)</f>
        <v>4.19</v>
      </c>
      <c r="J15" s="4">
        <f>IFERROR(__xludf.DUMMYFUNCTION("""COMPUTED_VALUE"""),3.3)</f>
        <v>3.3</v>
      </c>
      <c r="K15" s="8">
        <f>IFERROR(__xludf.DUMMYFUNCTION("""COMPUTED_VALUE"""),-0.2979)</f>
        <v>-0.2979</v>
      </c>
    </row>
    <row r="16" ht="15.75" customHeight="1">
      <c r="C16" s="2" t="str">
        <f>IFERROR(__xludf.DUMMYFUNCTION("""COMPUTED_VALUE"""),"Armenia [+]")</f>
        <v>Armenia [+]</v>
      </c>
      <c r="D16" s="5">
        <f>IFERROR(__xludf.DUMMYFUNCTION("""COMPUTED_VALUE"""),2012.0)</f>
        <v>2012</v>
      </c>
      <c r="E16" s="2">
        <f>IFERROR(__xludf.DUMMYFUNCTION("""COMPUTED_VALUE"""),32.0)</f>
        <v>32</v>
      </c>
      <c r="F16" s="6">
        <f>IFERROR(__xludf.DUMMYFUNCTION("""COMPUTED_VALUE"""),127.0)</f>
        <v>127</v>
      </c>
      <c r="G16" s="2">
        <f>IFERROR(__xludf.DUMMYFUNCTION("""COMPUTED_VALUE"""),159.0)</f>
        <v>159</v>
      </c>
      <c r="H16" s="7">
        <f>IFERROR(__xludf.DUMMYFUNCTION("""COMPUTED_VALUE"""),2.09)</f>
        <v>2.09</v>
      </c>
      <c r="I16" s="2">
        <f>IFERROR(__xludf.DUMMYFUNCTION("""COMPUTED_VALUE"""),9.43)</f>
        <v>9.43</v>
      </c>
      <c r="J16" s="4">
        <f>IFERROR(__xludf.DUMMYFUNCTION("""COMPUTED_VALUE"""),5.27)</f>
        <v>5.27</v>
      </c>
      <c r="K16" s="8">
        <f>IFERROR(__xludf.DUMMYFUNCTION("""COMPUTED_VALUE"""),0.0604)</f>
        <v>0.0604</v>
      </c>
    </row>
    <row r="17" ht="15.75" customHeight="1">
      <c r="C17" s="2" t="str">
        <f>IFERROR(__xludf.DUMMYFUNCTION("""COMPUTED_VALUE"""),"Angola [+]")</f>
        <v>Angola [+]</v>
      </c>
      <c r="D17" s="2">
        <f>IFERROR(__xludf.DUMMYFUNCTION("""COMPUTED_VALUE"""),2012.0)</f>
        <v>2012</v>
      </c>
      <c r="E17" s="6">
        <f>IFERROR(__xludf.DUMMYFUNCTION("""COMPUTED_VALUE"""),1309.0)</f>
        <v>1309</v>
      </c>
      <c r="F17" s="6">
        <f>IFERROR(__xludf.DUMMYFUNCTION("""COMPUTED_VALUE"""),3341.0)</f>
        <v>3341</v>
      </c>
      <c r="G17" s="6">
        <f>IFERROR(__xludf.DUMMYFUNCTION("""COMPUTED_VALUE"""),4650.0)</f>
        <v>4650</v>
      </c>
      <c r="H17" s="7">
        <f>IFERROR(__xludf.DUMMYFUNCTION("""COMPUTED_VALUE"""),10.31)</f>
        <v>10.31</v>
      </c>
      <c r="I17" s="2">
        <f>IFERROR(__xludf.DUMMYFUNCTION("""COMPUTED_VALUE"""),26.91)</f>
        <v>26.91</v>
      </c>
      <c r="J17" s="4">
        <f>IFERROR(__xludf.DUMMYFUNCTION("""COMPUTED_VALUE"""),19.05)</f>
        <v>19.05</v>
      </c>
      <c r="K17" s="8">
        <f>IFERROR(__xludf.DUMMYFUNCTION("""COMPUTED_VALUE"""),-0.0042)</f>
        <v>-0.0042</v>
      </c>
    </row>
    <row r="18" ht="15.75" customHeight="1">
      <c r="C18" s="2" t="str">
        <f>IFERROR(__xludf.DUMMYFUNCTION("""COMPUTED_VALUE"""),"Argentina [+]")</f>
        <v>Argentina [+]</v>
      </c>
      <c r="D18" s="5">
        <f>IFERROR(__xludf.DUMMYFUNCTION("""COMPUTED_VALUE"""),2012.0)</f>
        <v>2012</v>
      </c>
      <c r="E18" s="2">
        <f>IFERROR(__xludf.DUMMYFUNCTION("""COMPUTED_VALUE"""),631.0)</f>
        <v>631</v>
      </c>
      <c r="F18" s="6">
        <f>IFERROR(__xludf.DUMMYFUNCTION("""COMPUTED_VALUE"""),2632.0)</f>
        <v>2632</v>
      </c>
      <c r="G18" s="6">
        <f>IFERROR(__xludf.DUMMYFUNCTION("""COMPUTED_VALUE"""),3263.0)</f>
        <v>3263</v>
      </c>
      <c r="H18" s="7">
        <f>IFERROR(__xludf.DUMMYFUNCTION("""COMPUTED_VALUE"""),3.0)</f>
        <v>3</v>
      </c>
      <c r="I18" s="2">
        <f>IFERROR(__xludf.DUMMYFUNCTION("""COMPUTED_VALUE"""),12.9)</f>
        <v>12.9</v>
      </c>
      <c r="J18" s="4">
        <f>IFERROR(__xludf.DUMMYFUNCTION("""COMPUTED_VALUE"""),7.8)</f>
        <v>7.8</v>
      </c>
      <c r="K18" s="8">
        <f>IFERROR(__xludf.DUMMYFUNCTION("""COMPUTED_VALUE"""),0.0986)</f>
        <v>0.0986</v>
      </c>
    </row>
    <row r="19" ht="15.75" customHeight="1">
      <c r="C19" s="2" t="str">
        <f>IFERROR(__xludf.DUMMYFUNCTION("""COMPUTED_VALUE"""),"Austria [+]")</f>
        <v>Austria [+]</v>
      </c>
      <c r="D19" s="2">
        <f>IFERROR(__xludf.DUMMYFUNCTION("""COMPUTED_VALUE"""),2012.0)</f>
        <v>2012</v>
      </c>
      <c r="E19" s="2">
        <f>IFERROR(__xludf.DUMMYFUNCTION("""COMPUTED_VALUE"""),293.0)</f>
        <v>293</v>
      </c>
      <c r="F19" s="6">
        <f>IFERROR(__xludf.DUMMYFUNCTION("""COMPUTED_VALUE"""),1013.0)</f>
        <v>1013</v>
      </c>
      <c r="G19" s="6">
        <f>IFERROR(__xludf.DUMMYFUNCTION("""COMPUTED_VALUE"""),1306.0)</f>
        <v>1306</v>
      </c>
      <c r="H19" s="7">
        <f>IFERROR(__xludf.DUMMYFUNCTION("""COMPUTED_VALUE"""),6.76)</f>
        <v>6.76</v>
      </c>
      <c r="I19" s="2">
        <f>IFERROR(__xludf.DUMMYFUNCTION("""COMPUTED_VALUE"""),24.18)</f>
        <v>24.18</v>
      </c>
      <c r="J19" s="4">
        <f>IFERROR(__xludf.DUMMYFUNCTION("""COMPUTED_VALUE"""),15.26)</f>
        <v>15.26</v>
      </c>
      <c r="K19" s="8">
        <f>IFERROR(__xludf.DUMMYFUNCTION("""COMPUTED_VALUE"""),-0.0117)</f>
        <v>-0.0117</v>
      </c>
    </row>
    <row r="20" ht="15.75" customHeight="1">
      <c r="C20" s="2" t="str">
        <f>IFERROR(__xludf.DUMMYFUNCTION("""COMPUTED_VALUE"""),"Australia [+]")</f>
        <v>Australia [+]</v>
      </c>
      <c r="D20" s="5">
        <f>IFERROR(__xludf.DUMMYFUNCTION("""COMPUTED_VALUE"""),2012.0)</f>
        <v>2012</v>
      </c>
      <c r="E20" s="2">
        <f>IFERROR(__xludf.DUMMYFUNCTION("""COMPUTED_VALUE"""),650.0)</f>
        <v>650</v>
      </c>
      <c r="F20" s="6">
        <f>IFERROR(__xludf.DUMMYFUNCTION("""COMPUTED_VALUE"""),1930.0)</f>
        <v>1930</v>
      </c>
      <c r="G20" s="6">
        <f>IFERROR(__xludf.DUMMYFUNCTION("""COMPUTED_VALUE"""),2580.0)</f>
        <v>2580</v>
      </c>
      <c r="H20" s="7">
        <f>IFERROR(__xludf.DUMMYFUNCTION("""COMPUTED_VALUE"""),5.7)</f>
        <v>5.7</v>
      </c>
      <c r="I20" s="2">
        <f>IFERROR(__xludf.DUMMYFUNCTION("""COMPUTED_VALUE"""),17.1)</f>
        <v>17.1</v>
      </c>
      <c r="J20" s="4">
        <f>IFERROR(__xludf.DUMMYFUNCTION("""COMPUTED_VALUE"""),11.3)</f>
        <v>11.3</v>
      </c>
      <c r="K20" s="8">
        <f>IFERROR(__xludf.DUMMYFUNCTION("""COMPUTED_VALUE"""),0.0561)</f>
        <v>0.0561</v>
      </c>
    </row>
    <row r="21" ht="15.75" customHeight="1">
      <c r="C21" s="2" t="str">
        <f>IFERROR(__xludf.DUMMYFUNCTION("""COMPUTED_VALUE"""),"Azerbaiyán [+]")</f>
        <v>Azerbaiyán [+]</v>
      </c>
      <c r="D21" s="2">
        <f>IFERROR(__xludf.DUMMYFUNCTION("""COMPUTED_VALUE"""),2012.0)</f>
        <v>2012</v>
      </c>
      <c r="E21" s="2">
        <f>IFERROR(__xludf.DUMMYFUNCTION("""COMPUTED_VALUE"""),58.0)</f>
        <v>58</v>
      </c>
      <c r="F21" s="2">
        <f>IFERROR(__xludf.DUMMYFUNCTION("""COMPUTED_VALUE"""),247.0)</f>
        <v>247</v>
      </c>
      <c r="G21" s="2">
        <f>IFERROR(__xludf.DUMMYFUNCTION("""COMPUTED_VALUE"""),306.0)</f>
        <v>306</v>
      </c>
      <c r="H21" s="7">
        <f>IFERROR(__xludf.DUMMYFUNCTION("""COMPUTED_VALUE"""),1.24)</f>
        <v>1.24</v>
      </c>
      <c r="I21" s="2">
        <f>IFERROR(__xludf.DUMMYFUNCTION("""COMPUTED_VALUE"""),5.32)</f>
        <v>5.32</v>
      </c>
      <c r="J21" s="4">
        <f>IFERROR(__xludf.DUMMYFUNCTION("""COMPUTED_VALUE"""),3.27)</f>
        <v>3.27</v>
      </c>
      <c r="K21" s="8">
        <f>IFERROR(__xludf.DUMMYFUNCTION("""COMPUTED_VALUE"""),-0.0657)</f>
        <v>-0.0657</v>
      </c>
    </row>
    <row r="22" ht="15.75" customHeight="1">
      <c r="C22" s="2" t="str">
        <f>IFERROR(__xludf.DUMMYFUNCTION("""COMPUTED_VALUE"""),"Bosnia y Herzegovina [+]")</f>
        <v>Bosnia y Herzegovina [+]</v>
      </c>
      <c r="D22" s="2">
        <f>IFERROR(__xludf.DUMMYFUNCTION("""COMPUTED_VALUE"""),2012.0)</f>
        <v>2012</v>
      </c>
      <c r="E22" s="2">
        <f>IFERROR(__xludf.DUMMYFUNCTION("""COMPUTED_VALUE"""),51.0)</f>
        <v>51</v>
      </c>
      <c r="F22" s="2">
        <f>IFERROR(__xludf.DUMMYFUNCTION("""COMPUTED_VALUE"""),176.0)</f>
        <v>176</v>
      </c>
      <c r="G22" s="2">
        <f>IFERROR(__xludf.DUMMYFUNCTION("""COMPUTED_VALUE"""),228.0)</f>
        <v>228</v>
      </c>
      <c r="H22" s="7">
        <f>IFERROR(__xludf.DUMMYFUNCTION("""COMPUTED_VALUE"""),2.62)</f>
        <v>2.62</v>
      </c>
      <c r="I22" s="2">
        <f>IFERROR(__xludf.DUMMYFUNCTION("""COMPUTED_VALUE"""),9.42)</f>
        <v>9.42</v>
      </c>
      <c r="J22" s="4">
        <f>IFERROR(__xludf.DUMMYFUNCTION("""COMPUTED_VALUE"""),5.94)</f>
        <v>5.94</v>
      </c>
      <c r="K22" s="8">
        <f>IFERROR(__xludf.DUMMYFUNCTION("""COMPUTED_VALUE"""),0.0348)</f>
        <v>0.0348</v>
      </c>
    </row>
    <row r="23" ht="15.75" customHeight="1">
      <c r="C23" s="2" t="str">
        <f>IFERROR(__xludf.DUMMYFUNCTION("""COMPUTED_VALUE"""),"Barbados [+]")</f>
        <v>Barbados [+]</v>
      </c>
      <c r="D23" s="2">
        <f>IFERROR(__xludf.DUMMYFUNCTION("""COMPUTED_VALUE"""),2012.0)</f>
        <v>2012</v>
      </c>
      <c r="E23" s="2">
        <f>IFERROR(__xludf.DUMMYFUNCTION("""COMPUTED_VALUE"""),1.0)</f>
        <v>1</v>
      </c>
      <c r="F23" s="2">
        <f>IFERROR(__xludf.DUMMYFUNCTION("""COMPUTED_VALUE"""),0.0)</f>
        <v>0</v>
      </c>
      <c r="G23" s="2">
        <f>IFERROR(__xludf.DUMMYFUNCTION("""COMPUTED_VALUE"""),1.0)</f>
        <v>1</v>
      </c>
      <c r="H23" s="7">
        <f>IFERROR(__xludf.DUMMYFUNCTION("""COMPUTED_VALUE"""),0.42)</f>
        <v>0.42</v>
      </c>
      <c r="I23" s="2">
        <f>IFERROR(__xludf.DUMMYFUNCTION("""COMPUTED_VALUE"""),0.31)</f>
        <v>0.31</v>
      </c>
      <c r="J23" s="4">
        <f>IFERROR(__xludf.DUMMYFUNCTION("""COMPUTED_VALUE"""),0.37)</f>
        <v>0.37</v>
      </c>
      <c r="K23" s="8">
        <f>IFERROR(__xludf.DUMMYFUNCTION("""COMPUTED_VALUE"""),-0.5256)</f>
        <v>-0.5256</v>
      </c>
    </row>
    <row r="24" ht="15.75" customHeight="1">
      <c r="C24" s="2" t="str">
        <f>IFERROR(__xludf.DUMMYFUNCTION("""COMPUTED_VALUE"""),"Bangladés [+]")</f>
        <v>Bangladés [+]</v>
      </c>
      <c r="D24" s="2">
        <f>IFERROR(__xludf.DUMMYFUNCTION("""COMPUTED_VALUE"""),2012.0)</f>
        <v>2012</v>
      </c>
      <c r="E24" s="6">
        <f>IFERROR(__xludf.DUMMYFUNCTION("""COMPUTED_VALUE"""),5927.0)</f>
        <v>5927</v>
      </c>
      <c r="F24" s="6">
        <f>IFERROR(__xludf.DUMMYFUNCTION("""COMPUTED_VALUE"""),3439.0)</f>
        <v>3439</v>
      </c>
      <c r="G24" s="6">
        <f>IFERROR(__xludf.DUMMYFUNCTION("""COMPUTED_VALUE"""),9366.0)</f>
        <v>9366</v>
      </c>
      <c r="H24" s="7">
        <f>IFERROR(__xludf.DUMMYFUNCTION("""COMPUTED_VALUE"""),7.97)</f>
        <v>7.97</v>
      </c>
      <c r="I24" s="2">
        <f>IFERROR(__xludf.DUMMYFUNCTION("""COMPUTED_VALUE"""),4.49)</f>
        <v>4.49</v>
      </c>
      <c r="J24" s="4">
        <f>IFERROR(__xludf.DUMMYFUNCTION("""COMPUTED_VALUE"""),6.2)</f>
        <v>6.2</v>
      </c>
      <c r="K24" s="8">
        <f>IFERROR(__xludf.DUMMYFUNCTION("""COMPUTED_VALUE"""),-0.0143)</f>
        <v>-0.0143</v>
      </c>
    </row>
    <row r="25" ht="15.75" customHeight="1">
      <c r="C25" s="2" t="str">
        <f>IFERROR(__xludf.DUMMYFUNCTION("""COMPUTED_VALUE"""),"Bélgica [+]")</f>
        <v>Bélgica [+]</v>
      </c>
      <c r="D25" s="2">
        <f>IFERROR(__xludf.DUMMYFUNCTION("""COMPUTED_VALUE"""),2012.0)</f>
        <v>2012</v>
      </c>
      <c r="E25" s="2">
        <f>IFERROR(__xludf.DUMMYFUNCTION("""COMPUTED_VALUE"""),548.0)</f>
        <v>548</v>
      </c>
      <c r="F25" s="6">
        <f>IFERROR(__xludf.DUMMYFUNCTION("""COMPUTED_VALUE"""),1514.0)</f>
        <v>1514</v>
      </c>
      <c r="G25" s="6">
        <f>IFERROR(__xludf.DUMMYFUNCTION("""COMPUTED_VALUE"""),2062.0)</f>
        <v>2062</v>
      </c>
      <c r="H25" s="7">
        <f>IFERROR(__xludf.DUMMYFUNCTION("""COMPUTED_VALUE"""),9.63)</f>
        <v>9.63</v>
      </c>
      <c r="I25" s="2">
        <f>IFERROR(__xludf.DUMMYFUNCTION("""COMPUTED_VALUE"""),27.62)</f>
        <v>27.62</v>
      </c>
      <c r="J25" s="4">
        <f>IFERROR(__xludf.DUMMYFUNCTION("""COMPUTED_VALUE"""),18.47)</f>
        <v>18.47</v>
      </c>
      <c r="K25" s="8">
        <f>IFERROR(__xludf.DUMMYFUNCTION("""COMPUTED_VALUE"""),-0.0289)</f>
        <v>-0.0289</v>
      </c>
    </row>
    <row r="26" ht="15.75" customHeight="1">
      <c r="C26" s="2" t="str">
        <f>IFERROR(__xludf.DUMMYFUNCTION("""COMPUTED_VALUE"""),"Burkina Faso [+]")</f>
        <v>Burkina Faso [+]</v>
      </c>
      <c r="D26" s="2">
        <f>IFERROR(__xludf.DUMMYFUNCTION("""COMPUTED_VALUE"""),2012.0)</f>
        <v>2012</v>
      </c>
      <c r="E26" s="2">
        <f>IFERROR(__xludf.DUMMYFUNCTION("""COMPUTED_VALUE"""),517.0)</f>
        <v>517</v>
      </c>
      <c r="F26" s="6">
        <f>IFERROR(__xludf.DUMMYFUNCTION("""COMPUTED_VALUE"""),1011.0)</f>
        <v>1011</v>
      </c>
      <c r="G26" s="6">
        <f>IFERROR(__xludf.DUMMYFUNCTION("""COMPUTED_VALUE"""),1528.0)</f>
        <v>1528</v>
      </c>
      <c r="H26" s="7">
        <f>IFERROR(__xludf.DUMMYFUNCTION("""COMPUTED_VALUE"""),6.2)</f>
        <v>6.2</v>
      </c>
      <c r="I26" s="2">
        <f>IFERROR(__xludf.DUMMYFUNCTION("""COMPUTED_VALUE"""),12.29)</f>
        <v>12.29</v>
      </c>
      <c r="J26" s="4">
        <f>IFERROR(__xludf.DUMMYFUNCTION("""COMPUTED_VALUE"""),9.22)</f>
        <v>9.22</v>
      </c>
      <c r="K26" s="8">
        <f>IFERROR(__xludf.DUMMYFUNCTION("""COMPUTED_VALUE"""),0.0634)</f>
        <v>0.0634</v>
      </c>
    </row>
    <row r="27" ht="15.75" customHeight="1">
      <c r="C27" s="2" t="str">
        <f>IFERROR(__xludf.DUMMYFUNCTION("""COMPUTED_VALUE"""),"Bulgaria [+]")</f>
        <v>Bulgaria [+]</v>
      </c>
      <c r="D27" s="2">
        <f>IFERROR(__xludf.DUMMYFUNCTION("""COMPUTED_VALUE"""),2012.0)</f>
        <v>2012</v>
      </c>
      <c r="E27" s="2">
        <f>IFERROR(__xludf.DUMMYFUNCTION("""COMPUTED_VALUE"""),200.0)</f>
        <v>200</v>
      </c>
      <c r="F27" s="2">
        <f>IFERROR(__xludf.DUMMYFUNCTION("""COMPUTED_VALUE"""),672.0)</f>
        <v>672</v>
      </c>
      <c r="G27" s="2">
        <f>IFERROR(__xludf.DUMMYFUNCTION("""COMPUTED_VALUE"""),872.0)</f>
        <v>872</v>
      </c>
      <c r="H27" s="7">
        <f>IFERROR(__xludf.DUMMYFUNCTION("""COMPUTED_VALUE"""),5.36)</f>
        <v>5.36</v>
      </c>
      <c r="I27" s="2">
        <f>IFERROR(__xludf.DUMMYFUNCTION("""COMPUTED_VALUE"""),18.98)</f>
        <v>18.98</v>
      </c>
      <c r="J27" s="4">
        <f>IFERROR(__xludf.DUMMYFUNCTION("""COMPUTED_VALUE"""),11.99)</f>
        <v>11.99</v>
      </c>
      <c r="K27" s="8">
        <f>IFERROR(__xludf.DUMMYFUNCTION("""COMPUTED_VALUE"""),0.1573)</f>
        <v>0.1573</v>
      </c>
    </row>
    <row r="28" ht="15.75" customHeight="1">
      <c r="C28" s="2" t="str">
        <f>IFERROR(__xludf.DUMMYFUNCTION("""COMPUTED_VALUE"""),"Baréin [+]")</f>
        <v>Baréin [+]</v>
      </c>
      <c r="D28" s="2">
        <f>IFERROR(__xludf.DUMMYFUNCTION("""COMPUTED_VALUE"""),2012.0)</f>
        <v>2012</v>
      </c>
      <c r="E28" s="2">
        <f>IFERROR(__xludf.DUMMYFUNCTION("""COMPUTED_VALUE"""),12.0)</f>
        <v>12</v>
      </c>
      <c r="F28" s="2">
        <f>IFERROR(__xludf.DUMMYFUNCTION("""COMPUTED_VALUE"""),70.0)</f>
        <v>70</v>
      </c>
      <c r="G28" s="2">
        <f>IFERROR(__xludf.DUMMYFUNCTION("""COMPUTED_VALUE"""),82.0)</f>
        <v>82</v>
      </c>
      <c r="H28" s="7">
        <f>IFERROR(__xludf.DUMMYFUNCTION("""COMPUTED_VALUE"""),2.42)</f>
        <v>2.42</v>
      </c>
      <c r="I28" s="2">
        <f>IFERROR(__xludf.DUMMYFUNCTION("""COMPUTED_VALUE"""),8.69)</f>
        <v>8.69</v>
      </c>
      <c r="J28" s="4">
        <f>IFERROR(__xludf.DUMMYFUNCTION("""COMPUTED_VALUE"""),6.79)</f>
        <v>6.79</v>
      </c>
      <c r="K28" s="8">
        <f>IFERROR(__xludf.DUMMYFUNCTION("""COMPUTED_VALUE"""),-0.0699)</f>
        <v>-0.0699</v>
      </c>
    </row>
    <row r="29" ht="15.75" customHeight="1">
      <c r="C29" s="2" t="str">
        <f>IFERROR(__xludf.DUMMYFUNCTION("""COMPUTED_VALUE"""),"Burundi [+]")</f>
        <v>Burundi [+]</v>
      </c>
      <c r="D29" s="2">
        <f>IFERROR(__xludf.DUMMYFUNCTION("""COMPUTED_VALUE"""),2012.0)</f>
        <v>2012</v>
      </c>
      <c r="E29" s="2">
        <f>IFERROR(__xludf.DUMMYFUNCTION("""COMPUTED_VALUE"""),217.0)</f>
        <v>217</v>
      </c>
      <c r="F29" s="2">
        <f>IFERROR(__xludf.DUMMYFUNCTION("""COMPUTED_VALUE"""),641.0)</f>
        <v>641</v>
      </c>
      <c r="G29" s="2">
        <f>IFERROR(__xludf.DUMMYFUNCTION("""COMPUTED_VALUE"""),858.0)</f>
        <v>858</v>
      </c>
      <c r="H29" s="7">
        <f>IFERROR(__xludf.DUMMYFUNCTION("""COMPUTED_VALUE"""),4.65)</f>
        <v>4.65</v>
      </c>
      <c r="I29" s="2">
        <f>IFERROR(__xludf.DUMMYFUNCTION("""COMPUTED_VALUE"""),14.02)</f>
        <v>14.02</v>
      </c>
      <c r="J29" s="4">
        <f>IFERROR(__xludf.DUMMYFUNCTION("""COMPUTED_VALUE"""),9.2)</f>
        <v>9.2</v>
      </c>
      <c r="K29" s="8">
        <f>IFERROR(__xludf.DUMMYFUNCTION("""COMPUTED_VALUE"""),-0.0086)</f>
        <v>-0.0086</v>
      </c>
    </row>
    <row r="30" ht="15.75" customHeight="1">
      <c r="C30" s="2" t="str">
        <f>IFERROR(__xludf.DUMMYFUNCTION("""COMPUTED_VALUE"""),"Benin [+]")</f>
        <v>Benin [+]</v>
      </c>
      <c r="D30" s="5">
        <f>IFERROR(__xludf.DUMMYFUNCTION("""COMPUTED_VALUE"""),2012.0)</f>
        <v>2012</v>
      </c>
      <c r="E30" s="2">
        <f>IFERROR(__xludf.DUMMYFUNCTION("""COMPUTED_VALUE"""),269.0)</f>
        <v>269</v>
      </c>
      <c r="F30" s="6">
        <f>IFERROR(__xludf.DUMMYFUNCTION("""COMPUTED_VALUE"""),651.0)</f>
        <v>651</v>
      </c>
      <c r="G30" s="2">
        <f>IFERROR(__xludf.DUMMYFUNCTION("""COMPUTED_VALUE"""),920.0)</f>
        <v>920</v>
      </c>
      <c r="H30" s="7">
        <f>IFERROR(__xludf.DUMMYFUNCTION("""COMPUTED_VALUE"""),5.51)</f>
        <v>5.51</v>
      </c>
      <c r="I30" s="2">
        <f>IFERROR(__xludf.DUMMYFUNCTION("""COMPUTED_VALUE"""),13.45)</f>
        <v>13.45</v>
      </c>
      <c r="J30" s="4">
        <f>IFERROR(__xludf.DUMMYFUNCTION("""COMPUTED_VALUE"""),9.46)</f>
        <v>9.46</v>
      </c>
      <c r="K30" s="8">
        <f>IFERROR(__xludf.DUMMYFUNCTION("""COMPUTED_VALUE"""),0.0107)</f>
        <v>0.0107</v>
      </c>
    </row>
    <row r="31" ht="15.75" customHeight="1">
      <c r="C31" s="2" t="str">
        <f>IFERROR(__xludf.DUMMYFUNCTION("""COMPUTED_VALUE"""),"Brunéi [+]")</f>
        <v>Brunéi [+]</v>
      </c>
      <c r="D31" s="2">
        <f>IFERROR(__xludf.DUMMYFUNCTION("""COMPUTED_VALUE"""),2012.0)</f>
        <v>2012</v>
      </c>
      <c r="E31" s="2">
        <f>IFERROR(__xludf.DUMMYFUNCTION("""COMPUTED_VALUE"""),1.0)</f>
        <v>1</v>
      </c>
      <c r="F31" s="2">
        <f>IFERROR(__xludf.DUMMYFUNCTION("""COMPUTED_VALUE"""),5.0)</f>
        <v>5</v>
      </c>
      <c r="G31" s="2">
        <f>IFERROR(__xludf.DUMMYFUNCTION("""COMPUTED_VALUE"""),6.0)</f>
        <v>6</v>
      </c>
      <c r="H31" s="7">
        <f>IFERROR(__xludf.DUMMYFUNCTION("""COMPUTED_VALUE"""),0.6)</f>
        <v>0.6</v>
      </c>
      <c r="I31" s="2">
        <f>IFERROR(__xludf.DUMMYFUNCTION("""COMPUTED_VALUE"""),2.52)</f>
        <v>2.52</v>
      </c>
      <c r="J31" s="4">
        <f>IFERROR(__xludf.DUMMYFUNCTION("""COMPUTED_VALUE"""),1.59)</f>
        <v>1.59</v>
      </c>
      <c r="K31" s="8">
        <f>IFERROR(__xludf.DUMMYFUNCTION("""COMPUTED_VALUE"""),0.2422)</f>
        <v>0.2422</v>
      </c>
    </row>
    <row r="32" ht="15.75" customHeight="1">
      <c r="C32" s="2" t="str">
        <f>IFERROR(__xludf.DUMMYFUNCTION("""COMPUTED_VALUE"""),"Bolivia [+]")</f>
        <v>Bolivia [+]</v>
      </c>
      <c r="D32" s="2">
        <f>IFERROR(__xludf.DUMMYFUNCTION("""COMPUTED_VALUE"""),2012.0)</f>
        <v>2012</v>
      </c>
      <c r="E32" s="5">
        <f>IFERROR(__xludf.DUMMYFUNCTION("""COMPUTED_VALUE"""),700.0)</f>
        <v>700</v>
      </c>
      <c r="F32" s="6">
        <f>IFERROR(__xludf.DUMMYFUNCTION("""COMPUTED_VALUE"""),1264.0)</f>
        <v>1264</v>
      </c>
      <c r="G32" s="6">
        <f>IFERROR(__xludf.DUMMYFUNCTION("""COMPUTED_VALUE"""),1963.0)</f>
        <v>1963</v>
      </c>
      <c r="H32" s="7">
        <f>IFERROR(__xludf.DUMMYFUNCTION("""COMPUTED_VALUE"""),13.57)</f>
        <v>13.57</v>
      </c>
      <c r="I32" s="2">
        <f>IFERROR(__xludf.DUMMYFUNCTION("""COMPUTED_VALUE"""),24.21)</f>
        <v>24.21</v>
      </c>
      <c r="J32" s="4">
        <f>IFERROR(__xludf.DUMMYFUNCTION("""COMPUTED_VALUE"""),18.97)</f>
        <v>18.97</v>
      </c>
      <c r="K32" s="8">
        <f>IFERROR(__xludf.DUMMYFUNCTION("""COMPUTED_VALUE"""),-0.0477)</f>
        <v>-0.0477</v>
      </c>
    </row>
    <row r="33" ht="15.75" customHeight="1">
      <c r="C33" s="2" t="str">
        <f>IFERROR(__xludf.DUMMYFUNCTION("""COMPUTED_VALUE"""),"Brasil [+]")</f>
        <v>Brasil [+]</v>
      </c>
      <c r="D33" s="2">
        <f>IFERROR(__xludf.DUMMYFUNCTION("""COMPUTED_VALUE"""),2012.0)</f>
        <v>2012</v>
      </c>
      <c r="E33" s="6">
        <f>IFERROR(__xludf.DUMMYFUNCTION("""COMPUTED_VALUE"""),2257.0)</f>
        <v>2257</v>
      </c>
      <c r="F33" s="6">
        <f>IFERROR(__xludf.DUMMYFUNCTION("""COMPUTED_VALUE"""),8061.0)</f>
        <v>8061</v>
      </c>
      <c r="G33" s="6">
        <f>IFERROR(__xludf.DUMMYFUNCTION("""COMPUTED_VALUE"""),10318.0)</f>
        <v>10318</v>
      </c>
      <c r="H33" s="7">
        <f>IFERROR(__xludf.DUMMYFUNCTION("""COMPUTED_VALUE"""),2.2)</f>
        <v>2.2</v>
      </c>
      <c r="I33" s="2">
        <f>IFERROR(__xludf.DUMMYFUNCTION("""COMPUTED_VALUE"""),8.3)</f>
        <v>8.3</v>
      </c>
      <c r="J33" s="4">
        <f>IFERROR(__xludf.DUMMYFUNCTION("""COMPUTED_VALUE"""),5.2)</f>
        <v>5.2</v>
      </c>
      <c r="K33" s="8">
        <f>IFERROR(__xludf.DUMMYFUNCTION("""COMPUTED_VALUE"""),0.04)</f>
        <v>0.04</v>
      </c>
    </row>
    <row r="34" ht="15.75" customHeight="1">
      <c r="C34" s="2" t="str">
        <f>IFERROR(__xludf.DUMMYFUNCTION("""COMPUTED_VALUE"""),"Bahamas [+]")</f>
        <v>Bahamas [+]</v>
      </c>
      <c r="D34" s="2">
        <f>IFERROR(__xludf.DUMMYFUNCTION("""COMPUTED_VALUE"""),2012.0)</f>
        <v>2012</v>
      </c>
      <c r="E34" s="2">
        <f>IFERROR(__xludf.DUMMYFUNCTION("""COMPUTED_VALUE"""),1.0)</f>
        <v>1</v>
      </c>
      <c r="F34" s="2">
        <f>IFERROR(__xludf.DUMMYFUNCTION("""COMPUTED_VALUE"""),6.0)</f>
        <v>6</v>
      </c>
      <c r="G34" s="2">
        <f>IFERROR(__xludf.DUMMYFUNCTION("""COMPUTED_VALUE"""),7.0)</f>
        <v>7</v>
      </c>
      <c r="H34" s="7">
        <f>IFERROR(__xludf.DUMMYFUNCTION("""COMPUTED_VALUE"""),0.29)</f>
        <v>0.29</v>
      </c>
      <c r="I34" s="2">
        <f>IFERROR(__xludf.DUMMYFUNCTION("""COMPUTED_VALUE"""),3.52)</f>
        <v>3.52</v>
      </c>
      <c r="J34" s="4">
        <f>IFERROR(__xludf.DUMMYFUNCTION("""COMPUTED_VALUE"""),1.92)</f>
        <v>1.92</v>
      </c>
      <c r="K34" s="8">
        <f>IFERROR(__xludf.DUMMYFUNCTION("""COMPUTED_VALUE"""),-0.0634)</f>
        <v>-0.0634</v>
      </c>
    </row>
    <row r="35" ht="15.75" customHeight="1">
      <c r="C35" s="2" t="str">
        <f>IFERROR(__xludf.DUMMYFUNCTION("""COMPUTED_VALUE"""),"Bután [+]")</f>
        <v>Bután [+]</v>
      </c>
      <c r="D35" s="2">
        <f>IFERROR(__xludf.DUMMYFUNCTION("""COMPUTED_VALUE"""),2012.0)</f>
        <v>2012</v>
      </c>
      <c r="E35" s="2">
        <f>IFERROR(__xludf.DUMMYFUNCTION("""COMPUTED_VALUE"""),33.0)</f>
        <v>33</v>
      </c>
      <c r="F35" s="2">
        <f>IFERROR(__xludf.DUMMYFUNCTION("""COMPUTED_VALUE"""),54.0)</f>
        <v>54</v>
      </c>
      <c r="G35" s="2">
        <f>IFERROR(__xludf.DUMMYFUNCTION("""COMPUTED_VALUE"""),87.0)</f>
        <v>87</v>
      </c>
      <c r="H35" s="7">
        <f>IFERROR(__xludf.DUMMYFUNCTION("""COMPUTED_VALUE"""),9.98)</f>
        <v>9.98</v>
      </c>
      <c r="I35" s="2">
        <f>IFERROR(__xludf.DUMMYFUNCTION("""COMPUTED_VALUE"""),14.56)</f>
        <v>14.56</v>
      </c>
      <c r="J35" s="4">
        <f>IFERROR(__xludf.DUMMYFUNCTION("""COMPUTED_VALUE"""),12.73)</f>
        <v>12.73</v>
      </c>
      <c r="K35" s="8">
        <f>IFERROR(__xludf.DUMMYFUNCTION("""COMPUTED_VALUE"""),0.0111)</f>
        <v>0.0111</v>
      </c>
    </row>
    <row r="36" ht="15.75" customHeight="1">
      <c r="C36" s="2" t="str">
        <f>IFERROR(__xludf.DUMMYFUNCTION("""COMPUTED_VALUE"""),"Botsuana [+]")</f>
        <v>Botsuana [+]</v>
      </c>
      <c r="D36" s="5">
        <f>IFERROR(__xludf.DUMMYFUNCTION("""COMPUTED_VALUE"""),2012.0)</f>
        <v>2012</v>
      </c>
      <c r="E36" s="2">
        <f>IFERROR(__xludf.DUMMYFUNCTION("""COMPUTED_VALUE"""),52.0)</f>
        <v>52</v>
      </c>
      <c r="F36" s="6">
        <f>IFERROR(__xludf.DUMMYFUNCTION("""COMPUTED_VALUE"""),170.0)</f>
        <v>170</v>
      </c>
      <c r="G36" s="2">
        <f>IFERROR(__xludf.DUMMYFUNCTION("""COMPUTED_VALUE"""),222.0)</f>
        <v>222</v>
      </c>
      <c r="H36" s="7">
        <f>IFERROR(__xludf.DUMMYFUNCTION("""COMPUTED_VALUE"""),5.01)</f>
        <v>5.01</v>
      </c>
      <c r="I36" s="2">
        <f>IFERROR(__xludf.DUMMYFUNCTION("""COMPUTED_VALUE"""),17.13)</f>
        <v>17.13</v>
      </c>
      <c r="J36" s="4">
        <f>IFERROR(__xludf.DUMMYFUNCTION("""COMPUTED_VALUE"""),10.9)</f>
        <v>10.9</v>
      </c>
      <c r="K36" s="8">
        <f>IFERROR(__xludf.DUMMYFUNCTION("""COMPUTED_VALUE"""),0.0187)</f>
        <v>0.0187</v>
      </c>
    </row>
    <row r="37" ht="15.75" customHeight="1">
      <c r="C37" s="2" t="str">
        <f>IFERROR(__xludf.DUMMYFUNCTION("""COMPUTED_VALUE"""),"Bielorrusia [+]")</f>
        <v>Bielorrusia [+]</v>
      </c>
      <c r="D37" s="2">
        <f>IFERROR(__xludf.DUMMYFUNCTION("""COMPUTED_VALUE"""),2012.0)</f>
        <v>2012</v>
      </c>
      <c r="E37" s="2">
        <f>IFERROR(__xludf.DUMMYFUNCTION("""COMPUTED_VALUE"""),385.0)</f>
        <v>385</v>
      </c>
      <c r="F37" s="6">
        <f>IFERROR(__xludf.DUMMYFUNCTION("""COMPUTED_VALUE"""),1788.0)</f>
        <v>1788</v>
      </c>
      <c r="G37" s="6">
        <f>IFERROR(__xludf.DUMMYFUNCTION("""COMPUTED_VALUE"""),2173.0)</f>
        <v>2173</v>
      </c>
      <c r="H37" s="7">
        <f>IFERROR(__xludf.DUMMYFUNCTION("""COMPUTED_VALUE"""),7.6)</f>
        <v>7.6</v>
      </c>
      <c r="I37" s="2">
        <f>IFERROR(__xludf.DUMMYFUNCTION("""COMPUTED_VALUE"""),40.65)</f>
        <v>40.65</v>
      </c>
      <c r="J37" s="4">
        <f>IFERROR(__xludf.DUMMYFUNCTION("""COMPUTED_VALUE"""),22.96)</f>
        <v>22.96</v>
      </c>
      <c r="K37" s="8">
        <f>IFERROR(__xludf.DUMMYFUNCTION("""COMPUTED_VALUE"""),-0.1094)</f>
        <v>-0.1094</v>
      </c>
    </row>
    <row r="38" ht="15.75" customHeight="1">
      <c r="C38" s="2" t="str">
        <f>IFERROR(__xludf.DUMMYFUNCTION("""COMPUTED_VALUE"""),"Belice [+]")</f>
        <v>Belice [+]</v>
      </c>
      <c r="D38" s="5">
        <f>IFERROR(__xludf.DUMMYFUNCTION("""COMPUTED_VALUE"""),2012.0)</f>
        <v>2012</v>
      </c>
      <c r="E38" s="2">
        <f>IFERROR(__xludf.DUMMYFUNCTION("""COMPUTED_VALUE"""),4.0)</f>
        <v>4</v>
      </c>
      <c r="F38" s="6">
        <f>IFERROR(__xludf.DUMMYFUNCTION("""COMPUTED_VALUE"""),20.0)</f>
        <v>20</v>
      </c>
      <c r="G38" s="2">
        <f>IFERROR(__xludf.DUMMYFUNCTION("""COMPUTED_VALUE"""),24.0)</f>
        <v>24</v>
      </c>
      <c r="H38" s="7">
        <f>IFERROR(__xludf.DUMMYFUNCTION("""COMPUTED_VALUE"""),2.16)</f>
        <v>2.16</v>
      </c>
      <c r="I38" s="2">
        <f>IFERROR(__xludf.DUMMYFUNCTION("""COMPUTED_VALUE"""),11.95)</f>
        <v>11.95</v>
      </c>
      <c r="J38" s="4">
        <f>IFERROR(__xludf.DUMMYFUNCTION("""COMPUTED_VALUE"""),6.99)</f>
        <v>6.99</v>
      </c>
      <c r="K38" s="8">
        <f>IFERROR(__xludf.DUMMYFUNCTION("""COMPUTED_VALUE"""),-0.1073)</f>
        <v>-0.1073</v>
      </c>
    </row>
    <row r="39" ht="15.75" customHeight="1">
      <c r="C39" s="2" t="str">
        <f>IFERROR(__xludf.DUMMYFUNCTION("""COMPUTED_VALUE"""),"Canadá [+]")</f>
        <v>Canadá [+]</v>
      </c>
      <c r="D39" s="5">
        <f>IFERROR(__xludf.DUMMYFUNCTION("""COMPUTED_VALUE"""),2012.0)</f>
        <v>2012</v>
      </c>
      <c r="E39" s="2">
        <f>IFERROR(__xludf.DUMMYFUNCTION("""COMPUTED_VALUE"""),954.0)</f>
        <v>954</v>
      </c>
      <c r="F39" s="6">
        <f>IFERROR(__xludf.DUMMYFUNCTION("""COMPUTED_VALUE"""),2970.0)</f>
        <v>2970</v>
      </c>
      <c r="G39" s="6">
        <f>IFERROR(__xludf.DUMMYFUNCTION("""COMPUTED_VALUE"""),3924.0)</f>
        <v>3924</v>
      </c>
      <c r="H39" s="7">
        <f>IFERROR(__xludf.DUMMYFUNCTION("""COMPUTED_VALUE"""),5.5)</f>
        <v>5.5</v>
      </c>
      <c r="I39" s="2">
        <f>IFERROR(__xludf.DUMMYFUNCTION("""COMPUTED_VALUE"""),17.3)</f>
        <v>17.3</v>
      </c>
      <c r="J39" s="4">
        <f>IFERROR(__xludf.DUMMYFUNCTION("""COMPUTED_VALUE"""),11.3)</f>
        <v>11.3</v>
      </c>
      <c r="K39" s="8">
        <f>IFERROR(__xludf.DUMMYFUNCTION("""COMPUTED_VALUE"""),0.0367)</f>
        <v>0.0367</v>
      </c>
    </row>
    <row r="40" ht="15.75" customHeight="1">
      <c r="C40" s="2" t="str">
        <f>IFERROR(__xludf.DUMMYFUNCTION("""COMPUTED_VALUE"""),"República Democrática del Congo [+]")</f>
        <v>República Democrática del Congo [+]</v>
      </c>
      <c r="D40" s="5">
        <f>IFERROR(__xludf.DUMMYFUNCTION("""COMPUTED_VALUE"""),2012.0)</f>
        <v>2012</v>
      </c>
      <c r="E40" s="6">
        <f>IFERROR(__xludf.DUMMYFUNCTION("""COMPUTED_VALUE"""),2000.0)</f>
        <v>2000</v>
      </c>
      <c r="F40" s="6">
        <f>IFERROR(__xludf.DUMMYFUNCTION("""COMPUTED_VALUE"""),4662.0)</f>
        <v>4662</v>
      </c>
      <c r="G40" s="6">
        <f>IFERROR(__xludf.DUMMYFUNCTION("""COMPUTED_VALUE"""),6662.0)</f>
        <v>6662</v>
      </c>
      <c r="H40" s="7">
        <f>IFERROR(__xludf.DUMMYFUNCTION("""COMPUTED_VALUE"""),5.77)</f>
        <v>5.77</v>
      </c>
      <c r="I40" s="2">
        <f>IFERROR(__xludf.DUMMYFUNCTION("""COMPUTED_VALUE"""),13.56)</f>
        <v>13.56</v>
      </c>
      <c r="J40" s="4">
        <f>IFERROR(__xludf.DUMMYFUNCTION("""COMPUTED_VALUE"""),9.48)</f>
        <v>9.48</v>
      </c>
      <c r="K40" s="8">
        <f>IFERROR(__xludf.DUMMYFUNCTION("""COMPUTED_VALUE"""),0.0032)</f>
        <v>0.0032</v>
      </c>
    </row>
    <row r="41" ht="15.75" customHeight="1">
      <c r="C41" s="2" t="str">
        <f>IFERROR(__xludf.DUMMYFUNCTION("""COMPUTED_VALUE"""),"República Centroafricana [+]")</f>
        <v>República Centroafricana [+]</v>
      </c>
      <c r="D41" s="2">
        <f>IFERROR(__xludf.DUMMYFUNCTION("""COMPUTED_VALUE"""),2012.0)</f>
        <v>2012</v>
      </c>
      <c r="E41" s="2">
        <f>IFERROR(__xludf.DUMMYFUNCTION("""COMPUTED_VALUE"""),202.0)</f>
        <v>202</v>
      </c>
      <c r="F41" s="2">
        <f>IFERROR(__xludf.DUMMYFUNCTION("""COMPUTED_VALUE"""),634.0)</f>
        <v>634</v>
      </c>
      <c r="G41" s="2">
        <f>IFERROR(__xludf.DUMMYFUNCTION("""COMPUTED_VALUE"""),836.0)</f>
        <v>836</v>
      </c>
      <c r="H41" s="7">
        <f>IFERROR(__xludf.DUMMYFUNCTION("""COMPUTED_VALUE"""),9.01)</f>
        <v>9.01</v>
      </c>
      <c r="I41" s="2">
        <f>IFERROR(__xludf.DUMMYFUNCTION("""COMPUTED_VALUE"""),28.85)</f>
        <v>28.85</v>
      </c>
      <c r="J41" s="4">
        <f>IFERROR(__xludf.DUMMYFUNCTION("""COMPUTED_VALUE"""),18.83)</f>
        <v>18.83</v>
      </c>
      <c r="K41" s="8">
        <f>IFERROR(__xludf.DUMMYFUNCTION("""COMPUTED_VALUE"""),-0.0042)</f>
        <v>-0.0042</v>
      </c>
    </row>
    <row r="42" ht="15.75" customHeight="1">
      <c r="C42" s="2" t="str">
        <f>IFERROR(__xludf.DUMMYFUNCTION("""COMPUTED_VALUE"""),"República del Congo [+]")</f>
        <v>República del Congo [+]</v>
      </c>
      <c r="D42" s="2">
        <f>IFERROR(__xludf.DUMMYFUNCTION("""COMPUTED_VALUE"""),2012.0)</f>
        <v>2012</v>
      </c>
      <c r="E42" s="2">
        <f>IFERROR(__xludf.DUMMYFUNCTION("""COMPUTED_VALUE"""),114.0)</f>
        <v>114</v>
      </c>
      <c r="F42" s="2">
        <f>IFERROR(__xludf.DUMMYFUNCTION("""COMPUTED_VALUE"""),308.0)</f>
        <v>308</v>
      </c>
      <c r="G42" s="2">
        <f>IFERROR(__xludf.DUMMYFUNCTION("""COMPUTED_VALUE"""),422.0)</f>
        <v>422</v>
      </c>
      <c r="H42" s="7">
        <f>IFERROR(__xludf.DUMMYFUNCTION("""COMPUTED_VALUE"""),5.04)</f>
        <v>5.04</v>
      </c>
      <c r="I42" s="2">
        <f>IFERROR(__xludf.DUMMYFUNCTION("""COMPUTED_VALUE"""),13.71)</f>
        <v>13.71</v>
      </c>
      <c r="J42" s="4">
        <f>IFERROR(__xludf.DUMMYFUNCTION("""COMPUTED_VALUE"""),10.99)</f>
        <v>10.99</v>
      </c>
      <c r="K42" s="8">
        <f>IFERROR(__xludf.DUMMYFUNCTION("""COMPUTED_VALUE"""),-0.0599)</f>
        <v>-0.0599</v>
      </c>
    </row>
    <row r="43" ht="15.75" customHeight="1">
      <c r="C43" s="2" t="str">
        <f>IFERROR(__xludf.DUMMYFUNCTION("""COMPUTED_VALUE"""),"Suiza [+]")</f>
        <v>Suiza [+]</v>
      </c>
      <c r="D43" s="5">
        <f>IFERROR(__xludf.DUMMYFUNCTION("""COMPUTED_VALUE"""),2012.0)</f>
        <v>2012</v>
      </c>
      <c r="E43" s="2">
        <f>IFERROR(__xludf.DUMMYFUNCTION("""COMPUTED_VALUE"""),294.0)</f>
        <v>294</v>
      </c>
      <c r="F43" s="6">
        <f>IFERROR(__xludf.DUMMYFUNCTION("""COMPUTED_VALUE"""),785.0)</f>
        <v>785</v>
      </c>
      <c r="G43" s="6">
        <f>IFERROR(__xludf.DUMMYFUNCTION("""COMPUTED_VALUE"""),1079.0)</f>
        <v>1079</v>
      </c>
      <c r="H43" s="7">
        <f>IFERROR(__xludf.DUMMYFUNCTION("""COMPUTED_VALUE"""),7.06)</f>
        <v>7.06</v>
      </c>
      <c r="I43" s="2">
        <f>IFERROR(__xludf.DUMMYFUNCTION("""COMPUTED_VALUE"""),19.31)</f>
        <v>19.31</v>
      </c>
      <c r="J43" s="4">
        <f>IFERROR(__xludf.DUMMYFUNCTION("""COMPUTED_VALUE"""),13.11)</f>
        <v>13.11</v>
      </c>
      <c r="K43" s="8">
        <f>IFERROR(__xludf.DUMMYFUNCTION("""COMPUTED_VALUE"""),-0.0038)</f>
        <v>-0.0038</v>
      </c>
    </row>
    <row r="44" ht="15.75" customHeight="1">
      <c r="C44" s="2" t="str">
        <f>IFERROR(__xludf.DUMMYFUNCTION("""COMPUTED_VALUE"""),"Costa de Marfil [+]")</f>
        <v>Costa de Marfil [+]</v>
      </c>
      <c r="D44" s="2">
        <f>IFERROR(__xludf.DUMMYFUNCTION("""COMPUTED_VALUE"""),2012.0)</f>
        <v>2012</v>
      </c>
      <c r="E44" s="2">
        <f>IFERROR(__xludf.DUMMYFUNCTION("""COMPUTED_VALUE"""),959.0)</f>
        <v>959</v>
      </c>
      <c r="F44" s="6">
        <f>IFERROR(__xludf.DUMMYFUNCTION("""COMPUTED_VALUE"""),2754.0)</f>
        <v>2754</v>
      </c>
      <c r="G44" s="6">
        <f>IFERROR(__xludf.DUMMYFUNCTION("""COMPUTED_VALUE"""),3714.0)</f>
        <v>3714</v>
      </c>
      <c r="H44" s="7">
        <f>IFERROR(__xludf.DUMMYFUNCTION("""COMPUTED_VALUE"""),9.03)</f>
        <v>9.03</v>
      </c>
      <c r="I44" s="2">
        <f>IFERROR(__xludf.DUMMYFUNCTION("""COMPUTED_VALUE"""),25.22)</f>
        <v>25.22</v>
      </c>
      <c r="J44" s="4">
        <f>IFERROR(__xludf.DUMMYFUNCTION("""COMPUTED_VALUE"""),16.92)</f>
        <v>16.92</v>
      </c>
      <c r="K44" s="8">
        <f>IFERROR(__xludf.DUMMYFUNCTION("""COMPUTED_VALUE"""),0.0168)</f>
        <v>0.0168</v>
      </c>
    </row>
    <row r="45" ht="15.75" customHeight="1">
      <c r="C45" s="2" t="str">
        <f>IFERROR(__xludf.DUMMYFUNCTION("""COMPUTED_VALUE"""),"Chile [+]")</f>
        <v>Chile [+]</v>
      </c>
      <c r="D45" s="5">
        <f>IFERROR(__xludf.DUMMYFUNCTION("""COMPUTED_VALUE"""),2012.0)</f>
        <v>2012</v>
      </c>
      <c r="E45" s="2">
        <f>IFERROR(__xludf.DUMMYFUNCTION("""COMPUTED_VALUE"""),331.0)</f>
        <v>331</v>
      </c>
      <c r="F45" s="6">
        <f>IFERROR(__xludf.DUMMYFUNCTION("""COMPUTED_VALUE"""),1510.0)</f>
        <v>1510</v>
      </c>
      <c r="G45" s="6">
        <f>IFERROR(__xludf.DUMMYFUNCTION("""COMPUTED_VALUE"""),1841.0)</f>
        <v>1841</v>
      </c>
      <c r="H45" s="7">
        <f>IFERROR(__xludf.DUMMYFUNCTION("""COMPUTED_VALUE"""),3.7)</f>
        <v>3.7</v>
      </c>
      <c r="I45" s="2">
        <f>IFERROR(__xludf.DUMMYFUNCTION("""COMPUTED_VALUE"""),17.6)</f>
        <v>17.6</v>
      </c>
      <c r="J45" s="4">
        <f>IFERROR(__xludf.DUMMYFUNCTION("""COMPUTED_VALUE"""),10.6)</f>
        <v>10.6</v>
      </c>
      <c r="K45" s="8">
        <f>IFERROR(__xludf.DUMMYFUNCTION("""COMPUTED_VALUE"""),-0.094)</f>
        <v>-0.094</v>
      </c>
    </row>
    <row r="46" ht="15.75" customHeight="1">
      <c r="C46" s="2" t="str">
        <f>IFERROR(__xludf.DUMMYFUNCTION("""COMPUTED_VALUE"""),"Camerún [+]")</f>
        <v>Camerún [+]</v>
      </c>
      <c r="D46" s="2">
        <f>IFERROR(__xludf.DUMMYFUNCTION("""COMPUTED_VALUE"""),2012.0)</f>
        <v>2012</v>
      </c>
      <c r="E46" s="2">
        <f>IFERROR(__xludf.DUMMYFUNCTION("""COMPUTED_VALUE"""),605.0)</f>
        <v>605</v>
      </c>
      <c r="F46" s="6">
        <f>IFERROR(__xludf.DUMMYFUNCTION("""COMPUTED_VALUE"""),1999.0)</f>
        <v>1999</v>
      </c>
      <c r="G46" s="6">
        <f>IFERROR(__xludf.DUMMYFUNCTION("""COMPUTED_VALUE"""),2604.0)</f>
        <v>2604</v>
      </c>
      <c r="H46" s="7">
        <f>IFERROR(__xludf.DUMMYFUNCTION("""COMPUTED_VALUE"""),5.63)</f>
        <v>5.63</v>
      </c>
      <c r="I46" s="2">
        <f>IFERROR(__xludf.DUMMYFUNCTION("""COMPUTED_VALUE"""),18.63)</f>
        <v>18.63</v>
      </c>
      <c r="J46" s="4">
        <f>IFERROR(__xludf.DUMMYFUNCTION("""COMPUTED_VALUE"""),12.12)</f>
        <v>12.12</v>
      </c>
      <c r="K46" s="8">
        <f>IFERROR(__xludf.DUMMYFUNCTION("""COMPUTED_VALUE"""),-0.0016)</f>
        <v>-0.0016</v>
      </c>
    </row>
    <row r="47" ht="15.75" customHeight="1">
      <c r="C47" s="2" t="str">
        <f>IFERROR(__xludf.DUMMYFUNCTION("""COMPUTED_VALUE"""),"Colombia [+]")</f>
        <v>Colombia [+]</v>
      </c>
      <c r="D47" s="2">
        <f>IFERROR(__xludf.DUMMYFUNCTION("""COMPUTED_VALUE"""),2012.0)</f>
        <v>2012</v>
      </c>
      <c r="E47" s="2">
        <f>IFERROR(__xludf.DUMMYFUNCTION("""COMPUTED_VALUE"""),387.0)</f>
        <v>387</v>
      </c>
      <c r="F47" s="6">
        <f>IFERROR(__xludf.DUMMYFUNCTION("""COMPUTED_VALUE"""),1739.0)</f>
        <v>1739</v>
      </c>
      <c r="G47" s="6">
        <f>IFERROR(__xludf.DUMMYFUNCTION("""COMPUTED_VALUE"""),2126.0)</f>
        <v>2126</v>
      </c>
      <c r="H47" s="7">
        <f>IFERROR(__xludf.DUMMYFUNCTION("""COMPUTED_VALUE"""),1.6)</f>
        <v>1.6</v>
      </c>
      <c r="I47" s="2">
        <f>IFERROR(__xludf.DUMMYFUNCTION("""COMPUTED_VALUE"""),7.6)</f>
        <v>7.6</v>
      </c>
      <c r="J47" s="4">
        <f>IFERROR(__xludf.DUMMYFUNCTION("""COMPUTED_VALUE"""),4.6)</f>
        <v>4.6</v>
      </c>
      <c r="K47" s="8">
        <f>IFERROR(__xludf.DUMMYFUNCTION("""COMPUTED_VALUE"""),0.0222)</f>
        <v>0.0222</v>
      </c>
    </row>
    <row r="48" ht="15.75" customHeight="1">
      <c r="C48" s="2" t="str">
        <f>IFERROR(__xludf.DUMMYFUNCTION("""COMPUTED_VALUE"""),"Costa Rica [+]")</f>
        <v>Costa Rica [+]</v>
      </c>
      <c r="D48" s="2">
        <f>IFERROR(__xludf.DUMMYFUNCTION("""COMPUTED_VALUE"""),2012.0)</f>
        <v>2012</v>
      </c>
      <c r="E48" s="2">
        <f>IFERROR(__xludf.DUMMYFUNCTION("""COMPUTED_VALUE"""),42.0)</f>
        <v>42</v>
      </c>
      <c r="F48" s="2">
        <f>IFERROR(__xludf.DUMMYFUNCTION("""COMPUTED_VALUE"""),260.0)</f>
        <v>260</v>
      </c>
      <c r="G48" s="2">
        <f>IFERROR(__xludf.DUMMYFUNCTION("""COMPUTED_VALUE"""),302.0)</f>
        <v>302</v>
      </c>
      <c r="H48" s="7">
        <f>IFERROR(__xludf.DUMMYFUNCTION("""COMPUTED_VALUE"""),1.8)</f>
        <v>1.8</v>
      </c>
      <c r="I48" s="2">
        <f>IFERROR(__xludf.DUMMYFUNCTION("""COMPUTED_VALUE"""),11.1)</f>
        <v>11.1</v>
      </c>
      <c r="J48" s="4">
        <f>IFERROR(__xludf.DUMMYFUNCTION("""COMPUTED_VALUE"""),6.5)</f>
        <v>6.5</v>
      </c>
      <c r="K48" s="8">
        <f>IFERROR(__xludf.DUMMYFUNCTION("""COMPUTED_VALUE"""),-0.058)</f>
        <v>-0.058</v>
      </c>
    </row>
    <row r="49" ht="15.75" customHeight="1">
      <c r="C49" s="2" t="str">
        <f>IFERROR(__xludf.DUMMYFUNCTION("""COMPUTED_VALUE"""),"Cuba [+]")</f>
        <v>Cuba [+]</v>
      </c>
      <c r="D49" s="5">
        <f>IFERROR(__xludf.DUMMYFUNCTION("""COMPUTED_VALUE"""),2012.0)</f>
        <v>2012</v>
      </c>
      <c r="E49" s="2">
        <f>IFERROR(__xludf.DUMMYFUNCTION("""COMPUTED_VALUE"""),306.0)</f>
        <v>306</v>
      </c>
      <c r="F49" s="6">
        <f>IFERROR(__xludf.DUMMYFUNCTION("""COMPUTED_VALUE"""),1267.0)</f>
        <v>1267</v>
      </c>
      <c r="G49" s="6">
        <f>IFERROR(__xludf.DUMMYFUNCTION("""COMPUTED_VALUE"""),1573.0)</f>
        <v>1573</v>
      </c>
      <c r="H49" s="7">
        <f>IFERROR(__xludf.DUMMYFUNCTION("""COMPUTED_VALUE"""),5.41)</f>
        <v>5.41</v>
      </c>
      <c r="I49" s="2">
        <f>IFERROR(__xludf.DUMMYFUNCTION("""COMPUTED_VALUE"""),22.64)</f>
        <v>22.64</v>
      </c>
      <c r="J49" s="4">
        <f>IFERROR(__xludf.DUMMYFUNCTION("""COMPUTED_VALUE"""),13.98)</f>
        <v>13.98</v>
      </c>
      <c r="K49" s="8">
        <f>IFERROR(__xludf.DUMMYFUNCTION("""COMPUTED_VALUE"""),-0.0203)</f>
        <v>-0.0203</v>
      </c>
    </row>
    <row r="50" ht="15.75" customHeight="1">
      <c r="C50" s="2" t="str">
        <f>IFERROR(__xludf.DUMMYFUNCTION("""COMPUTED_VALUE"""),"Cabo Verde [+]")</f>
        <v>Cabo Verde [+]</v>
      </c>
      <c r="D50" s="5">
        <f>IFERROR(__xludf.DUMMYFUNCTION("""COMPUTED_VALUE"""),2012.0)</f>
        <v>2012</v>
      </c>
      <c r="E50" s="2">
        <f>IFERROR(__xludf.DUMMYFUNCTION("""COMPUTED_VALUE"""),15.0)</f>
        <v>15</v>
      </c>
      <c r="F50" s="2">
        <f>IFERROR(__xludf.DUMMYFUNCTION("""COMPUTED_VALUE"""),29.0)</f>
        <v>29</v>
      </c>
      <c r="G50" s="2">
        <f>IFERROR(__xludf.DUMMYFUNCTION("""COMPUTED_VALUE"""),45.0)</f>
        <v>45</v>
      </c>
      <c r="H50" s="7">
        <f>IFERROR(__xludf.DUMMYFUNCTION("""COMPUTED_VALUE"""),6.12)</f>
        <v>6.12</v>
      </c>
      <c r="I50" s="2">
        <f>IFERROR(__xludf.DUMMYFUNCTION("""COMPUTED_VALUE"""),11.58)</f>
        <v>11.58</v>
      </c>
      <c r="J50" s="4">
        <f>IFERROR(__xludf.DUMMYFUNCTION("""COMPUTED_VALUE"""),8.71)</f>
        <v>8.71</v>
      </c>
      <c r="K50" s="8">
        <f>IFERROR(__xludf.DUMMYFUNCTION("""COMPUTED_VALUE"""),0.0011)</f>
        <v>0.0011</v>
      </c>
    </row>
    <row r="51" ht="15.75" customHeight="1">
      <c r="C51" s="2" t="str">
        <f>IFERROR(__xludf.DUMMYFUNCTION("""COMPUTED_VALUE"""),"Chipre [+]")</f>
        <v>Chipre [+]</v>
      </c>
      <c r="D51" s="2">
        <f>IFERROR(__xludf.DUMMYFUNCTION("""COMPUTED_VALUE"""),2012.0)</f>
        <v>2012</v>
      </c>
      <c r="E51" s="2">
        <f>IFERROR(__xludf.DUMMYFUNCTION("""COMPUTED_VALUE"""),3.0)</f>
        <v>3</v>
      </c>
      <c r="F51" s="2">
        <f>IFERROR(__xludf.DUMMYFUNCTION("""COMPUTED_VALUE"""),35.0)</f>
        <v>35</v>
      </c>
      <c r="G51" s="2">
        <f>IFERROR(__xludf.DUMMYFUNCTION("""COMPUTED_VALUE"""),38.0)</f>
        <v>38</v>
      </c>
      <c r="H51" s="7">
        <f>IFERROR(__xludf.DUMMYFUNCTION("""COMPUTED_VALUE"""),0.45)</f>
        <v>0.45</v>
      </c>
      <c r="I51" s="2">
        <f>IFERROR(__xludf.DUMMYFUNCTION("""COMPUTED_VALUE"""),8.09)</f>
        <v>8.09</v>
      </c>
      <c r="J51" s="4">
        <f>IFERROR(__xludf.DUMMYFUNCTION("""COMPUTED_VALUE"""),4.17)</f>
        <v>4.17</v>
      </c>
      <c r="K51" s="8">
        <f>IFERROR(__xludf.DUMMYFUNCTION("""COMPUTED_VALUE"""),0.1813)</f>
        <v>0.1813</v>
      </c>
    </row>
    <row r="52" ht="15.75" customHeight="1">
      <c r="C52" s="2" t="str">
        <f>IFERROR(__xludf.DUMMYFUNCTION("""COMPUTED_VALUE"""),"Chequia [+]")</f>
        <v>Chequia [+]</v>
      </c>
      <c r="D52" s="5">
        <f>IFERROR(__xludf.DUMMYFUNCTION("""COMPUTED_VALUE"""),2012.0)</f>
        <v>2012</v>
      </c>
      <c r="E52" s="2">
        <f>IFERROR(__xludf.DUMMYFUNCTION("""COMPUTED_VALUE"""),282.0)</f>
        <v>282</v>
      </c>
      <c r="F52" s="6">
        <f>IFERROR(__xludf.DUMMYFUNCTION("""COMPUTED_VALUE"""),1410.0)</f>
        <v>1410</v>
      </c>
      <c r="G52" s="6">
        <f>IFERROR(__xludf.DUMMYFUNCTION("""COMPUTED_VALUE"""),1692.0)</f>
        <v>1692</v>
      </c>
      <c r="H52" s="7">
        <f>IFERROR(__xludf.DUMMYFUNCTION("""COMPUTED_VALUE"""),5.22)</f>
        <v>5.22</v>
      </c>
      <c r="I52" s="2">
        <f>IFERROR(__xludf.DUMMYFUNCTION("""COMPUTED_VALUE"""),26.93)</f>
        <v>26.93</v>
      </c>
      <c r="J52" s="4">
        <f>IFERROR(__xludf.DUMMYFUNCTION("""COMPUTED_VALUE"""),15.88)</f>
        <v>15.88</v>
      </c>
      <c r="K52" s="8">
        <f>IFERROR(__xludf.DUMMYFUNCTION("""COMPUTED_VALUE"""),0.0454)</f>
        <v>0.0454</v>
      </c>
    </row>
    <row r="53" ht="15.75" customHeight="1">
      <c r="C53" s="2" t="str">
        <f>IFERROR(__xludf.DUMMYFUNCTION("""COMPUTED_VALUE"""),"Yibuti [+]")</f>
        <v>Yibuti [+]</v>
      </c>
      <c r="D53" s="5">
        <f>IFERROR(__xludf.DUMMYFUNCTION("""COMPUTED_VALUE"""),2012.0)</f>
        <v>2012</v>
      </c>
      <c r="E53" s="2">
        <f>IFERROR(__xludf.DUMMYFUNCTION("""COMPUTED_VALUE"""),22.0)</f>
        <v>22</v>
      </c>
      <c r="F53" s="6">
        <f>IFERROR(__xludf.DUMMYFUNCTION("""COMPUTED_VALUE"""),47.0)</f>
        <v>47</v>
      </c>
      <c r="G53" s="2">
        <f>IFERROR(__xludf.DUMMYFUNCTION("""COMPUTED_VALUE"""),69.0)</f>
        <v>69</v>
      </c>
      <c r="H53" s="7">
        <f>IFERROR(__xludf.DUMMYFUNCTION("""COMPUTED_VALUE"""),5.34)</f>
        <v>5.34</v>
      </c>
      <c r="I53" s="2">
        <f>IFERROR(__xludf.DUMMYFUNCTION("""COMPUTED_VALUE"""),10.23)</f>
        <v>10.23</v>
      </c>
      <c r="J53" s="4">
        <f>IFERROR(__xludf.DUMMYFUNCTION("""COMPUTED_VALUE"""),7.95)</f>
        <v>7.95</v>
      </c>
      <c r="K53" s="8">
        <f>IFERROR(__xludf.DUMMYFUNCTION("""COMPUTED_VALUE"""),0.0115)</f>
        <v>0.0115</v>
      </c>
    </row>
    <row r="54" ht="15.75" customHeight="1">
      <c r="C54" s="2" t="str">
        <f>IFERROR(__xludf.DUMMYFUNCTION("""COMPUTED_VALUE"""),"Dinamarca [+]")</f>
        <v>Dinamarca [+]</v>
      </c>
      <c r="D54" s="5">
        <f>IFERROR(__xludf.DUMMYFUNCTION("""COMPUTED_VALUE"""),2012.0)</f>
        <v>2012</v>
      </c>
      <c r="E54" s="2">
        <f>IFERROR(__xludf.DUMMYFUNCTION("""COMPUTED_VALUE"""),166.0)</f>
        <v>166</v>
      </c>
      <c r="F54" s="6">
        <f>IFERROR(__xludf.DUMMYFUNCTION("""COMPUTED_VALUE"""),493.0)</f>
        <v>493</v>
      </c>
      <c r="G54" s="2">
        <f>IFERROR(__xludf.DUMMYFUNCTION("""COMPUTED_VALUE"""),659.0)</f>
        <v>659</v>
      </c>
      <c r="H54" s="7">
        <f>IFERROR(__xludf.DUMMYFUNCTION("""COMPUTED_VALUE"""),5.92)</f>
        <v>5.92</v>
      </c>
      <c r="I54" s="2">
        <f>IFERROR(__xludf.DUMMYFUNCTION("""COMPUTED_VALUE"""),17.78)</f>
        <v>17.78</v>
      </c>
      <c r="J54" s="4">
        <f>IFERROR(__xludf.DUMMYFUNCTION("""COMPUTED_VALUE"""),11.82)</f>
        <v>11.82</v>
      </c>
      <c r="K54" s="8">
        <f>IFERROR(__xludf.DUMMYFUNCTION("""COMPUTED_VALUE"""),0.1026)</f>
        <v>0.1026</v>
      </c>
    </row>
    <row r="55" ht="15.75" customHeight="1">
      <c r="C55" s="2" t="str">
        <f>IFERROR(__xludf.DUMMYFUNCTION("""COMPUTED_VALUE"""),"República Dominicana [+]")</f>
        <v>República Dominicana [+]</v>
      </c>
      <c r="D55" s="2">
        <f>IFERROR(__xludf.DUMMYFUNCTION("""COMPUTED_VALUE"""),2012.0)</f>
        <v>2012</v>
      </c>
      <c r="E55" s="2">
        <f>IFERROR(__xludf.DUMMYFUNCTION("""COMPUTED_VALUE"""),155.0)</f>
        <v>155</v>
      </c>
      <c r="F55" s="2">
        <f>IFERROR(__xludf.DUMMYFUNCTION("""COMPUTED_VALUE"""),740.0)</f>
        <v>740</v>
      </c>
      <c r="G55" s="2">
        <f>IFERROR(__xludf.DUMMYFUNCTION("""COMPUTED_VALUE"""),895.0)</f>
        <v>895</v>
      </c>
      <c r="H55" s="7">
        <f>IFERROR(__xludf.DUMMYFUNCTION("""COMPUTED_VALUE"""),3.13)</f>
        <v>3.13</v>
      </c>
      <c r="I55" s="2">
        <f>IFERROR(__xludf.DUMMYFUNCTION("""COMPUTED_VALUE"""),14.86)</f>
        <v>14.86</v>
      </c>
      <c r="J55" s="4">
        <f>IFERROR(__xludf.DUMMYFUNCTION("""COMPUTED_VALUE"""),9.24)</f>
        <v>9.24</v>
      </c>
      <c r="K55" s="8">
        <f>IFERROR(__xludf.DUMMYFUNCTION("""COMPUTED_VALUE"""),0.4667)</f>
        <v>0.4667</v>
      </c>
    </row>
    <row r="56" ht="15.75" customHeight="1">
      <c r="C56" s="2" t="str">
        <f>IFERROR(__xludf.DUMMYFUNCTION("""COMPUTED_VALUE"""),"Argelia [+]")</f>
        <v>Argelia [+]</v>
      </c>
      <c r="D56" s="5">
        <f>IFERROR(__xludf.DUMMYFUNCTION("""COMPUTED_VALUE"""),2012.0)</f>
        <v>2012</v>
      </c>
      <c r="E56" s="2">
        <f>IFERROR(__xludf.DUMMYFUNCTION("""COMPUTED_VALUE"""),231.0)</f>
        <v>231</v>
      </c>
      <c r="F56" s="6">
        <f>IFERROR(__xludf.DUMMYFUNCTION("""COMPUTED_VALUE"""),974.0)</f>
        <v>974</v>
      </c>
      <c r="G56" s="6">
        <f>IFERROR(__xludf.DUMMYFUNCTION("""COMPUTED_VALUE"""),1206.0)</f>
        <v>1206</v>
      </c>
      <c r="H56" s="7">
        <f>IFERROR(__xludf.DUMMYFUNCTION("""COMPUTED_VALUE"""),1.25)</f>
        <v>1.25</v>
      </c>
      <c r="I56" s="2">
        <f>IFERROR(__xludf.DUMMYFUNCTION("""COMPUTED_VALUE"""),5.16)</f>
        <v>5.16</v>
      </c>
      <c r="J56" s="4">
        <f>IFERROR(__xludf.DUMMYFUNCTION("""COMPUTED_VALUE"""),3.22)</f>
        <v>3.22</v>
      </c>
      <c r="K56" s="8">
        <f>IFERROR(__xludf.DUMMYFUNCTION("""COMPUTED_VALUE"""),-0.0153)</f>
        <v>-0.0153</v>
      </c>
    </row>
    <row r="57" ht="15.75" customHeight="1">
      <c r="C57" s="2" t="str">
        <f>IFERROR(__xludf.DUMMYFUNCTION("""COMPUTED_VALUE"""),"Ecuador [+]")</f>
        <v>Ecuador [+]</v>
      </c>
      <c r="D57" s="2">
        <f>IFERROR(__xludf.DUMMYFUNCTION("""COMPUTED_VALUE"""),2012.0)</f>
        <v>2012</v>
      </c>
      <c r="E57" s="2">
        <f>IFERROR(__xludf.DUMMYFUNCTION("""COMPUTED_VALUE"""),365.0)</f>
        <v>365</v>
      </c>
      <c r="F57" s="6">
        <f>IFERROR(__xludf.DUMMYFUNCTION("""COMPUTED_VALUE"""),1062.0)</f>
        <v>1062</v>
      </c>
      <c r="G57" s="6">
        <f>IFERROR(__xludf.DUMMYFUNCTION("""COMPUTED_VALUE"""),1427.0)</f>
        <v>1427</v>
      </c>
      <c r="H57" s="7">
        <f>IFERROR(__xludf.DUMMYFUNCTION("""COMPUTED_VALUE"""),4.72)</f>
        <v>4.72</v>
      </c>
      <c r="I57" s="2">
        <f>IFERROR(__xludf.DUMMYFUNCTION("""COMPUTED_VALUE"""),13.71)</f>
        <v>13.71</v>
      </c>
      <c r="J57" s="4">
        <f>IFERROR(__xludf.DUMMYFUNCTION("""COMPUTED_VALUE"""),9.19)</f>
        <v>9.19</v>
      </c>
      <c r="K57" s="8">
        <f>IFERROR(__xludf.DUMMYFUNCTION("""COMPUTED_VALUE"""),-0.0022)</f>
        <v>-0.0022</v>
      </c>
    </row>
    <row r="58" ht="15.75" customHeight="1">
      <c r="C58" s="2" t="str">
        <f>IFERROR(__xludf.DUMMYFUNCTION("""COMPUTED_VALUE"""),"Estonia [+]")</f>
        <v>Estonia [+]</v>
      </c>
      <c r="D58" s="5">
        <f>IFERROR(__xludf.DUMMYFUNCTION("""COMPUTED_VALUE"""),2012.0)</f>
        <v>2012</v>
      </c>
      <c r="E58" s="2">
        <f>IFERROR(__xludf.DUMMYFUNCTION("""COMPUTED_VALUE"""),47.0)</f>
        <v>47</v>
      </c>
      <c r="F58" s="6">
        <f>IFERROR(__xludf.DUMMYFUNCTION("""COMPUTED_VALUE"""),192.0)</f>
        <v>192</v>
      </c>
      <c r="G58" s="2">
        <f>IFERROR(__xludf.DUMMYFUNCTION("""COMPUTED_VALUE"""),239.0)</f>
        <v>239</v>
      </c>
      <c r="H58" s="7">
        <f>IFERROR(__xludf.DUMMYFUNCTION("""COMPUTED_VALUE"""),6.8)</f>
        <v>6.8</v>
      </c>
      <c r="I58" s="2">
        <f>IFERROR(__xludf.DUMMYFUNCTION("""COMPUTED_VALUE"""),31.43)</f>
        <v>31.43</v>
      </c>
      <c r="J58" s="4">
        <f>IFERROR(__xludf.DUMMYFUNCTION("""COMPUTED_VALUE"""),18.3)</f>
        <v>18.3</v>
      </c>
      <c r="K58" s="8">
        <f>IFERROR(__xludf.DUMMYFUNCTION("""COMPUTED_VALUE"""),0.1193)</f>
        <v>0.1193</v>
      </c>
    </row>
    <row r="59" ht="15.75" customHeight="1">
      <c r="C59" s="2" t="str">
        <f>IFERROR(__xludf.DUMMYFUNCTION("""COMPUTED_VALUE"""),"Egipto [+]")</f>
        <v>Egipto [+]</v>
      </c>
      <c r="D59" s="5">
        <f>IFERROR(__xludf.DUMMYFUNCTION("""COMPUTED_VALUE"""),2012.0)</f>
        <v>2012</v>
      </c>
      <c r="E59" s="2">
        <f>IFERROR(__xludf.DUMMYFUNCTION("""COMPUTED_VALUE"""),637.0)</f>
        <v>637</v>
      </c>
      <c r="F59" s="6">
        <f>IFERROR(__xludf.DUMMYFUNCTION("""COMPUTED_VALUE"""),1585.0)</f>
        <v>1585</v>
      </c>
      <c r="G59" s="6">
        <f>IFERROR(__xludf.DUMMYFUNCTION("""COMPUTED_VALUE"""),2222.0)</f>
        <v>2222</v>
      </c>
      <c r="H59" s="7">
        <f>IFERROR(__xludf.DUMMYFUNCTION("""COMPUTED_VALUE"""),1.49)</f>
        <v>1.49</v>
      </c>
      <c r="I59" s="2">
        <f>IFERROR(__xludf.DUMMYFUNCTION("""COMPUTED_VALUE"""),3.63)</f>
        <v>3.63</v>
      </c>
      <c r="J59" s="4">
        <f>IFERROR(__xludf.DUMMYFUNCTION("""COMPUTED_VALUE"""),2.69)</f>
        <v>2.69</v>
      </c>
      <c r="K59" s="4">
        <f>IFERROR(__xludf.DUMMYFUNCTION("""COMPUTED_VALUE"""),0.0)</f>
        <v>0</v>
      </c>
    </row>
    <row r="60" ht="15.75" customHeight="1">
      <c r="C60" s="2" t="str">
        <f>IFERROR(__xludf.DUMMYFUNCTION("""COMPUTED_VALUE"""),"Eritrea [+]")</f>
        <v>Eritrea [+]</v>
      </c>
      <c r="D60" s="2">
        <f>IFERROR(__xludf.DUMMYFUNCTION("""COMPUTED_VALUE"""),2012.0)</f>
        <v>2012</v>
      </c>
      <c r="E60" s="2">
        <f>IFERROR(__xludf.DUMMYFUNCTION("""COMPUTED_VALUE"""),77.0)</f>
        <v>77</v>
      </c>
      <c r="F60" s="2">
        <f>IFERROR(__xludf.DUMMYFUNCTION("""COMPUTED_VALUE"""),263.0)</f>
        <v>263</v>
      </c>
      <c r="G60" s="2">
        <f>IFERROR(__xludf.DUMMYFUNCTION("""COMPUTED_VALUE"""),339.0)</f>
        <v>339</v>
      </c>
      <c r="H60" s="7">
        <f>IFERROR(__xludf.DUMMYFUNCTION("""COMPUTED_VALUE"""),3.13)</f>
        <v>3.13</v>
      </c>
      <c r="I60" s="2">
        <f>IFERROR(__xludf.DUMMYFUNCTION("""COMPUTED_VALUE"""),10.7)</f>
        <v>10.7</v>
      </c>
      <c r="J60" s="4">
        <f>IFERROR(__xludf.DUMMYFUNCTION("""COMPUTED_VALUE"""),6.92)</f>
        <v>6.92</v>
      </c>
      <c r="K60" s="8">
        <f>IFERROR(__xludf.DUMMYFUNCTION("""COMPUTED_VALUE"""),-0.361)</f>
        <v>-0.361</v>
      </c>
    </row>
    <row r="61" ht="15.75" customHeight="1">
      <c r="C61" s="2" t="str">
        <f>IFERROR(__xludf.DUMMYFUNCTION("""COMPUTED_VALUE"""),"Etiopía [+]")</f>
        <v>Etiopía [+]</v>
      </c>
      <c r="D61" s="2">
        <f>IFERROR(__xludf.DUMMYFUNCTION("""COMPUTED_VALUE"""),2012.0)</f>
        <v>2012</v>
      </c>
      <c r="E61" s="6">
        <f>IFERROR(__xludf.DUMMYFUNCTION("""COMPUTED_VALUE"""),1680.0)</f>
        <v>1680</v>
      </c>
      <c r="F61" s="6">
        <f>IFERROR(__xludf.DUMMYFUNCTION("""COMPUTED_VALUE"""),5838.0)</f>
        <v>5838</v>
      </c>
      <c r="G61" s="6">
        <f>IFERROR(__xludf.DUMMYFUNCTION("""COMPUTED_VALUE"""),7518.0)</f>
        <v>7518</v>
      </c>
      <c r="H61" s="7">
        <f>IFERROR(__xludf.DUMMYFUNCTION("""COMPUTED_VALUE"""),3.62)</f>
        <v>3.62</v>
      </c>
      <c r="I61" s="2">
        <f>IFERROR(__xludf.DUMMYFUNCTION("""COMPUTED_VALUE"""),12.61)</f>
        <v>12.61</v>
      </c>
      <c r="J61" s="4">
        <f>IFERROR(__xludf.DUMMYFUNCTION("""COMPUTED_VALUE"""),8.78)</f>
        <v>8.78</v>
      </c>
      <c r="K61" s="8">
        <f>IFERROR(__xludf.DUMMYFUNCTION("""COMPUTED_VALUE"""),0.0127)</f>
        <v>0.0127</v>
      </c>
    </row>
    <row r="62" ht="15.75" customHeight="1">
      <c r="C62" s="2" t="str">
        <f>IFERROR(__xludf.DUMMYFUNCTION("""COMPUTED_VALUE"""),"Finlandia [+]")</f>
        <v>Finlandia [+]</v>
      </c>
      <c r="D62" s="2">
        <f>IFERROR(__xludf.DUMMYFUNCTION("""COMPUTED_VALUE"""),2012.0)</f>
        <v>2012</v>
      </c>
      <c r="E62" s="2">
        <f>IFERROR(__xludf.DUMMYFUNCTION("""COMPUTED_VALUE"""),219.0)</f>
        <v>219</v>
      </c>
      <c r="F62" s="2">
        <f>IFERROR(__xludf.DUMMYFUNCTION("""COMPUTED_VALUE"""),656.0)</f>
        <v>656</v>
      </c>
      <c r="G62" s="2">
        <f>IFERROR(__xludf.DUMMYFUNCTION("""COMPUTED_VALUE"""),875.0)</f>
        <v>875</v>
      </c>
      <c r="H62" s="7">
        <f>IFERROR(__xludf.DUMMYFUNCTION("""COMPUTED_VALUE"""),7.91)</f>
        <v>7.91</v>
      </c>
      <c r="I62" s="2">
        <f>IFERROR(__xludf.DUMMYFUNCTION("""COMPUTED_VALUE"""),24.63)</f>
        <v>24.63</v>
      </c>
      <c r="J62" s="4">
        <f>IFERROR(__xludf.DUMMYFUNCTION("""COMPUTED_VALUE"""),16.12)</f>
        <v>16.12</v>
      </c>
      <c r="K62" s="8">
        <f>IFERROR(__xludf.DUMMYFUNCTION("""COMPUTED_VALUE"""),-0.0445)</f>
        <v>-0.0445</v>
      </c>
    </row>
    <row r="63" ht="15.75" customHeight="1">
      <c r="C63" s="2" t="str">
        <f>IFERROR(__xludf.DUMMYFUNCTION("""COMPUTED_VALUE"""),"Fiyi [+]")</f>
        <v>Fiyi [+]</v>
      </c>
      <c r="D63" s="2">
        <f>IFERROR(__xludf.DUMMYFUNCTION("""COMPUTED_VALUE"""),2012.0)</f>
        <v>2012</v>
      </c>
      <c r="E63" s="2">
        <f>IFERROR(__xludf.DUMMYFUNCTION("""COMPUTED_VALUE"""),19.0)</f>
        <v>19</v>
      </c>
      <c r="F63" s="2">
        <f>IFERROR(__xludf.DUMMYFUNCTION("""COMPUTED_VALUE"""),59.0)</f>
        <v>59</v>
      </c>
      <c r="G63" s="2">
        <f>IFERROR(__xludf.DUMMYFUNCTION("""COMPUTED_VALUE"""),79.0)</f>
        <v>79</v>
      </c>
      <c r="H63" s="7">
        <f>IFERROR(__xludf.DUMMYFUNCTION("""COMPUTED_VALUE"""),4.52)</f>
        <v>4.52</v>
      </c>
      <c r="I63" s="2">
        <f>IFERROR(__xludf.DUMMYFUNCTION("""COMPUTED_VALUE"""),13.49)</f>
        <v>13.49</v>
      </c>
      <c r="J63" s="4">
        <f>IFERROR(__xludf.DUMMYFUNCTION("""COMPUTED_VALUE"""),9.17)</f>
        <v>9.17</v>
      </c>
      <c r="K63" s="8">
        <f>IFERROR(__xludf.DUMMYFUNCTION("""COMPUTED_VALUE"""),-0.0065)</f>
        <v>-0.0065</v>
      </c>
    </row>
    <row r="64" ht="15.75" customHeight="1">
      <c r="C64" s="2" t="str">
        <f>IFERROR(__xludf.DUMMYFUNCTION("""COMPUTED_VALUE"""),"Estados Federados de Micronesia [+]")</f>
        <v>Estados Federados de Micronesia [+]</v>
      </c>
      <c r="D64" s="2">
        <f>IFERROR(__xludf.DUMMYFUNCTION("""COMPUTED_VALUE"""),2012.0)</f>
        <v>2012</v>
      </c>
      <c r="E64" s="2">
        <f>IFERROR(__xludf.DUMMYFUNCTION("""COMPUTED_VALUE"""),3.0)</f>
        <v>3</v>
      </c>
      <c r="F64" s="2">
        <f>IFERROR(__xludf.DUMMYFUNCTION("""COMPUTED_VALUE"""),7.0)</f>
        <v>7</v>
      </c>
      <c r="G64" s="2">
        <f>IFERROR(__xludf.DUMMYFUNCTION("""COMPUTED_VALUE"""),10.0)</f>
        <v>10</v>
      </c>
      <c r="H64" s="7">
        <f>IFERROR(__xludf.DUMMYFUNCTION("""COMPUTED_VALUE"""),6.53)</f>
        <v>6.53</v>
      </c>
      <c r="I64" s="2">
        <f>IFERROR(__xludf.DUMMYFUNCTION("""COMPUTED_VALUE"""),13.11)</f>
        <v>13.11</v>
      </c>
      <c r="J64" s="4">
        <f>IFERROR(__xludf.DUMMYFUNCTION("""COMPUTED_VALUE"""),10.02)</f>
        <v>10.02</v>
      </c>
      <c r="K64" s="8">
        <f>IFERROR(__xludf.DUMMYFUNCTION("""COMPUTED_VALUE"""),0.003)</f>
        <v>0.003</v>
      </c>
    </row>
    <row r="65" ht="15.75" customHeight="1">
      <c r="C65" s="2" t="str">
        <f>IFERROR(__xludf.DUMMYFUNCTION("""COMPUTED_VALUE"""),"Gabón [+]")</f>
        <v>Gabón [+]</v>
      </c>
      <c r="D65" s="2">
        <f>IFERROR(__xludf.DUMMYFUNCTION("""COMPUTED_VALUE"""),2012.0)</f>
        <v>2012</v>
      </c>
      <c r="E65" s="2">
        <f>IFERROR(__xludf.DUMMYFUNCTION("""COMPUTED_VALUE"""),51.0)</f>
        <v>51</v>
      </c>
      <c r="F65" s="2">
        <f>IFERROR(__xludf.DUMMYFUNCTION("""COMPUTED_VALUE"""),140.0)</f>
        <v>140</v>
      </c>
      <c r="G65" s="2">
        <f>IFERROR(__xludf.DUMMYFUNCTION("""COMPUTED_VALUE"""),191.0)</f>
        <v>191</v>
      </c>
      <c r="H65" s="7">
        <f>IFERROR(__xludf.DUMMYFUNCTION("""COMPUTED_VALUE"""),5.93)</f>
        <v>5.93</v>
      </c>
      <c r="I65" s="2">
        <f>IFERROR(__xludf.DUMMYFUNCTION("""COMPUTED_VALUE"""),15.75)</f>
        <v>15.75</v>
      </c>
      <c r="J65" s="4">
        <f>IFERROR(__xludf.DUMMYFUNCTION("""COMPUTED_VALUE"""),11.01)</f>
        <v>11.01</v>
      </c>
      <c r="K65" s="8">
        <f>IFERROR(__xludf.DUMMYFUNCTION("""COMPUTED_VALUE"""),0.0223)</f>
        <v>0.0223</v>
      </c>
    </row>
    <row r="66" ht="15.75" customHeight="1">
      <c r="C66" s="2" t="str">
        <f>IFERROR(__xludf.DUMMYFUNCTION("""COMPUTED_VALUE"""),"Granada [+]")</f>
        <v>Granada [+]</v>
      </c>
      <c r="D66" s="2">
        <f>IFERROR(__xludf.DUMMYFUNCTION("""COMPUTED_VALUE"""),2012.0)</f>
        <v>2012</v>
      </c>
      <c r="E66" s="2">
        <f>IFERROR(__xludf.DUMMYFUNCTION("""COMPUTED_VALUE"""),0.0)</f>
        <v>0</v>
      </c>
      <c r="F66" s="6">
        <f>IFERROR(__xludf.DUMMYFUNCTION("""COMPUTED_VALUE"""),1.0)</f>
        <v>1</v>
      </c>
      <c r="G66" s="2">
        <f>IFERROR(__xludf.DUMMYFUNCTION("""COMPUTED_VALUE"""),1.0)</f>
        <v>1</v>
      </c>
      <c r="H66" s="7">
        <f>IFERROR(__xludf.DUMMYFUNCTION("""COMPUTED_VALUE"""),0.41)</f>
        <v>0.41</v>
      </c>
      <c r="I66" s="2">
        <f>IFERROR(__xludf.DUMMYFUNCTION("""COMPUTED_VALUE"""),2.21)</f>
        <v>2.21</v>
      </c>
      <c r="J66" s="4">
        <f>IFERROR(__xludf.DUMMYFUNCTION("""COMPUTED_VALUE"""),1.33)</f>
        <v>1.33</v>
      </c>
      <c r="K66" s="8">
        <f>IFERROR(__xludf.DUMMYFUNCTION("""COMPUTED_VALUE"""),0.177)</f>
        <v>0.177</v>
      </c>
    </row>
    <row r="67" ht="15.75" customHeight="1">
      <c r="C67" s="2" t="str">
        <f>IFERROR(__xludf.DUMMYFUNCTION("""COMPUTED_VALUE"""),"Georgia [+]")</f>
        <v>Georgia [+]</v>
      </c>
      <c r="D67" s="2">
        <f>IFERROR(__xludf.DUMMYFUNCTION("""COMPUTED_VALUE"""),2012.0)</f>
        <v>2012</v>
      </c>
      <c r="E67" s="2">
        <f>IFERROR(__xludf.DUMMYFUNCTION("""COMPUTED_VALUE"""),45.0)</f>
        <v>45</v>
      </c>
      <c r="F67" s="2">
        <f>IFERROR(__xludf.DUMMYFUNCTION("""COMPUTED_VALUE"""),217.0)</f>
        <v>217</v>
      </c>
      <c r="G67" s="2">
        <f>IFERROR(__xludf.DUMMYFUNCTION("""COMPUTED_VALUE"""),262.0)</f>
        <v>262</v>
      </c>
      <c r="H67" s="7">
        <f>IFERROR(__xludf.DUMMYFUNCTION("""COMPUTED_VALUE"""),2.32)</f>
        <v>2.32</v>
      </c>
      <c r="I67" s="2">
        <f>IFERROR(__xludf.DUMMYFUNCTION("""COMPUTED_VALUE"""),12.21)</f>
        <v>12.21</v>
      </c>
      <c r="J67" s="4">
        <f>IFERROR(__xludf.DUMMYFUNCTION("""COMPUTED_VALUE"""),7.02)</f>
        <v>7.02</v>
      </c>
      <c r="K67" s="8">
        <f>IFERROR(__xludf.DUMMYFUNCTION("""COMPUTED_VALUE"""),0.2316)</f>
        <v>0.2316</v>
      </c>
    </row>
    <row r="68" ht="15.75" customHeight="1">
      <c r="C68" s="2" t="str">
        <f>IFERROR(__xludf.DUMMYFUNCTION("""COMPUTED_VALUE"""),"Ghana [+]")</f>
        <v>Ghana [+]</v>
      </c>
      <c r="D68" s="2">
        <f>IFERROR(__xludf.DUMMYFUNCTION("""COMPUTED_VALUE"""),2012.0)</f>
        <v>2012</v>
      </c>
      <c r="E68" s="2">
        <f>IFERROR(__xludf.DUMMYFUNCTION("""COMPUTED_VALUE"""),382.0)</f>
        <v>382</v>
      </c>
      <c r="F68" s="6">
        <f>IFERROR(__xludf.DUMMYFUNCTION("""COMPUTED_VALUE"""),1336.0)</f>
        <v>1336</v>
      </c>
      <c r="G68" s="6">
        <f>IFERROR(__xludf.DUMMYFUNCTION("""COMPUTED_VALUE"""),1718.0)</f>
        <v>1718</v>
      </c>
      <c r="H68" s="7">
        <f>IFERROR(__xludf.DUMMYFUNCTION("""COMPUTED_VALUE"""),2.98)</f>
        <v>2.98</v>
      </c>
      <c r="I68" s="2">
        <f>IFERROR(__xludf.DUMMYFUNCTION("""COMPUTED_VALUE"""),10.15)</f>
        <v>10.15</v>
      </c>
      <c r="J68" s="4">
        <f>IFERROR(__xludf.DUMMYFUNCTION("""COMPUTED_VALUE"""),6.64)</f>
        <v>6.64</v>
      </c>
      <c r="K68" s="8">
        <f>IFERROR(__xludf.DUMMYFUNCTION("""COMPUTED_VALUE"""),0.0247)</f>
        <v>0.0247</v>
      </c>
    </row>
    <row r="69" ht="15.75" customHeight="1">
      <c r="C69" s="2" t="str">
        <f>IFERROR(__xludf.DUMMYFUNCTION("""COMPUTED_VALUE"""),"Gambia [+]")</f>
        <v>Gambia [+]</v>
      </c>
      <c r="D69" s="5">
        <f>IFERROR(__xludf.DUMMYFUNCTION("""COMPUTED_VALUE"""),2012.0)</f>
        <v>2012</v>
      </c>
      <c r="E69" s="2">
        <f>IFERROR(__xludf.DUMMYFUNCTION("""COMPUTED_VALUE"""),38.0)</f>
        <v>38</v>
      </c>
      <c r="F69" s="6">
        <f>IFERROR(__xludf.DUMMYFUNCTION("""COMPUTED_VALUE"""),78.0)</f>
        <v>78</v>
      </c>
      <c r="G69" s="2">
        <f>IFERROR(__xludf.DUMMYFUNCTION("""COMPUTED_VALUE"""),115.0)</f>
        <v>115</v>
      </c>
      <c r="H69" s="7">
        <f>IFERROR(__xludf.DUMMYFUNCTION("""COMPUTED_VALUE"""),3.91)</f>
        <v>3.91</v>
      </c>
      <c r="I69" s="2">
        <f>IFERROR(__xludf.DUMMYFUNCTION("""COMPUTED_VALUE"""),8.24)</f>
        <v>8.24</v>
      </c>
      <c r="J69" s="4">
        <f>IFERROR(__xludf.DUMMYFUNCTION("""COMPUTED_VALUE"""),6.06)</f>
        <v>6.06</v>
      </c>
      <c r="K69" s="8">
        <f>IFERROR(__xludf.DUMMYFUNCTION("""COMPUTED_VALUE"""),0.005)</f>
        <v>0.005</v>
      </c>
    </row>
    <row r="70" ht="15.75" customHeight="1">
      <c r="C70" s="2" t="str">
        <f>IFERROR(__xludf.DUMMYFUNCTION("""COMPUTED_VALUE"""),"Guinea [+]")</f>
        <v>Guinea [+]</v>
      </c>
      <c r="D70" s="5">
        <f>IFERROR(__xludf.DUMMYFUNCTION("""COMPUTED_VALUE"""),2012.0)</f>
        <v>2012</v>
      </c>
      <c r="E70" s="2">
        <f>IFERROR(__xludf.DUMMYFUNCTION("""COMPUTED_VALUE"""),286.0)</f>
        <v>286</v>
      </c>
      <c r="F70" s="6">
        <f>IFERROR(__xludf.DUMMYFUNCTION("""COMPUTED_VALUE"""),621.0)</f>
        <v>621</v>
      </c>
      <c r="G70" s="2">
        <f>IFERROR(__xludf.DUMMYFUNCTION("""COMPUTED_VALUE"""),907.0)</f>
        <v>907</v>
      </c>
      <c r="H70" s="7">
        <f>IFERROR(__xludf.DUMMYFUNCTION("""COMPUTED_VALUE"""),5.14)</f>
        <v>5.14</v>
      </c>
      <c r="I70" s="2">
        <f>IFERROR(__xludf.DUMMYFUNCTION("""COMPUTED_VALUE"""),12.21)</f>
        <v>12.21</v>
      </c>
      <c r="J70" s="4">
        <f>IFERROR(__xludf.DUMMYFUNCTION("""COMPUTED_VALUE"""),7.92)</f>
        <v>7.92</v>
      </c>
      <c r="K70" s="4">
        <f>IFERROR(__xludf.DUMMYFUNCTION("""COMPUTED_VALUE"""),0.0)</f>
        <v>0</v>
      </c>
    </row>
    <row r="71" ht="15.75" customHeight="1">
      <c r="C71" s="2" t="str">
        <f>IFERROR(__xludf.DUMMYFUNCTION("""COMPUTED_VALUE"""),"Guinea Ecuatorial [+]")</f>
        <v>Guinea Ecuatorial [+]</v>
      </c>
      <c r="D71" s="5">
        <f>IFERROR(__xludf.DUMMYFUNCTION("""COMPUTED_VALUE"""),2012.0)</f>
        <v>2012</v>
      </c>
      <c r="E71" s="2">
        <f>IFERROR(__xludf.DUMMYFUNCTION("""COMPUTED_VALUE"""),43.0)</f>
        <v>43</v>
      </c>
      <c r="F71" s="6">
        <f>IFERROR(__xludf.DUMMYFUNCTION("""COMPUTED_VALUE"""),134.0)</f>
        <v>134</v>
      </c>
      <c r="G71" s="2">
        <f>IFERROR(__xludf.DUMMYFUNCTION("""COMPUTED_VALUE"""),177.0)</f>
        <v>177</v>
      </c>
      <c r="H71" s="7">
        <f>IFERROR(__xludf.DUMMYFUNCTION("""COMPUTED_VALUE"""),9.2)</f>
        <v>9.2</v>
      </c>
      <c r="I71" s="2">
        <f>IFERROR(__xludf.DUMMYFUNCTION("""COMPUTED_VALUE"""),23.71)</f>
        <v>23.71</v>
      </c>
      <c r="J71" s="4">
        <f>IFERROR(__xludf.DUMMYFUNCTION("""COMPUTED_VALUE"""),17.03)</f>
        <v>17.03</v>
      </c>
      <c r="K71" s="8">
        <f>IFERROR(__xludf.DUMMYFUNCTION("""COMPUTED_VALUE"""),-0.0257)</f>
        <v>-0.0257</v>
      </c>
    </row>
    <row r="72" ht="15.75" customHeight="1">
      <c r="C72" s="2" t="str">
        <f>IFERROR(__xludf.DUMMYFUNCTION("""COMPUTED_VALUE"""),"Grecia [+]")</f>
        <v>Grecia [+]</v>
      </c>
      <c r="D72" s="2">
        <f>IFERROR(__xludf.DUMMYFUNCTION("""COMPUTED_VALUE"""),2012.0)</f>
        <v>2012</v>
      </c>
      <c r="E72" s="2">
        <f>IFERROR(__xludf.DUMMYFUNCTION("""COMPUTED_VALUE"""),91.0)</f>
        <v>91</v>
      </c>
      <c r="F72" s="2">
        <f>IFERROR(__xludf.DUMMYFUNCTION("""COMPUTED_VALUE"""),417.0)</f>
        <v>417</v>
      </c>
      <c r="G72" s="2">
        <f>IFERROR(__xludf.DUMMYFUNCTION("""COMPUTED_VALUE"""),508.0)</f>
        <v>508</v>
      </c>
      <c r="H72" s="7">
        <f>IFERROR(__xludf.DUMMYFUNCTION("""COMPUTED_VALUE"""),1.61)</f>
        <v>1.61</v>
      </c>
      <c r="I72" s="2">
        <f>IFERROR(__xludf.DUMMYFUNCTION("""COMPUTED_VALUE"""),7.6)</f>
        <v>7.6</v>
      </c>
      <c r="J72" s="4">
        <f>IFERROR(__xludf.DUMMYFUNCTION("""COMPUTED_VALUE"""),4.54)</f>
        <v>4.54</v>
      </c>
      <c r="K72" s="8">
        <f>IFERROR(__xludf.DUMMYFUNCTION("""COMPUTED_VALUE"""),0.0583)</f>
        <v>0.0583</v>
      </c>
    </row>
    <row r="73" ht="15.75" customHeight="1">
      <c r="C73" s="2" t="str">
        <f>IFERROR(__xludf.DUMMYFUNCTION("""COMPUTED_VALUE"""),"Guatemala [+]")</f>
        <v>Guatemala [+]</v>
      </c>
      <c r="D73" s="2">
        <f>IFERROR(__xludf.DUMMYFUNCTION("""COMPUTED_VALUE"""),2012.0)</f>
        <v>2012</v>
      </c>
      <c r="E73" s="2">
        <f>IFERROR(__xludf.DUMMYFUNCTION("""COMPUTED_VALUE"""),117.0)</f>
        <v>117</v>
      </c>
      <c r="F73" s="2">
        <f>IFERROR(__xludf.DUMMYFUNCTION("""COMPUTED_VALUE"""),295.0)</f>
        <v>295</v>
      </c>
      <c r="G73" s="2">
        <f>IFERROR(__xludf.DUMMYFUNCTION("""COMPUTED_VALUE"""),412.0)</f>
        <v>412</v>
      </c>
      <c r="H73" s="7">
        <f>IFERROR(__xludf.DUMMYFUNCTION("""COMPUTED_VALUE"""),1.56)</f>
        <v>1.56</v>
      </c>
      <c r="I73" s="2">
        <f>IFERROR(__xludf.DUMMYFUNCTION("""COMPUTED_VALUE"""),4.07)</f>
        <v>4.07</v>
      </c>
      <c r="J73" s="4">
        <f>IFERROR(__xludf.DUMMYFUNCTION("""COMPUTED_VALUE"""),2.7)</f>
        <v>2.7</v>
      </c>
      <c r="K73" s="8">
        <f>IFERROR(__xludf.DUMMYFUNCTION("""COMPUTED_VALUE"""),0.1203)</f>
        <v>0.1203</v>
      </c>
    </row>
    <row r="74" ht="15.75" customHeight="1">
      <c r="C74" s="2" t="str">
        <f>IFERROR(__xludf.DUMMYFUNCTION("""COMPUTED_VALUE"""),"Guinea-Bisáu [+]")</f>
        <v>Guinea-Bisáu [+]</v>
      </c>
      <c r="D74" s="2">
        <f>IFERROR(__xludf.DUMMYFUNCTION("""COMPUTED_VALUE"""),2012.0)</f>
        <v>2012</v>
      </c>
      <c r="E74" s="2">
        <f>IFERROR(__xludf.DUMMYFUNCTION("""COMPUTED_VALUE"""),33.0)</f>
        <v>33</v>
      </c>
      <c r="F74" s="2">
        <f>IFERROR(__xludf.DUMMYFUNCTION("""COMPUTED_VALUE"""),77.0)</f>
        <v>77</v>
      </c>
      <c r="G74" s="2">
        <f>IFERROR(__xludf.DUMMYFUNCTION("""COMPUTED_VALUE"""),110.0)</f>
        <v>110</v>
      </c>
      <c r="H74" s="7">
        <f>IFERROR(__xludf.DUMMYFUNCTION("""COMPUTED_VALUE"""),4.02)</f>
        <v>4.02</v>
      </c>
      <c r="I74" s="2">
        <f>IFERROR(__xludf.DUMMYFUNCTION("""COMPUTED_VALUE"""),9.86)</f>
        <v>9.86</v>
      </c>
      <c r="J74" s="4">
        <f>IFERROR(__xludf.DUMMYFUNCTION("""COMPUTED_VALUE"""),7.22)</f>
        <v>7.22</v>
      </c>
      <c r="K74" s="8">
        <f>IFERROR(__xludf.DUMMYFUNCTION("""COMPUTED_VALUE"""),-0.023)</f>
        <v>-0.023</v>
      </c>
    </row>
    <row r="75" ht="15.75" customHeight="1">
      <c r="C75" s="2" t="str">
        <f>IFERROR(__xludf.DUMMYFUNCTION("""COMPUTED_VALUE"""),"Guyana [+]")</f>
        <v>Guyana [+]</v>
      </c>
      <c r="D75" s="5">
        <f>IFERROR(__xludf.DUMMYFUNCTION("""COMPUTED_VALUE"""),2012.0)</f>
        <v>2012</v>
      </c>
      <c r="E75" s="2">
        <f>IFERROR(__xludf.DUMMYFUNCTION("""COMPUTED_VALUE"""),57.0)</f>
        <v>57</v>
      </c>
      <c r="F75" s="2">
        <f>IFERROR(__xludf.DUMMYFUNCTION("""COMPUTED_VALUE"""),152.0)</f>
        <v>152</v>
      </c>
      <c r="G75" s="2">
        <f>IFERROR(__xludf.DUMMYFUNCTION("""COMPUTED_VALUE"""),209.0)</f>
        <v>209</v>
      </c>
      <c r="H75" s="7">
        <f>IFERROR(__xludf.DUMMYFUNCTION("""COMPUTED_VALUE"""),14.96)</f>
        <v>14.96</v>
      </c>
      <c r="I75" s="2">
        <f>IFERROR(__xludf.DUMMYFUNCTION("""COMPUTED_VALUE"""),40.44)</f>
        <v>40.44</v>
      </c>
      <c r="J75" s="4">
        <f>IFERROR(__xludf.DUMMYFUNCTION("""COMPUTED_VALUE"""),27.53)</f>
        <v>27.53</v>
      </c>
      <c r="K75" s="8">
        <f>IFERROR(__xludf.DUMMYFUNCTION("""COMPUTED_VALUE"""),-0.0231)</f>
        <v>-0.0231</v>
      </c>
    </row>
    <row r="76" ht="15.75" customHeight="1">
      <c r="C76" s="2" t="str">
        <f>IFERROR(__xludf.DUMMYFUNCTION("""COMPUTED_VALUE"""),"Honduras [+]")</f>
        <v>Honduras [+]</v>
      </c>
      <c r="D76" s="2">
        <f>IFERROR(__xludf.DUMMYFUNCTION("""COMPUTED_VALUE"""),2012.0)</f>
        <v>2012</v>
      </c>
      <c r="E76" s="2">
        <f>IFERROR(__xludf.DUMMYFUNCTION("""COMPUTED_VALUE"""),98.0)</f>
        <v>98</v>
      </c>
      <c r="F76" s="2">
        <f>IFERROR(__xludf.DUMMYFUNCTION("""COMPUTED_VALUE"""),184.0)</f>
        <v>184</v>
      </c>
      <c r="G76" s="2">
        <f>IFERROR(__xludf.DUMMYFUNCTION("""COMPUTED_VALUE"""),282.0)</f>
        <v>282</v>
      </c>
      <c r="H76" s="7">
        <f>IFERROR(__xludf.DUMMYFUNCTION("""COMPUTED_VALUE"""),2.25)</f>
        <v>2.25</v>
      </c>
      <c r="I76" s="2">
        <f>IFERROR(__xludf.DUMMYFUNCTION("""COMPUTED_VALUE"""),4.28)</f>
        <v>4.28</v>
      </c>
      <c r="J76" s="4">
        <f>IFERROR(__xludf.DUMMYFUNCTION("""COMPUTED_VALUE"""),3.26)</f>
        <v>3.26</v>
      </c>
      <c r="K76" s="4">
        <f>IFERROR(__xludf.DUMMYFUNCTION("""COMPUTED_VALUE"""),0.0)</f>
        <v>0</v>
      </c>
    </row>
    <row r="77" ht="15.75" customHeight="1">
      <c r="C77" s="2" t="str">
        <f>IFERROR(__xludf.DUMMYFUNCTION("""COMPUTED_VALUE"""),"Croacia [+]")</f>
        <v>Croacia [+]</v>
      </c>
      <c r="D77" s="5">
        <f>IFERROR(__xludf.DUMMYFUNCTION("""COMPUTED_VALUE"""),2012.0)</f>
        <v>2012</v>
      </c>
      <c r="E77" s="2">
        <f>IFERROR(__xludf.DUMMYFUNCTION("""COMPUTED_VALUE"""),181.0)</f>
        <v>181</v>
      </c>
      <c r="F77" s="6">
        <f>IFERROR(__xludf.DUMMYFUNCTION("""COMPUTED_VALUE"""),599.0)</f>
        <v>599</v>
      </c>
      <c r="G77" s="2">
        <f>IFERROR(__xludf.DUMMYFUNCTION("""COMPUTED_VALUE"""),780.0)</f>
        <v>780</v>
      </c>
      <c r="H77" s="7">
        <f>IFERROR(__xludf.DUMMYFUNCTION("""COMPUTED_VALUE"""),8.15)</f>
        <v>8.15</v>
      </c>
      <c r="I77" s="2">
        <f>IFERROR(__xludf.DUMMYFUNCTION("""COMPUTED_VALUE"""),29.04)</f>
        <v>29.04</v>
      </c>
      <c r="J77" s="4">
        <f>IFERROR(__xludf.DUMMYFUNCTION("""COMPUTED_VALUE"""),18.22)</f>
        <v>18.22</v>
      </c>
      <c r="K77" s="8">
        <f>IFERROR(__xludf.DUMMYFUNCTION("""COMPUTED_VALUE"""),0.1083)</f>
        <v>0.1083</v>
      </c>
    </row>
    <row r="78" ht="15.75" customHeight="1">
      <c r="C78" s="2" t="str">
        <f>IFERROR(__xludf.DUMMYFUNCTION("""COMPUTED_VALUE"""),"Haití [+]")</f>
        <v>Haití [+]</v>
      </c>
      <c r="D78" s="2">
        <f>IFERROR(__xludf.DUMMYFUNCTION("""COMPUTED_VALUE"""),2012.0)</f>
        <v>2012</v>
      </c>
      <c r="E78" s="2">
        <f>IFERROR(__xludf.DUMMYFUNCTION("""COMPUTED_VALUE"""),309.0)</f>
        <v>309</v>
      </c>
      <c r="F78" s="2">
        <f>IFERROR(__xludf.DUMMYFUNCTION("""COMPUTED_VALUE"""),822.0)</f>
        <v>822</v>
      </c>
      <c r="G78" s="6">
        <f>IFERROR(__xludf.DUMMYFUNCTION("""COMPUTED_VALUE"""),1131.0)</f>
        <v>1131</v>
      </c>
      <c r="H78" s="7">
        <f>IFERROR(__xludf.DUMMYFUNCTION("""COMPUTED_VALUE"""),5.94)</f>
        <v>5.94</v>
      </c>
      <c r="I78" s="2">
        <f>IFERROR(__xludf.DUMMYFUNCTION("""COMPUTED_VALUE"""),16.25)</f>
        <v>16.25</v>
      </c>
      <c r="J78" s="4">
        <f>IFERROR(__xludf.DUMMYFUNCTION("""COMPUTED_VALUE"""),11.03)</f>
        <v>11.03</v>
      </c>
      <c r="K78" s="8">
        <f>IFERROR(__xludf.DUMMYFUNCTION("""COMPUTED_VALUE"""),0.0616)</f>
        <v>0.0616</v>
      </c>
    </row>
    <row r="79" ht="15.75" customHeight="1">
      <c r="C79" s="2" t="str">
        <f>IFERROR(__xludf.DUMMYFUNCTION("""COMPUTED_VALUE"""),"Hungría [+]")</f>
        <v>Hungría [+]</v>
      </c>
      <c r="D79" s="2">
        <f>IFERROR(__xludf.DUMMYFUNCTION("""COMPUTED_VALUE"""),2012.0)</f>
        <v>2012</v>
      </c>
      <c r="E79" s="2">
        <f>IFERROR(__xludf.DUMMYFUNCTION("""COMPUTED_VALUE"""),547.0)</f>
        <v>547</v>
      </c>
      <c r="F79" s="6">
        <f>IFERROR(__xludf.DUMMYFUNCTION("""COMPUTED_VALUE"""),1802.0)</f>
        <v>1802</v>
      </c>
      <c r="G79" s="6">
        <f>IFERROR(__xludf.DUMMYFUNCTION("""COMPUTED_VALUE"""),2349.0)</f>
        <v>2349</v>
      </c>
      <c r="H79" s="7">
        <f>IFERROR(__xludf.DUMMYFUNCTION("""COMPUTED_VALUE"""),10.54)</f>
        <v>10.54</v>
      </c>
      <c r="I79" s="2">
        <f>IFERROR(__xludf.DUMMYFUNCTION("""COMPUTED_VALUE"""),38.13)</f>
        <v>38.13</v>
      </c>
      <c r="J79" s="4">
        <f>IFERROR(__xludf.DUMMYFUNCTION("""COMPUTED_VALUE"""),23.67)</f>
        <v>23.67</v>
      </c>
      <c r="K79" s="8">
        <f>IFERROR(__xludf.DUMMYFUNCTION("""COMPUTED_VALUE"""),-0.0219)</f>
        <v>-0.0219</v>
      </c>
    </row>
    <row r="80" ht="15.75" customHeight="1">
      <c r="C80" s="2" t="str">
        <f>IFERROR(__xludf.DUMMYFUNCTION("""COMPUTED_VALUE"""),"Indonesia [+]")</f>
        <v>Indonesia [+]</v>
      </c>
      <c r="D80" s="2">
        <f>IFERROR(__xludf.DUMMYFUNCTION("""COMPUTED_VALUE"""),2012.0)</f>
        <v>2012</v>
      </c>
      <c r="E80" s="6">
        <f>IFERROR(__xludf.DUMMYFUNCTION("""COMPUTED_VALUE"""),2063.0)</f>
        <v>2063</v>
      </c>
      <c r="F80" s="6">
        <f>IFERROR(__xludf.DUMMYFUNCTION("""COMPUTED_VALUE"""),5307.0)</f>
        <v>5307</v>
      </c>
      <c r="G80" s="6">
        <f>IFERROR(__xludf.DUMMYFUNCTION("""COMPUTED_VALUE"""),7370.0)</f>
        <v>7370</v>
      </c>
      <c r="H80" s="7">
        <f>IFERROR(__xludf.DUMMYFUNCTION("""COMPUTED_VALUE"""),1.67)</f>
        <v>1.67</v>
      </c>
      <c r="I80" s="2">
        <f>IFERROR(__xludf.DUMMYFUNCTION("""COMPUTED_VALUE"""),4.24)</f>
        <v>4.24</v>
      </c>
      <c r="J80" s="4">
        <f>IFERROR(__xludf.DUMMYFUNCTION("""COMPUTED_VALUE"""),3.0)</f>
        <v>3</v>
      </c>
      <c r="K80" s="8">
        <f>IFERROR(__xludf.DUMMYFUNCTION("""COMPUTED_VALUE"""),-0.0132)</f>
        <v>-0.0132</v>
      </c>
    </row>
    <row r="81" ht="15.75" customHeight="1">
      <c r="C81" s="2" t="str">
        <f>IFERROR(__xludf.DUMMYFUNCTION("""COMPUTED_VALUE"""),"Irlanda [+]")</f>
        <v>Irlanda [+]</v>
      </c>
      <c r="D81" s="2">
        <f>IFERROR(__xludf.DUMMYFUNCTION("""COMPUTED_VALUE"""),2012.0)</f>
        <v>2012</v>
      </c>
      <c r="E81" s="2">
        <f>IFERROR(__xludf.DUMMYFUNCTION("""COMPUTED_VALUE"""),96.0)</f>
        <v>96</v>
      </c>
      <c r="F81" s="2">
        <f>IFERROR(__xludf.DUMMYFUNCTION("""COMPUTED_VALUE"""),446.0)</f>
        <v>446</v>
      </c>
      <c r="G81" s="2">
        <f>IFERROR(__xludf.DUMMYFUNCTION("""COMPUTED_VALUE"""),542.0)</f>
        <v>542</v>
      </c>
      <c r="H81" s="7">
        <f>IFERROR(__xludf.DUMMYFUNCTION("""COMPUTED_VALUE"""),4.05)</f>
        <v>4.05</v>
      </c>
      <c r="I81" s="2">
        <f>IFERROR(__xludf.DUMMYFUNCTION("""COMPUTED_VALUE"""),19.7)</f>
        <v>19.7</v>
      </c>
      <c r="J81" s="4">
        <f>IFERROR(__xludf.DUMMYFUNCTION("""COMPUTED_VALUE"""),11.81)</f>
        <v>11.81</v>
      </c>
      <c r="K81" s="8">
        <f>IFERROR(__xludf.DUMMYFUNCTION("""COMPUTED_VALUE"""),-0.0199)</f>
        <v>-0.0199</v>
      </c>
    </row>
    <row r="82" ht="15.75" customHeight="1">
      <c r="C82" s="2" t="str">
        <f>IFERROR(__xludf.DUMMYFUNCTION("""COMPUTED_VALUE"""),"Israel [+]")</f>
        <v>Israel [+]</v>
      </c>
      <c r="D82" s="2">
        <f>IFERROR(__xludf.DUMMYFUNCTION("""COMPUTED_VALUE"""),2012.0)</f>
        <v>2012</v>
      </c>
      <c r="E82" s="2">
        <f>IFERROR(__xludf.DUMMYFUNCTION("""COMPUTED_VALUE"""),81.0)</f>
        <v>81</v>
      </c>
      <c r="F82" s="2">
        <f>IFERROR(__xludf.DUMMYFUNCTION("""COMPUTED_VALUE"""),346.0)</f>
        <v>346</v>
      </c>
      <c r="G82" s="2">
        <f>IFERROR(__xludf.DUMMYFUNCTION("""COMPUTED_VALUE"""),427.0)</f>
        <v>427</v>
      </c>
      <c r="H82" s="7">
        <f>IFERROR(__xludf.DUMMYFUNCTION("""COMPUTED_VALUE"""),2.0)</f>
        <v>2</v>
      </c>
      <c r="I82" s="2">
        <f>IFERROR(__xludf.DUMMYFUNCTION("""COMPUTED_VALUE"""),8.8)</f>
        <v>8.8</v>
      </c>
      <c r="J82" s="4">
        <f>IFERROR(__xludf.DUMMYFUNCTION("""COMPUTED_VALUE"""),5.4)</f>
        <v>5.4</v>
      </c>
      <c r="K82" s="8">
        <f>IFERROR(__xludf.DUMMYFUNCTION("""COMPUTED_VALUE"""),0.0385)</f>
        <v>0.0385</v>
      </c>
    </row>
    <row r="83" ht="15.75" customHeight="1">
      <c r="C83" s="2" t="str">
        <f>IFERROR(__xludf.DUMMYFUNCTION("""COMPUTED_VALUE"""),"India [+]")</f>
        <v>India [+]</v>
      </c>
      <c r="D83" s="2">
        <f>IFERROR(__xludf.DUMMYFUNCTION("""COMPUTED_VALUE"""),2012.0)</f>
        <v>2012</v>
      </c>
      <c r="E83" s="6">
        <f>IFERROR(__xludf.DUMMYFUNCTION("""COMPUTED_VALUE"""),92653.0)</f>
        <v>92653</v>
      </c>
      <c r="F83" s="6">
        <f>IFERROR(__xludf.DUMMYFUNCTION("""COMPUTED_VALUE"""),115995.0)</f>
        <v>115995</v>
      </c>
      <c r="G83" s="6">
        <f>IFERROR(__xludf.DUMMYFUNCTION("""COMPUTED_VALUE"""),208648.0)</f>
        <v>208648</v>
      </c>
      <c r="H83" s="7">
        <f>IFERROR(__xludf.DUMMYFUNCTION("""COMPUTED_VALUE"""),15.26)</f>
        <v>15.26</v>
      </c>
      <c r="I83" s="2">
        <f>IFERROR(__xludf.DUMMYFUNCTION("""COMPUTED_VALUE"""),17.62)</f>
        <v>17.62</v>
      </c>
      <c r="J83" s="4">
        <f>IFERROR(__xludf.DUMMYFUNCTION("""COMPUTED_VALUE"""),16.48)</f>
        <v>16.48</v>
      </c>
      <c r="K83" s="8">
        <f>IFERROR(__xludf.DUMMYFUNCTION("""COMPUTED_VALUE"""),-0.0202)</f>
        <v>-0.0202</v>
      </c>
    </row>
    <row r="84" ht="15.75" customHeight="1">
      <c r="C84" s="2" t="str">
        <f>IFERROR(__xludf.DUMMYFUNCTION("""COMPUTED_VALUE"""),"Irak [+]")</f>
        <v>Irak [+]</v>
      </c>
      <c r="D84" s="2">
        <f>IFERROR(__xludf.DUMMYFUNCTION("""COMPUTED_VALUE"""),2012.0)</f>
        <v>2012</v>
      </c>
      <c r="E84" s="2">
        <f>IFERROR(__xludf.DUMMYFUNCTION("""COMPUTED_VALUE"""),394.0)</f>
        <v>394</v>
      </c>
      <c r="F84" s="2">
        <f>IFERROR(__xludf.DUMMYFUNCTION("""COMPUTED_VALUE"""),505.0)</f>
        <v>505</v>
      </c>
      <c r="G84" s="2">
        <f>IFERROR(__xludf.DUMMYFUNCTION("""COMPUTED_VALUE"""),898.0)</f>
        <v>898</v>
      </c>
      <c r="H84" s="7">
        <f>IFERROR(__xludf.DUMMYFUNCTION("""COMPUTED_VALUE"""),2.5)</f>
        <v>2.5</v>
      </c>
      <c r="I84" s="2">
        <f>IFERROR(__xludf.DUMMYFUNCTION("""COMPUTED_VALUE"""),3.13)</f>
        <v>3.13</v>
      </c>
      <c r="J84" s="4">
        <f>IFERROR(__xludf.DUMMYFUNCTION("""COMPUTED_VALUE"""),2.76)</f>
        <v>2.76</v>
      </c>
      <c r="K84" s="8">
        <f>IFERROR(__xludf.DUMMYFUNCTION("""COMPUTED_VALUE"""),0.0185)</f>
        <v>0.0185</v>
      </c>
    </row>
    <row r="85" ht="15.75" customHeight="1">
      <c r="C85" s="2" t="str">
        <f>IFERROR(__xludf.DUMMYFUNCTION("""COMPUTED_VALUE"""),"Irán [+]")</f>
        <v>Irán [+]</v>
      </c>
      <c r="D85" s="2">
        <f>IFERROR(__xludf.DUMMYFUNCTION("""COMPUTED_VALUE"""),2012.0)</f>
        <v>2012</v>
      </c>
      <c r="E85" s="6">
        <f>IFERROR(__xludf.DUMMYFUNCTION("""COMPUTED_VALUE"""),1170.0)</f>
        <v>1170</v>
      </c>
      <c r="F85" s="6">
        <f>IFERROR(__xludf.DUMMYFUNCTION("""COMPUTED_VALUE"""),1720.0)</f>
        <v>1720</v>
      </c>
      <c r="G85" s="6">
        <f>IFERROR(__xludf.DUMMYFUNCTION("""COMPUTED_VALUE"""),2890.0)</f>
        <v>2890</v>
      </c>
      <c r="H85" s="7">
        <f>IFERROR(__xludf.DUMMYFUNCTION("""COMPUTED_VALUE"""),3.13)</f>
        <v>3.13</v>
      </c>
      <c r="I85" s="2">
        <f>IFERROR(__xludf.DUMMYFUNCTION("""COMPUTED_VALUE"""),4.51)</f>
        <v>4.51</v>
      </c>
      <c r="J85" s="4">
        <f>IFERROR(__xludf.DUMMYFUNCTION("""COMPUTED_VALUE"""),3.8)</f>
        <v>3.8</v>
      </c>
      <c r="K85" s="8">
        <f>IFERROR(__xludf.DUMMYFUNCTION("""COMPUTED_VALUE"""),-0.1383)</f>
        <v>-0.1383</v>
      </c>
    </row>
    <row r="86" ht="15.75" customHeight="1">
      <c r="C86" s="2" t="str">
        <f>IFERROR(__xludf.DUMMYFUNCTION("""COMPUTED_VALUE"""),"Islandia [+]")</f>
        <v>Islandia [+]</v>
      </c>
      <c r="D86" s="5">
        <f>IFERROR(__xludf.DUMMYFUNCTION("""COMPUTED_VALUE"""),2012.0)</f>
        <v>2012</v>
      </c>
      <c r="E86" s="2">
        <f>IFERROR(__xludf.DUMMYFUNCTION("""COMPUTED_VALUE"""),11.0)</f>
        <v>11</v>
      </c>
      <c r="F86" s="2">
        <f>IFERROR(__xludf.DUMMYFUNCTION("""COMPUTED_VALUE"""),25.0)</f>
        <v>25</v>
      </c>
      <c r="G86" s="2">
        <f>IFERROR(__xludf.DUMMYFUNCTION("""COMPUTED_VALUE"""),36.0)</f>
        <v>36</v>
      </c>
      <c r="H86" s="7">
        <f>IFERROR(__xludf.DUMMYFUNCTION("""COMPUTED_VALUE"""),6.88)</f>
        <v>6.88</v>
      </c>
      <c r="I86" s="2">
        <f>IFERROR(__xludf.DUMMYFUNCTION("""COMPUTED_VALUE"""),15.54)</f>
        <v>15.54</v>
      </c>
      <c r="J86" s="4">
        <f>IFERROR(__xludf.DUMMYFUNCTION("""COMPUTED_VALUE"""),11.22)</f>
        <v>11.22</v>
      </c>
      <c r="K86" s="8">
        <f>IFERROR(__xludf.DUMMYFUNCTION("""COMPUTED_VALUE"""),0.3262)</f>
        <v>0.3262</v>
      </c>
    </row>
    <row r="87" ht="15.75" customHeight="1">
      <c r="C87" s="2" t="str">
        <f>IFERROR(__xludf.DUMMYFUNCTION("""COMPUTED_VALUE"""),"Jamaica [+]")</f>
        <v>Jamaica [+]</v>
      </c>
      <c r="D87" s="5">
        <f>IFERROR(__xludf.DUMMYFUNCTION("""COMPUTED_VALUE"""),2012.0)</f>
        <v>2012</v>
      </c>
      <c r="E87" s="2">
        <f>IFERROR(__xludf.DUMMYFUNCTION("""COMPUTED_VALUE"""),4.0)</f>
        <v>4</v>
      </c>
      <c r="F87" s="6">
        <f>IFERROR(__xludf.DUMMYFUNCTION("""COMPUTED_VALUE"""),35.0)</f>
        <v>35</v>
      </c>
      <c r="G87" s="2">
        <f>IFERROR(__xludf.DUMMYFUNCTION("""COMPUTED_VALUE"""),40.0)</f>
        <v>40</v>
      </c>
      <c r="H87" s="7">
        <f>IFERROR(__xludf.DUMMYFUNCTION("""COMPUTED_VALUE"""),0.31)</f>
        <v>0.31</v>
      </c>
      <c r="I87" s="2">
        <f>IFERROR(__xludf.DUMMYFUNCTION("""COMPUTED_VALUE"""),2.49)</f>
        <v>2.49</v>
      </c>
      <c r="J87" s="4">
        <f>IFERROR(__xludf.DUMMYFUNCTION("""COMPUTED_VALUE"""),1.46)</f>
        <v>1.46</v>
      </c>
      <c r="K87" s="8">
        <f>IFERROR(__xludf.DUMMYFUNCTION("""COMPUTED_VALUE"""),-0.4016)</f>
        <v>-0.4016</v>
      </c>
    </row>
    <row r="88" ht="15.75" customHeight="1">
      <c r="C88" s="2" t="str">
        <f>IFERROR(__xludf.DUMMYFUNCTION("""COMPUTED_VALUE"""),"Jordania [+]")</f>
        <v>Jordania [+]</v>
      </c>
      <c r="D88" s="5">
        <f>IFERROR(__xludf.DUMMYFUNCTION("""COMPUTED_VALUE"""),2012.0)</f>
        <v>2012</v>
      </c>
      <c r="E88" s="2">
        <f>IFERROR(__xludf.DUMMYFUNCTION("""COMPUTED_VALUE"""),70.0)</f>
        <v>70</v>
      </c>
      <c r="F88" s="6">
        <f>IFERROR(__xludf.DUMMYFUNCTION("""COMPUTED_VALUE"""),158.0)</f>
        <v>158</v>
      </c>
      <c r="G88" s="2">
        <f>IFERROR(__xludf.DUMMYFUNCTION("""COMPUTED_VALUE"""),227.0)</f>
        <v>227</v>
      </c>
      <c r="H88" s="7">
        <f>IFERROR(__xludf.DUMMYFUNCTION("""COMPUTED_VALUE"""),1.75)</f>
        <v>1.75</v>
      </c>
      <c r="I88" s="2">
        <f>IFERROR(__xludf.DUMMYFUNCTION("""COMPUTED_VALUE"""),3.84)</f>
        <v>3.84</v>
      </c>
      <c r="J88" s="4">
        <f>IFERROR(__xludf.DUMMYFUNCTION("""COMPUTED_VALUE"""),2.81)</f>
        <v>2.81</v>
      </c>
      <c r="K88" s="8">
        <f>IFERROR(__xludf.DUMMYFUNCTION("""COMPUTED_VALUE"""),0.0108)</f>
        <v>0.0108</v>
      </c>
    </row>
    <row r="89" ht="15.75" customHeight="1">
      <c r="C89" s="2" t="str">
        <f>IFERROR(__xludf.DUMMYFUNCTION("""COMPUTED_VALUE"""),"Kenia [+]")</f>
        <v>Kenia [+]</v>
      </c>
      <c r="D89" s="2">
        <f>IFERROR(__xludf.DUMMYFUNCTION("""COMPUTED_VALUE"""),2012.0)</f>
        <v>2012</v>
      </c>
      <c r="E89" s="2">
        <f>IFERROR(__xludf.DUMMYFUNCTION("""COMPUTED_VALUE"""),588.0)</f>
        <v>588</v>
      </c>
      <c r="F89" s="6">
        <f>IFERROR(__xludf.DUMMYFUNCTION("""COMPUTED_VALUE"""),2216.0)</f>
        <v>2216</v>
      </c>
      <c r="G89" s="6">
        <f>IFERROR(__xludf.DUMMYFUNCTION("""COMPUTED_VALUE"""),2804.0)</f>
        <v>2804</v>
      </c>
      <c r="H89" s="7">
        <f>IFERROR(__xludf.DUMMYFUNCTION("""COMPUTED_VALUE"""),2.63)</f>
        <v>2.63</v>
      </c>
      <c r="I89" s="2">
        <f>IFERROR(__xludf.DUMMYFUNCTION("""COMPUTED_VALUE"""),10.06)</f>
        <v>10.06</v>
      </c>
      <c r="J89" s="4">
        <f>IFERROR(__xludf.DUMMYFUNCTION("""COMPUTED_VALUE"""),6.94)</f>
        <v>6.94</v>
      </c>
      <c r="K89" s="8">
        <f>IFERROR(__xludf.DUMMYFUNCTION("""COMPUTED_VALUE"""),-0.0029)</f>
        <v>-0.0029</v>
      </c>
    </row>
    <row r="90" ht="15.75" customHeight="1">
      <c r="C90" s="2" t="str">
        <f>IFERROR(__xludf.DUMMYFUNCTION("""COMPUTED_VALUE"""),"Kirguistán [+]")</f>
        <v>Kirguistán [+]</v>
      </c>
      <c r="D90" s="2">
        <f>IFERROR(__xludf.DUMMYFUNCTION("""COMPUTED_VALUE"""),2012.0)</f>
        <v>2012</v>
      </c>
      <c r="E90" s="2">
        <f>IFERROR(__xludf.DUMMYFUNCTION("""COMPUTED_VALUE"""),132.0)</f>
        <v>132</v>
      </c>
      <c r="F90" s="2">
        <f>IFERROR(__xludf.DUMMYFUNCTION("""COMPUTED_VALUE"""),429.0)</f>
        <v>429</v>
      </c>
      <c r="G90" s="2">
        <f>IFERROR(__xludf.DUMMYFUNCTION("""COMPUTED_VALUE"""),561.0)</f>
        <v>561</v>
      </c>
      <c r="H90" s="7">
        <f>IFERROR(__xludf.DUMMYFUNCTION("""COMPUTED_VALUE"""),4.65)</f>
        <v>4.65</v>
      </c>
      <c r="I90" s="2">
        <f>IFERROR(__xludf.DUMMYFUNCTION("""COMPUTED_VALUE"""),15.48)</f>
        <v>15.48</v>
      </c>
      <c r="J90" s="4">
        <f>IFERROR(__xludf.DUMMYFUNCTION("""COMPUTED_VALUE"""),10.1)</f>
        <v>10.1</v>
      </c>
      <c r="K90" s="8">
        <f>IFERROR(__xludf.DUMMYFUNCTION("""COMPUTED_VALUE"""),0.0677)</f>
        <v>0.0677</v>
      </c>
    </row>
    <row r="91" ht="15.75" customHeight="1">
      <c r="C91" s="2" t="str">
        <f>IFERROR(__xludf.DUMMYFUNCTION("""COMPUTED_VALUE"""),"Camboya [+]")</f>
        <v>Camboya [+]</v>
      </c>
      <c r="D91" s="2">
        <f>IFERROR(__xludf.DUMMYFUNCTION("""COMPUTED_VALUE"""),2012.0)</f>
        <v>2012</v>
      </c>
      <c r="E91" s="2">
        <f>IFERROR(__xludf.DUMMYFUNCTION("""COMPUTED_VALUE"""),661.0)</f>
        <v>661</v>
      </c>
      <c r="F91" s="6">
        <f>IFERROR(__xludf.DUMMYFUNCTION("""COMPUTED_VALUE"""),1138.0)</f>
        <v>1138</v>
      </c>
      <c r="G91" s="6">
        <f>IFERROR(__xludf.DUMMYFUNCTION("""COMPUTED_VALUE"""),1799.0)</f>
        <v>1799</v>
      </c>
      <c r="H91" s="7">
        <f>IFERROR(__xludf.DUMMYFUNCTION("""COMPUTED_VALUE"""),8.73)</f>
        <v>8.73</v>
      </c>
      <c r="I91" s="2">
        <f>IFERROR(__xludf.DUMMYFUNCTION("""COMPUTED_VALUE"""),15.8)</f>
        <v>15.8</v>
      </c>
      <c r="J91" s="4">
        <f>IFERROR(__xludf.DUMMYFUNCTION("""COMPUTED_VALUE"""),12.36)</f>
        <v>12.36</v>
      </c>
      <c r="K91" s="8">
        <f>IFERROR(__xludf.DUMMYFUNCTION("""COMPUTED_VALUE"""),0.0537)</f>
        <v>0.0537</v>
      </c>
    </row>
    <row r="92" ht="15.75" customHeight="1">
      <c r="C92" s="2" t="str">
        <f>IFERROR(__xludf.DUMMYFUNCTION("""COMPUTED_VALUE"""),"Kiribati [+]")</f>
        <v>Kiribati [+]</v>
      </c>
      <c r="D92" s="5">
        <f>IFERROR(__xludf.DUMMYFUNCTION("""COMPUTED_VALUE"""),2012.0)</f>
        <v>2012</v>
      </c>
      <c r="E92" s="2">
        <f>IFERROR(__xludf.DUMMYFUNCTION("""COMPUTED_VALUE"""),4.0)</f>
        <v>4</v>
      </c>
      <c r="F92" s="2">
        <f>IFERROR(__xludf.DUMMYFUNCTION("""COMPUTED_VALUE"""),12.0)</f>
        <v>12</v>
      </c>
      <c r="G92" s="2">
        <f>IFERROR(__xludf.DUMMYFUNCTION("""COMPUTED_VALUE"""),16.0)</f>
        <v>16</v>
      </c>
      <c r="H92" s="7">
        <f>IFERROR(__xludf.DUMMYFUNCTION("""COMPUTED_VALUE"""),6.71)</f>
        <v>6.71</v>
      </c>
      <c r="I92" s="2">
        <f>IFERROR(__xludf.DUMMYFUNCTION("""COMPUTED_VALUE"""),23.64)</f>
        <v>23.64</v>
      </c>
      <c r="J92" s="4">
        <f>IFERROR(__xludf.DUMMYFUNCTION("""COMPUTED_VALUE"""),15.08)</f>
        <v>15.08</v>
      </c>
      <c r="K92" s="8">
        <f>IFERROR(__xludf.DUMMYFUNCTION("""COMPUTED_VALUE"""),-0.0059)</f>
        <v>-0.0059</v>
      </c>
    </row>
    <row r="93" ht="15.75" customHeight="1">
      <c r="C93" s="2" t="str">
        <f>IFERROR(__xludf.DUMMYFUNCTION("""COMPUTED_VALUE"""),"Comoras [+]")</f>
        <v>Comoras [+]</v>
      </c>
      <c r="D93" s="2">
        <f>IFERROR(__xludf.DUMMYFUNCTION("""COMPUTED_VALUE"""),2012.0)</f>
        <v>2012</v>
      </c>
      <c r="E93" s="2">
        <f>IFERROR(__xludf.DUMMYFUNCTION("""COMPUTED_VALUE"""),18.0)</f>
        <v>18</v>
      </c>
      <c r="F93" s="2">
        <f>IFERROR(__xludf.DUMMYFUNCTION("""COMPUTED_VALUE"""),33.0)</f>
        <v>33</v>
      </c>
      <c r="G93" s="2">
        <f>IFERROR(__xludf.DUMMYFUNCTION("""COMPUTED_VALUE"""),51.0)</f>
        <v>51</v>
      </c>
      <c r="H93" s="7">
        <f>IFERROR(__xludf.DUMMYFUNCTION("""COMPUTED_VALUE"""),5.12)</f>
        <v>5.12</v>
      </c>
      <c r="I93" s="2">
        <f>IFERROR(__xludf.DUMMYFUNCTION("""COMPUTED_VALUE"""),9.08)</f>
        <v>9.08</v>
      </c>
      <c r="J93" s="4">
        <f>IFERROR(__xludf.DUMMYFUNCTION("""COMPUTED_VALUE"""),7.11)</f>
        <v>7.11</v>
      </c>
      <c r="K93" s="8">
        <f>IFERROR(__xludf.DUMMYFUNCTION("""COMPUTED_VALUE"""),0.0334)</f>
        <v>0.0334</v>
      </c>
    </row>
    <row r="94" ht="15.75" customHeight="1">
      <c r="C94" s="2" t="str">
        <f>IFERROR(__xludf.DUMMYFUNCTION("""COMPUTED_VALUE"""),"Corea del Norte [+]")</f>
        <v>Corea del Norte [+]</v>
      </c>
      <c r="D94" s="2">
        <f>IFERROR(__xludf.DUMMYFUNCTION("""COMPUTED_VALUE"""),2012.0)</f>
        <v>2012</v>
      </c>
      <c r="E94" s="6">
        <f>IFERROR(__xludf.DUMMYFUNCTION("""COMPUTED_VALUE"""),2164.0)</f>
        <v>2164</v>
      </c>
      <c r="F94" s="6">
        <f>IFERROR(__xludf.DUMMYFUNCTION("""COMPUTED_VALUE"""),2144.0)</f>
        <v>2144</v>
      </c>
      <c r="G94" s="6">
        <f>IFERROR(__xludf.DUMMYFUNCTION("""COMPUTED_VALUE"""),4308.0)</f>
        <v>4308</v>
      </c>
      <c r="H94" s="7">
        <f>IFERROR(__xludf.DUMMYFUNCTION("""COMPUTED_VALUE"""),17.06)</f>
        <v>17.06</v>
      </c>
      <c r="I94" s="2">
        <f>IFERROR(__xludf.DUMMYFUNCTION("""COMPUTED_VALUE"""),17.69)</f>
        <v>17.69</v>
      </c>
      <c r="J94" s="4">
        <f>IFERROR(__xludf.DUMMYFUNCTION("""COMPUTED_VALUE"""),17.37)</f>
        <v>17.37</v>
      </c>
      <c r="K94" s="8">
        <f>IFERROR(__xludf.DUMMYFUNCTION("""COMPUTED_VALUE"""),-0.0382)</f>
        <v>-0.0382</v>
      </c>
    </row>
    <row r="95" ht="15.75" customHeight="1">
      <c r="C95" s="2" t="str">
        <f>IFERROR(__xludf.DUMMYFUNCTION("""COMPUTED_VALUE"""),"Corea del Sur [+]")</f>
        <v>Corea del Sur [+]</v>
      </c>
      <c r="D95" s="5">
        <f>IFERROR(__xludf.DUMMYFUNCTION("""COMPUTED_VALUE"""),2012.0)</f>
        <v>2012</v>
      </c>
      <c r="E95" s="6">
        <f>IFERROR(__xludf.DUMMYFUNCTION("""COMPUTED_VALUE"""),4538.0)</f>
        <v>4538</v>
      </c>
      <c r="F95" s="6">
        <f>IFERROR(__xludf.DUMMYFUNCTION("""COMPUTED_VALUE"""),9622.0)</f>
        <v>9622</v>
      </c>
      <c r="G95" s="6">
        <f>IFERROR(__xludf.DUMMYFUNCTION("""COMPUTED_VALUE"""),14160.0)</f>
        <v>14160</v>
      </c>
      <c r="H95" s="7">
        <f>IFERROR(__xludf.DUMMYFUNCTION("""COMPUTED_VALUE"""),18.1)</f>
        <v>18.1</v>
      </c>
      <c r="I95" s="2">
        <f>IFERROR(__xludf.DUMMYFUNCTION("""COMPUTED_VALUE"""),38.2)</f>
        <v>38.2</v>
      </c>
      <c r="J95" s="4">
        <f>IFERROR(__xludf.DUMMYFUNCTION("""COMPUTED_VALUE"""),28.2)</f>
        <v>28.2</v>
      </c>
      <c r="K95" s="8">
        <f>IFERROR(__xludf.DUMMYFUNCTION("""COMPUTED_VALUE"""),-0.116)</f>
        <v>-0.116</v>
      </c>
    </row>
    <row r="96" ht="15.75" customHeight="1">
      <c r="C96" s="2" t="str">
        <f>IFERROR(__xludf.DUMMYFUNCTION("""COMPUTED_VALUE"""),"Kuwait [+]")</f>
        <v>Kuwait [+]</v>
      </c>
      <c r="D96" s="2">
        <f>IFERROR(__xludf.DUMMYFUNCTION("""COMPUTED_VALUE"""),2012.0)</f>
        <v>2012</v>
      </c>
      <c r="E96" s="2">
        <f>IFERROR(__xludf.DUMMYFUNCTION("""COMPUTED_VALUE"""),29.0)</f>
        <v>29</v>
      </c>
      <c r="F96" s="2">
        <f>IFERROR(__xludf.DUMMYFUNCTION("""COMPUTED_VALUE"""),90.0)</f>
        <v>90</v>
      </c>
      <c r="G96" s="2">
        <f>IFERROR(__xludf.DUMMYFUNCTION("""COMPUTED_VALUE"""),118.0)</f>
        <v>118</v>
      </c>
      <c r="H96" s="7">
        <f>IFERROR(__xludf.DUMMYFUNCTION("""COMPUTED_VALUE"""),2.03)</f>
        <v>2.03</v>
      </c>
      <c r="I96" s="2">
        <f>IFERROR(__xludf.DUMMYFUNCTION("""COMPUTED_VALUE"""),4.61)</f>
        <v>4.61</v>
      </c>
      <c r="J96" s="4">
        <f>IFERROR(__xludf.DUMMYFUNCTION("""COMPUTED_VALUE"""),3.1)</f>
        <v>3.1</v>
      </c>
      <c r="K96" s="8">
        <f>IFERROR(__xludf.DUMMYFUNCTION("""COMPUTED_VALUE"""),0.0438)</f>
        <v>0.0438</v>
      </c>
    </row>
    <row r="97" ht="15.75" customHeight="1">
      <c r="C97" s="2" t="str">
        <f>IFERROR(__xludf.DUMMYFUNCTION("""COMPUTED_VALUE"""),"Kazajistán [+]")</f>
        <v>Kazajistán [+]</v>
      </c>
      <c r="D97" s="5">
        <f>IFERROR(__xludf.DUMMYFUNCTION("""COMPUTED_VALUE"""),2012.0)</f>
        <v>2012</v>
      </c>
      <c r="E97" s="2">
        <f>IFERROR(__xludf.DUMMYFUNCTION("""COMPUTED_VALUE"""),706.0)</f>
        <v>706</v>
      </c>
      <c r="F97" s="6">
        <f>IFERROR(__xludf.DUMMYFUNCTION("""COMPUTED_VALUE"""),3295.0)</f>
        <v>3295</v>
      </c>
      <c r="G97" s="6">
        <f>IFERROR(__xludf.DUMMYFUNCTION("""COMPUTED_VALUE"""),4002.0)</f>
        <v>4002</v>
      </c>
      <c r="H97" s="7">
        <f>IFERROR(__xludf.DUMMYFUNCTION("""COMPUTED_VALUE"""),8.15)</f>
        <v>8.15</v>
      </c>
      <c r="I97" s="2">
        <f>IFERROR(__xludf.DUMMYFUNCTION("""COMPUTED_VALUE"""),40.57)</f>
        <v>40.57</v>
      </c>
      <c r="J97" s="4">
        <f>IFERROR(__xludf.DUMMYFUNCTION("""COMPUTED_VALUE"""),23.66)</f>
        <v>23.66</v>
      </c>
      <c r="K97" s="8">
        <f>IFERROR(__xludf.DUMMYFUNCTION("""COMPUTED_VALUE"""),-0.0483)</f>
        <v>-0.0483</v>
      </c>
    </row>
    <row r="98" ht="15.75" customHeight="1">
      <c r="C98" s="2" t="str">
        <f>IFERROR(__xludf.DUMMYFUNCTION("""COMPUTED_VALUE"""),"Laos [+]")</f>
        <v>Laos [+]</v>
      </c>
      <c r="D98" s="5">
        <f>IFERROR(__xludf.DUMMYFUNCTION("""COMPUTED_VALUE"""),2012.0)</f>
        <v>2012</v>
      </c>
      <c r="E98" s="2">
        <f>IFERROR(__xludf.DUMMYFUNCTION("""COMPUTED_VALUE"""),320.0)</f>
        <v>320</v>
      </c>
      <c r="F98" s="6">
        <f>IFERROR(__xludf.DUMMYFUNCTION("""COMPUTED_VALUE"""),496.0)</f>
        <v>496</v>
      </c>
      <c r="G98" s="2">
        <f>IFERROR(__xludf.DUMMYFUNCTION("""COMPUTED_VALUE"""),816.0)</f>
        <v>816</v>
      </c>
      <c r="H98" s="7">
        <f>IFERROR(__xludf.DUMMYFUNCTION("""COMPUTED_VALUE"""),9.89)</f>
        <v>9.89</v>
      </c>
      <c r="I98" s="2">
        <f>IFERROR(__xludf.DUMMYFUNCTION("""COMPUTED_VALUE"""),15.44)</f>
        <v>15.44</v>
      </c>
      <c r="J98" s="4">
        <f>IFERROR(__xludf.DUMMYFUNCTION("""COMPUTED_VALUE"""),12.66)</f>
        <v>12.66</v>
      </c>
      <c r="K98" s="8">
        <f>IFERROR(__xludf.DUMMYFUNCTION("""COMPUTED_VALUE"""),-0.0178)</f>
        <v>-0.0178</v>
      </c>
    </row>
    <row r="99" ht="15.75" customHeight="1">
      <c r="C99" s="2" t="str">
        <f>IFERROR(__xludf.DUMMYFUNCTION("""COMPUTED_VALUE"""),"Líbano [+]")</f>
        <v>Líbano [+]</v>
      </c>
      <c r="D99" s="2">
        <f>IFERROR(__xludf.DUMMYFUNCTION("""COMPUTED_VALUE"""),2012.0)</f>
        <v>2012</v>
      </c>
      <c r="E99" s="2">
        <f>IFERROR(__xludf.DUMMYFUNCTION("""COMPUTED_VALUE"""),51.0)</f>
        <v>51</v>
      </c>
      <c r="F99" s="2">
        <f>IFERROR(__xludf.DUMMYFUNCTION("""COMPUTED_VALUE"""),92.0)</f>
        <v>92</v>
      </c>
      <c r="G99" s="2">
        <f>IFERROR(__xludf.DUMMYFUNCTION("""COMPUTED_VALUE"""),143.0)</f>
        <v>143</v>
      </c>
      <c r="H99" s="7">
        <f>IFERROR(__xludf.DUMMYFUNCTION("""COMPUTED_VALUE"""),1.85)</f>
        <v>1.85</v>
      </c>
      <c r="I99" s="2">
        <f>IFERROR(__xludf.DUMMYFUNCTION("""COMPUTED_VALUE"""),3.29)</f>
        <v>3.29</v>
      </c>
      <c r="J99" s="4">
        <f>IFERROR(__xludf.DUMMYFUNCTION("""COMPUTED_VALUE"""),2.58)</f>
        <v>2.58</v>
      </c>
      <c r="K99" s="8">
        <f>IFERROR(__xludf.DUMMYFUNCTION("""COMPUTED_VALUE"""),0.0157)</f>
        <v>0.0157</v>
      </c>
    </row>
    <row r="100" ht="15.75" customHeight="1">
      <c r="C100" s="2" t="str">
        <f>IFERROR(__xludf.DUMMYFUNCTION("""COMPUTED_VALUE"""),"Santa Lucía [+]")</f>
        <v>Santa Lucía [+]</v>
      </c>
      <c r="D100" s="2">
        <f>IFERROR(__xludf.DUMMYFUNCTION("""COMPUTED_VALUE"""),2012.0)</f>
        <v>2012</v>
      </c>
      <c r="E100" s="2">
        <f>IFERROR(__xludf.DUMMYFUNCTION("""COMPUTED_VALUE"""),1.0)</f>
        <v>1</v>
      </c>
      <c r="F100" s="2">
        <f>IFERROR(__xludf.DUMMYFUNCTION("""COMPUTED_VALUE"""),13.0)</f>
        <v>13</v>
      </c>
      <c r="G100" s="2">
        <f>IFERROR(__xludf.DUMMYFUNCTION("""COMPUTED_VALUE"""),14.0)</f>
        <v>14</v>
      </c>
      <c r="H100" s="7">
        <f>IFERROR(__xludf.DUMMYFUNCTION("""COMPUTED_VALUE"""),0.74)</f>
        <v>0.74</v>
      </c>
      <c r="I100" s="2">
        <f>IFERROR(__xludf.DUMMYFUNCTION("""COMPUTED_VALUE"""),15.16)</f>
        <v>15.16</v>
      </c>
      <c r="J100" s="4">
        <f>IFERROR(__xludf.DUMMYFUNCTION("""COMPUTED_VALUE"""),8.2)</f>
        <v>8.2</v>
      </c>
      <c r="K100" s="8">
        <f>IFERROR(__xludf.DUMMYFUNCTION("""COMPUTED_VALUE"""),0.6701)</f>
        <v>0.6701</v>
      </c>
    </row>
    <row r="101" ht="15.75" customHeight="1">
      <c r="C101" s="2" t="str">
        <f>IFERROR(__xludf.DUMMYFUNCTION("""COMPUTED_VALUE"""),"Liechtenstein [+]")</f>
        <v>Liechtenstein [+]</v>
      </c>
      <c r="D101" s="2">
        <f>IFERROR(__xludf.DUMMYFUNCTION("""COMPUTED_VALUE"""),2012.0)</f>
        <v>2012</v>
      </c>
      <c r="E101" s="2">
        <f>IFERROR(__xludf.DUMMYFUNCTION("""COMPUTED_VALUE"""),1.0)</f>
        <v>1</v>
      </c>
      <c r="F101" s="2">
        <f>IFERROR(__xludf.DUMMYFUNCTION("""COMPUTED_VALUE"""),1.0)</f>
        <v>1</v>
      </c>
      <c r="G101" s="2">
        <f>IFERROR(__xludf.DUMMYFUNCTION("""COMPUTED_VALUE"""),2.0)</f>
        <v>2</v>
      </c>
      <c r="H101" s="7">
        <f>IFERROR(__xludf.DUMMYFUNCTION("""COMPUTED_VALUE"""),10.8)</f>
        <v>10.8</v>
      </c>
      <c r="I101" s="2">
        <f>IFERROR(__xludf.DUMMYFUNCTION("""COMPUTED_VALUE"""),11.02)</f>
        <v>11.02</v>
      </c>
      <c r="J101" s="4">
        <f>IFERROR(__xludf.DUMMYFUNCTION("""COMPUTED_VALUE"""),10.91)</f>
        <v>10.91</v>
      </c>
      <c r="K101" s="8">
        <f>IFERROR(__xludf.DUMMYFUNCTION("""COMPUTED_VALUE"""),-0.01)</f>
        <v>-0.01</v>
      </c>
    </row>
    <row r="102" ht="15.75" customHeight="1">
      <c r="C102" s="2" t="str">
        <f>IFERROR(__xludf.DUMMYFUNCTION("""COMPUTED_VALUE"""),"Sri Lanka [+]")</f>
        <v>Sri Lanka [+]</v>
      </c>
      <c r="D102" s="5">
        <f>IFERROR(__xludf.DUMMYFUNCTION("""COMPUTED_VALUE"""),2012.0)</f>
        <v>2012</v>
      </c>
      <c r="E102" s="6">
        <f>IFERROR(__xludf.DUMMYFUNCTION("""COMPUTED_VALUE"""),1358.0)</f>
        <v>1358</v>
      </c>
      <c r="F102" s="6">
        <f>IFERROR(__xludf.DUMMYFUNCTION("""COMPUTED_VALUE"""),5420.0)</f>
        <v>5420</v>
      </c>
      <c r="G102" s="6">
        <f>IFERROR(__xludf.DUMMYFUNCTION("""COMPUTED_VALUE"""),6777.0)</f>
        <v>6777</v>
      </c>
      <c r="H102" s="7">
        <f>IFERROR(__xludf.DUMMYFUNCTION("""COMPUTED_VALUE"""),12.9)</f>
        <v>12.9</v>
      </c>
      <c r="I102" s="2">
        <f>IFERROR(__xludf.DUMMYFUNCTION("""COMPUTED_VALUE"""),54.74)</f>
        <v>54.74</v>
      </c>
      <c r="J102" s="4">
        <f>IFERROR(__xludf.DUMMYFUNCTION("""COMPUTED_VALUE"""),33.18)</f>
        <v>33.18</v>
      </c>
      <c r="K102" s="8">
        <f>IFERROR(__xludf.DUMMYFUNCTION("""COMPUTED_VALUE"""),0.0628)</f>
        <v>0.0628</v>
      </c>
    </row>
    <row r="103" ht="15.75" customHeight="1">
      <c r="C103" s="2" t="str">
        <f>IFERROR(__xludf.DUMMYFUNCTION("""COMPUTED_VALUE"""),"Liberia [+]")</f>
        <v>Liberia [+]</v>
      </c>
      <c r="D103" s="2">
        <f>IFERROR(__xludf.DUMMYFUNCTION("""COMPUTED_VALUE"""),2012.0)</f>
        <v>2012</v>
      </c>
      <c r="E103" s="2">
        <f>IFERROR(__xludf.DUMMYFUNCTION("""COMPUTED_VALUE"""),60.0)</f>
        <v>60</v>
      </c>
      <c r="F103" s="2">
        <f>IFERROR(__xludf.DUMMYFUNCTION("""COMPUTED_VALUE"""),219.0)</f>
        <v>219</v>
      </c>
      <c r="G103" s="2">
        <f>IFERROR(__xludf.DUMMYFUNCTION("""COMPUTED_VALUE"""),278.0)</f>
        <v>278</v>
      </c>
      <c r="H103" s="7">
        <f>IFERROR(__xludf.DUMMYFUNCTION("""COMPUTED_VALUE"""),2.89)</f>
        <v>2.89</v>
      </c>
      <c r="I103" s="2">
        <f>IFERROR(__xludf.DUMMYFUNCTION("""COMPUTED_VALUE"""),10.56)</f>
        <v>10.56</v>
      </c>
      <c r="J103" s="4">
        <f>IFERROR(__xludf.DUMMYFUNCTION("""COMPUTED_VALUE"""),6.73)</f>
        <v>6.73</v>
      </c>
      <c r="K103" s="8">
        <f>IFERROR(__xludf.DUMMYFUNCTION("""COMPUTED_VALUE"""),0.0015)</f>
        <v>0.0015</v>
      </c>
    </row>
    <row r="104" ht="15.75" customHeight="1">
      <c r="C104" s="2" t="str">
        <f>IFERROR(__xludf.DUMMYFUNCTION("""COMPUTED_VALUE"""),"Lesoto [+]")</f>
        <v>Lesoto [+]</v>
      </c>
      <c r="D104" s="5">
        <f>IFERROR(__xludf.DUMMYFUNCTION("""COMPUTED_VALUE"""),2012.0)</f>
        <v>2012</v>
      </c>
      <c r="E104" s="2">
        <f>IFERROR(__xludf.DUMMYFUNCTION("""COMPUTED_VALUE"""),65.0)</f>
        <v>65</v>
      </c>
      <c r="F104" s="6">
        <f>IFERROR(__xludf.DUMMYFUNCTION("""COMPUTED_VALUE"""),161.0)</f>
        <v>161</v>
      </c>
      <c r="G104" s="2">
        <f>IFERROR(__xludf.DUMMYFUNCTION("""COMPUTED_VALUE"""),226.0)</f>
        <v>226</v>
      </c>
      <c r="H104" s="7">
        <f>IFERROR(__xludf.DUMMYFUNCTION("""COMPUTED_VALUE"""),6.34)</f>
        <v>6.34</v>
      </c>
      <c r="I104" s="2">
        <f>IFERROR(__xludf.DUMMYFUNCTION("""COMPUTED_VALUE"""),16.32)</f>
        <v>16.32</v>
      </c>
      <c r="J104" s="4">
        <f>IFERROR(__xludf.DUMMYFUNCTION("""COMPUTED_VALUE"""),11.56)</f>
        <v>11.56</v>
      </c>
      <c r="K104" s="8">
        <f>IFERROR(__xludf.DUMMYFUNCTION("""COMPUTED_VALUE"""),-9.0E-4)</f>
        <v>-0.0009</v>
      </c>
    </row>
    <row r="105" ht="15.75" customHeight="1">
      <c r="C105" s="2" t="str">
        <f>IFERROR(__xludf.DUMMYFUNCTION("""COMPUTED_VALUE"""),"Lituania [+]")</f>
        <v>Lituania [+]</v>
      </c>
      <c r="D105" s="5">
        <f>IFERROR(__xludf.DUMMYFUNCTION("""COMPUTED_VALUE"""),2012.0)</f>
        <v>2012</v>
      </c>
      <c r="E105" s="2">
        <f>IFERROR(__xludf.DUMMYFUNCTION("""COMPUTED_VALUE"""),173.0)</f>
        <v>173</v>
      </c>
      <c r="F105" s="6">
        <f>IFERROR(__xludf.DUMMYFUNCTION("""COMPUTED_VALUE"""),748.0)</f>
        <v>748</v>
      </c>
      <c r="G105" s="2">
        <f>IFERROR(__xludf.DUMMYFUNCTION("""COMPUTED_VALUE"""),921.0)</f>
        <v>921</v>
      </c>
      <c r="H105" s="7">
        <f>IFERROR(__xludf.DUMMYFUNCTION("""COMPUTED_VALUE"""),10.73)</f>
        <v>10.73</v>
      </c>
      <c r="I105" s="2">
        <f>IFERROR(__xludf.DUMMYFUNCTION("""COMPUTED_VALUE"""),54.35)</f>
        <v>54.35</v>
      </c>
      <c r="J105" s="4">
        <f>IFERROR(__xludf.DUMMYFUNCTION("""COMPUTED_VALUE"""),30.86)</f>
        <v>30.86</v>
      </c>
      <c r="K105" s="8">
        <f>IFERROR(__xludf.DUMMYFUNCTION("""COMPUTED_VALUE"""),-0.0722)</f>
        <v>-0.0722</v>
      </c>
    </row>
    <row r="106" ht="15.75" customHeight="1">
      <c r="C106" s="2" t="str">
        <f>IFERROR(__xludf.DUMMYFUNCTION("""COMPUTED_VALUE"""),"Luxemburgo [+]")</f>
        <v>Luxemburgo [+]</v>
      </c>
      <c r="D106" s="2">
        <f>IFERROR(__xludf.DUMMYFUNCTION("""COMPUTED_VALUE"""),2012.0)</f>
        <v>2012</v>
      </c>
      <c r="E106" s="2">
        <f>IFERROR(__xludf.DUMMYFUNCTION("""COMPUTED_VALUE"""),12.0)</f>
        <v>12</v>
      </c>
      <c r="F106" s="2">
        <f>IFERROR(__xludf.DUMMYFUNCTION("""COMPUTED_VALUE"""),43.0)</f>
        <v>43</v>
      </c>
      <c r="G106" s="2">
        <f>IFERROR(__xludf.DUMMYFUNCTION("""COMPUTED_VALUE"""),55.0)</f>
        <v>55</v>
      </c>
      <c r="H106" s="7">
        <f>IFERROR(__xludf.DUMMYFUNCTION("""COMPUTED_VALUE"""),4.51)</f>
        <v>4.51</v>
      </c>
      <c r="I106" s="2">
        <f>IFERROR(__xludf.DUMMYFUNCTION("""COMPUTED_VALUE"""),15.84)</f>
        <v>15.84</v>
      </c>
      <c r="J106" s="4">
        <f>IFERROR(__xludf.DUMMYFUNCTION("""COMPUTED_VALUE"""),10.17)</f>
        <v>10.17</v>
      </c>
      <c r="K106" s="8">
        <f>IFERROR(__xludf.DUMMYFUNCTION("""COMPUTED_VALUE"""),-0.0755)</f>
        <v>-0.0755</v>
      </c>
    </row>
    <row r="107" ht="15.75" customHeight="1">
      <c r="C107" s="2" t="str">
        <f>IFERROR(__xludf.DUMMYFUNCTION("""COMPUTED_VALUE"""),"Letonia [+]")</f>
        <v>Letonia [+]</v>
      </c>
      <c r="D107" s="2">
        <f>IFERROR(__xludf.DUMMYFUNCTION("""COMPUTED_VALUE"""),2012.0)</f>
        <v>2012</v>
      </c>
      <c r="E107" s="2">
        <f>IFERROR(__xludf.DUMMYFUNCTION("""COMPUTED_VALUE"""),74.0)</f>
        <v>74</v>
      </c>
      <c r="F107" s="2">
        <f>IFERROR(__xludf.DUMMYFUNCTION("""COMPUTED_VALUE"""),372.0)</f>
        <v>372</v>
      </c>
      <c r="G107" s="2">
        <f>IFERROR(__xludf.DUMMYFUNCTION("""COMPUTED_VALUE"""),446.0)</f>
        <v>446</v>
      </c>
      <c r="H107" s="7">
        <f>IFERROR(__xludf.DUMMYFUNCTION("""COMPUTED_VALUE"""),6.71)</f>
        <v>6.71</v>
      </c>
      <c r="I107" s="2">
        <f>IFERROR(__xludf.DUMMYFUNCTION("""COMPUTED_VALUE"""),40.08)</f>
        <v>40.08</v>
      </c>
      <c r="J107" s="4">
        <f>IFERROR(__xludf.DUMMYFUNCTION("""COMPUTED_VALUE"""),21.97)</f>
        <v>21.97</v>
      </c>
      <c r="K107" s="8">
        <f>IFERROR(__xludf.DUMMYFUNCTION("""COMPUTED_VALUE"""),0.0214)</f>
        <v>0.0214</v>
      </c>
    </row>
    <row r="108" ht="15.75" customHeight="1">
      <c r="C108" s="2" t="str">
        <f>IFERROR(__xludf.DUMMYFUNCTION("""COMPUTED_VALUE"""),"Libia [+]")</f>
        <v>Libia [+]</v>
      </c>
      <c r="D108" s="2">
        <f>IFERROR(__xludf.DUMMYFUNCTION("""COMPUTED_VALUE"""),2012.0)</f>
        <v>2012</v>
      </c>
      <c r="E108" s="2">
        <f>IFERROR(__xludf.DUMMYFUNCTION("""COMPUTED_VALUE"""),94.0)</f>
        <v>94</v>
      </c>
      <c r="F108" s="2">
        <f>IFERROR(__xludf.DUMMYFUNCTION("""COMPUTED_VALUE"""),318.0)</f>
        <v>318</v>
      </c>
      <c r="G108" s="2">
        <f>IFERROR(__xludf.DUMMYFUNCTION("""COMPUTED_VALUE"""),411.0)</f>
        <v>411</v>
      </c>
      <c r="H108" s="7">
        <f>IFERROR(__xludf.DUMMYFUNCTION("""COMPUTED_VALUE"""),3.03)</f>
        <v>3.03</v>
      </c>
      <c r="I108" s="2">
        <f>IFERROR(__xludf.DUMMYFUNCTION("""COMPUTED_VALUE"""),9.93)</f>
        <v>9.93</v>
      </c>
      <c r="J108" s="4">
        <f>IFERROR(__xludf.DUMMYFUNCTION("""COMPUTED_VALUE"""),6.55)</f>
        <v>6.55</v>
      </c>
      <c r="K108" s="8">
        <f>IFERROR(__xludf.DUMMYFUNCTION("""COMPUTED_VALUE"""),0.0155)</f>
        <v>0.0155</v>
      </c>
    </row>
    <row r="109" ht="15.75" customHeight="1">
      <c r="C109" s="2" t="str">
        <f>IFERROR(__xludf.DUMMYFUNCTION("""COMPUTED_VALUE"""),"Marruecos [+]")</f>
        <v>Marruecos [+]</v>
      </c>
      <c r="D109" s="2">
        <f>IFERROR(__xludf.DUMMYFUNCTION("""COMPUTED_VALUE"""),2012.0)</f>
        <v>2012</v>
      </c>
      <c r="E109" s="2">
        <f>IFERROR(__xludf.DUMMYFUNCTION("""COMPUTED_VALUE"""),572.0)</f>
        <v>572</v>
      </c>
      <c r="F109" s="6">
        <f>IFERROR(__xludf.DUMMYFUNCTION("""COMPUTED_VALUE"""),1023.0)</f>
        <v>1023</v>
      </c>
      <c r="G109" s="6">
        <f>IFERROR(__xludf.DUMMYFUNCTION("""COMPUTED_VALUE"""),1595.0)</f>
        <v>1595</v>
      </c>
      <c r="H109" s="7">
        <f>IFERROR(__xludf.DUMMYFUNCTION("""COMPUTED_VALUE"""),3.4)</f>
        <v>3.4</v>
      </c>
      <c r="I109" s="2">
        <f>IFERROR(__xludf.DUMMYFUNCTION("""COMPUTED_VALUE"""),6.23)</f>
        <v>6.23</v>
      </c>
      <c r="J109" s="4">
        <f>IFERROR(__xludf.DUMMYFUNCTION("""COMPUTED_VALUE"""),4.84)</f>
        <v>4.84</v>
      </c>
      <c r="K109" s="8">
        <f>IFERROR(__xludf.DUMMYFUNCTION("""COMPUTED_VALUE"""),-0.0472)</f>
        <v>-0.0472</v>
      </c>
    </row>
    <row r="110" ht="15.75" customHeight="1">
      <c r="C110" s="2" t="str">
        <f>IFERROR(__xludf.DUMMYFUNCTION("""COMPUTED_VALUE"""),"Moldavia [+]")</f>
        <v>Moldavia [+]</v>
      </c>
      <c r="D110" s="2">
        <f>IFERROR(__xludf.DUMMYFUNCTION("""COMPUTED_VALUE"""),2012.0)</f>
        <v>2012</v>
      </c>
      <c r="E110" s="2">
        <f>IFERROR(__xludf.DUMMYFUNCTION("""COMPUTED_VALUE"""),123.0)</f>
        <v>123</v>
      </c>
      <c r="F110" s="2">
        <f>IFERROR(__xludf.DUMMYFUNCTION("""COMPUTED_VALUE"""),543.0)</f>
        <v>543</v>
      </c>
      <c r="G110" s="2">
        <f>IFERROR(__xludf.DUMMYFUNCTION("""COMPUTED_VALUE"""),666.0)</f>
        <v>666</v>
      </c>
      <c r="H110" s="7">
        <f>IFERROR(__xludf.DUMMYFUNCTION("""COMPUTED_VALUE"""),6.65)</f>
        <v>6.65</v>
      </c>
      <c r="I110" s="2">
        <f>IFERROR(__xludf.DUMMYFUNCTION("""COMPUTED_VALUE"""),31.73)</f>
        <v>31.73</v>
      </c>
      <c r="J110" s="4">
        <f>IFERROR(__xludf.DUMMYFUNCTION("""COMPUTED_VALUE"""),18.71)</f>
        <v>18.71</v>
      </c>
      <c r="K110" s="8">
        <f>IFERROR(__xludf.DUMMYFUNCTION("""COMPUTED_VALUE"""),0.123)</f>
        <v>0.123</v>
      </c>
    </row>
    <row r="111" ht="15.75" customHeight="1">
      <c r="C111" s="2" t="str">
        <f>IFERROR(__xludf.DUMMYFUNCTION("""COMPUTED_VALUE"""),"Montenegro [+]")</f>
        <v>Montenegro [+]</v>
      </c>
      <c r="D111" s="2">
        <f>IFERROR(__xludf.DUMMYFUNCTION("""COMPUTED_VALUE"""),2012.0)</f>
        <v>2012</v>
      </c>
      <c r="E111" s="2">
        <f>IFERROR(__xludf.DUMMYFUNCTION("""COMPUTED_VALUE"""),23.0)</f>
        <v>23</v>
      </c>
      <c r="F111" s="2">
        <f>IFERROR(__xludf.DUMMYFUNCTION("""COMPUTED_VALUE"""),49.0)</f>
        <v>49</v>
      </c>
      <c r="G111" s="2">
        <f>IFERROR(__xludf.DUMMYFUNCTION("""COMPUTED_VALUE"""),72.0)</f>
        <v>72</v>
      </c>
      <c r="H111" s="7">
        <f>IFERROR(__xludf.DUMMYFUNCTION("""COMPUTED_VALUE"""),7.37)</f>
        <v>7.37</v>
      </c>
      <c r="I111" s="2">
        <f>IFERROR(__xludf.DUMMYFUNCTION("""COMPUTED_VALUE"""),15.89)</f>
        <v>15.89</v>
      </c>
      <c r="J111" s="4">
        <f>IFERROR(__xludf.DUMMYFUNCTION("""COMPUTED_VALUE"""),11.58)</f>
        <v>11.58</v>
      </c>
      <c r="K111" s="8">
        <f>IFERROR(__xludf.DUMMYFUNCTION("""COMPUTED_VALUE"""),-0.006)</f>
        <v>-0.006</v>
      </c>
    </row>
    <row r="112" ht="15.75" customHeight="1">
      <c r="C112" s="2" t="str">
        <f>IFERROR(__xludf.DUMMYFUNCTION("""COMPUTED_VALUE"""),"Madagascar [+]")</f>
        <v>Madagascar [+]</v>
      </c>
      <c r="D112" s="2">
        <f>IFERROR(__xludf.DUMMYFUNCTION("""COMPUTED_VALUE"""),2012.0)</f>
        <v>2012</v>
      </c>
      <c r="E112" s="2">
        <f>IFERROR(__xludf.DUMMYFUNCTION("""COMPUTED_VALUE"""),297.0)</f>
        <v>297</v>
      </c>
      <c r="F112" s="2">
        <f>IFERROR(__xludf.DUMMYFUNCTION("""COMPUTED_VALUE"""),821.0)</f>
        <v>821</v>
      </c>
      <c r="G112" s="6">
        <f>IFERROR(__xludf.DUMMYFUNCTION("""COMPUTED_VALUE"""),1118.0)</f>
        <v>1118</v>
      </c>
      <c r="H112" s="7">
        <f>IFERROR(__xludf.DUMMYFUNCTION("""COMPUTED_VALUE"""),2.65)</f>
        <v>2.65</v>
      </c>
      <c r="I112" s="2">
        <f>IFERROR(__xludf.DUMMYFUNCTION("""COMPUTED_VALUE"""),7.38)</f>
        <v>7.38</v>
      </c>
      <c r="J112" s="4">
        <f>IFERROR(__xludf.DUMMYFUNCTION("""COMPUTED_VALUE"""),5.2)</f>
        <v>5.2</v>
      </c>
      <c r="K112" s="8">
        <f>IFERROR(__xludf.DUMMYFUNCTION("""COMPUTED_VALUE"""),-0.0335)</f>
        <v>-0.0335</v>
      </c>
    </row>
    <row r="113" ht="15.75" customHeight="1">
      <c r="C113" s="2" t="str">
        <f>IFERROR(__xludf.DUMMYFUNCTION("""COMPUTED_VALUE"""),"Macedonia del Norte [+]")</f>
        <v>Macedonia del Norte [+]</v>
      </c>
      <c r="D113" s="2">
        <f>IFERROR(__xludf.DUMMYFUNCTION("""COMPUTED_VALUE"""),2010.0)</f>
        <v>2010</v>
      </c>
      <c r="E113" s="2">
        <f>IFERROR(__xludf.DUMMYFUNCTION("""COMPUTED_VALUE"""),35.0)</f>
        <v>35</v>
      </c>
      <c r="F113" s="2">
        <f>IFERROR(__xludf.DUMMYFUNCTION("""COMPUTED_VALUE"""),87.0)</f>
        <v>87</v>
      </c>
      <c r="G113" s="2">
        <f>IFERROR(__xludf.DUMMYFUNCTION("""COMPUTED_VALUE"""),122.0)</f>
        <v>122</v>
      </c>
      <c r="H113" s="7">
        <f>IFERROR(__xludf.DUMMYFUNCTION("""COMPUTED_VALUE"""),3.4)</f>
        <v>3.4</v>
      </c>
      <c r="I113" s="2">
        <f>IFERROR(__xludf.DUMMYFUNCTION("""COMPUTED_VALUE"""),8.4)</f>
        <v>8.4</v>
      </c>
      <c r="J113" s="4">
        <f>IFERROR(__xludf.DUMMYFUNCTION("""COMPUTED_VALUE"""),5.9)</f>
        <v>5.9</v>
      </c>
      <c r="K113" s="8">
        <f>IFERROR(__xludf.DUMMYFUNCTION("""COMPUTED_VALUE"""),-0.2716)</f>
        <v>-0.2716</v>
      </c>
    </row>
    <row r="114" ht="15.75" customHeight="1">
      <c r="C114" s="2" t="str">
        <f>IFERROR(__xludf.DUMMYFUNCTION("""COMPUTED_VALUE"""),"Malí [+]")</f>
        <v>Malí [+]</v>
      </c>
      <c r="D114" s="2">
        <f>IFERROR(__xludf.DUMMYFUNCTION("""COMPUTED_VALUE"""),2012.0)</f>
        <v>2012</v>
      </c>
      <c r="E114" s="2">
        <f>IFERROR(__xludf.DUMMYFUNCTION("""COMPUTED_VALUE"""),308.0)</f>
        <v>308</v>
      </c>
      <c r="F114" s="2">
        <f>IFERROR(__xludf.DUMMYFUNCTION("""COMPUTED_VALUE"""),653.0)</f>
        <v>653</v>
      </c>
      <c r="G114" s="2">
        <f>IFERROR(__xludf.DUMMYFUNCTION("""COMPUTED_VALUE"""),961.0)</f>
        <v>961</v>
      </c>
      <c r="H114" s="7">
        <f>IFERROR(__xludf.DUMMYFUNCTION("""COMPUTED_VALUE"""),3.85)</f>
        <v>3.85</v>
      </c>
      <c r="I114" s="2">
        <f>IFERROR(__xludf.DUMMYFUNCTION("""COMPUTED_VALUE"""),8.18)</f>
        <v>8.18</v>
      </c>
      <c r="J114" s="4">
        <f>IFERROR(__xludf.DUMMYFUNCTION("""COMPUTED_VALUE"""),6.02)</f>
        <v>6.02</v>
      </c>
      <c r="K114" s="8">
        <f>IFERROR(__xludf.DUMMYFUNCTION("""COMPUTED_VALUE"""),0.0118)</f>
        <v>0.0118</v>
      </c>
    </row>
    <row r="115" ht="15.75" customHeight="1">
      <c r="C115" s="2" t="str">
        <f>IFERROR(__xludf.DUMMYFUNCTION("""COMPUTED_VALUE"""),"Myanmar [+]")</f>
        <v>Myanmar [+]</v>
      </c>
      <c r="D115" s="2">
        <f>IFERROR(__xludf.DUMMYFUNCTION("""COMPUTED_VALUE"""),2012.0)</f>
        <v>2012</v>
      </c>
      <c r="E115" s="2">
        <f>IFERROR(__xludf.DUMMYFUNCTION("""COMPUTED_VALUE"""),819.0)</f>
        <v>819</v>
      </c>
      <c r="F115" s="6">
        <f>IFERROR(__xludf.DUMMYFUNCTION("""COMPUTED_VALUE"""),1219.0)</f>
        <v>1219</v>
      </c>
      <c r="G115" s="6">
        <f>IFERROR(__xludf.DUMMYFUNCTION("""COMPUTED_VALUE"""),2038.0)</f>
        <v>2038</v>
      </c>
      <c r="H115" s="7">
        <f>IFERROR(__xludf.DUMMYFUNCTION("""COMPUTED_VALUE"""),3.08)</f>
        <v>3.08</v>
      </c>
      <c r="I115" s="2">
        <f>IFERROR(__xludf.DUMMYFUNCTION("""COMPUTED_VALUE"""),4.92)</f>
        <v>4.92</v>
      </c>
      <c r="J115" s="4">
        <f>IFERROR(__xludf.DUMMYFUNCTION("""COMPUTED_VALUE"""),4.08)</f>
        <v>4.08</v>
      </c>
      <c r="K115" s="8">
        <f>IFERROR(__xludf.DUMMYFUNCTION("""COMPUTED_VALUE"""),0.0251)</f>
        <v>0.0251</v>
      </c>
    </row>
    <row r="116" ht="15.75" customHeight="1">
      <c r="C116" s="2" t="str">
        <f>IFERROR(__xludf.DUMMYFUNCTION("""COMPUTED_VALUE"""),"Mongolia [+]")</f>
        <v>Mongolia [+]</v>
      </c>
      <c r="D116" s="2">
        <f>IFERROR(__xludf.DUMMYFUNCTION("""COMPUTED_VALUE"""),2012.0)</f>
        <v>2012</v>
      </c>
      <c r="E116" s="2">
        <f>IFERROR(__xludf.DUMMYFUNCTION("""COMPUTED_VALUE"""),136.0)</f>
        <v>136</v>
      </c>
      <c r="F116" s="2">
        <f>IFERROR(__xludf.DUMMYFUNCTION("""COMPUTED_VALUE"""),680.0)</f>
        <v>680</v>
      </c>
      <c r="G116" s="2">
        <f>IFERROR(__xludf.DUMMYFUNCTION("""COMPUTED_VALUE"""),816.0)</f>
        <v>816</v>
      </c>
      <c r="H116" s="7">
        <f>IFERROR(__xludf.DUMMYFUNCTION("""COMPUTED_VALUE"""),9.5)</f>
        <v>9.5</v>
      </c>
      <c r="I116" s="2">
        <f>IFERROR(__xludf.DUMMYFUNCTION("""COMPUTED_VALUE"""),48.63)</f>
        <v>48.63</v>
      </c>
      <c r="J116" s="4">
        <f>IFERROR(__xludf.DUMMYFUNCTION("""COMPUTED_VALUE"""),28.45)</f>
        <v>28.45</v>
      </c>
      <c r="K116" s="8">
        <f>IFERROR(__xludf.DUMMYFUNCTION("""COMPUTED_VALUE"""),-0.0207)</f>
        <v>-0.0207</v>
      </c>
    </row>
    <row r="117" ht="15.75" customHeight="1">
      <c r="C117" s="2" t="str">
        <f>IFERROR(__xludf.DUMMYFUNCTION("""COMPUTED_VALUE"""),"Mauritania [+]")</f>
        <v>Mauritania [+]</v>
      </c>
      <c r="D117" s="5">
        <f>IFERROR(__xludf.DUMMYFUNCTION("""COMPUTED_VALUE"""),2012.0)</f>
        <v>2012</v>
      </c>
      <c r="E117" s="2">
        <f>IFERROR(__xludf.DUMMYFUNCTION("""COMPUTED_VALUE"""),64.0)</f>
        <v>64</v>
      </c>
      <c r="F117" s="6">
        <f>IFERROR(__xludf.DUMMYFUNCTION("""COMPUTED_VALUE"""),151.0)</f>
        <v>151</v>
      </c>
      <c r="G117" s="2">
        <f>IFERROR(__xludf.DUMMYFUNCTION("""COMPUTED_VALUE"""),215.0)</f>
        <v>215</v>
      </c>
      <c r="H117" s="7">
        <f>IFERROR(__xludf.DUMMYFUNCTION("""COMPUTED_VALUE"""),3.44)</f>
        <v>3.44</v>
      </c>
      <c r="I117" s="2">
        <f>IFERROR(__xludf.DUMMYFUNCTION("""COMPUTED_VALUE"""),8.14)</f>
        <v>8.14</v>
      </c>
      <c r="J117" s="4">
        <f>IFERROR(__xludf.DUMMYFUNCTION("""COMPUTED_VALUE"""),6.22)</f>
        <v>6.22</v>
      </c>
      <c r="K117" s="8">
        <f>IFERROR(__xludf.DUMMYFUNCTION("""COMPUTED_VALUE"""),0.0419)</f>
        <v>0.0419</v>
      </c>
    </row>
    <row r="118" ht="15.75" customHeight="1">
      <c r="C118" s="2" t="str">
        <f>IFERROR(__xludf.DUMMYFUNCTION("""COMPUTED_VALUE"""),"Malta [+]")</f>
        <v>Malta [+]</v>
      </c>
      <c r="D118" s="5">
        <f>IFERROR(__xludf.DUMMYFUNCTION("""COMPUTED_VALUE"""),2012.0)</f>
        <v>2012</v>
      </c>
      <c r="E118" s="2">
        <f>IFERROR(__xludf.DUMMYFUNCTION("""COMPUTED_VALUE"""),7.0)</f>
        <v>7</v>
      </c>
      <c r="F118" s="2">
        <f>IFERROR(__xludf.DUMMYFUNCTION("""COMPUTED_VALUE"""),21.0)</f>
        <v>21</v>
      </c>
      <c r="G118" s="2">
        <f>IFERROR(__xludf.DUMMYFUNCTION("""COMPUTED_VALUE"""),28.0)</f>
        <v>28</v>
      </c>
      <c r="H118" s="7">
        <f>IFERROR(__xludf.DUMMYFUNCTION("""COMPUTED_VALUE"""),2.84)</f>
        <v>2.84</v>
      </c>
      <c r="I118" s="2">
        <f>IFERROR(__xludf.DUMMYFUNCTION("""COMPUTED_VALUE"""),9.09)</f>
        <v>9.09</v>
      </c>
      <c r="J118" s="4">
        <f>IFERROR(__xludf.DUMMYFUNCTION("""COMPUTED_VALUE"""),5.95)</f>
        <v>5.95</v>
      </c>
      <c r="K118" s="8">
        <f>IFERROR(__xludf.DUMMYFUNCTION("""COMPUTED_VALUE"""),0.2396)</f>
        <v>0.2396</v>
      </c>
    </row>
    <row r="119" ht="15.75" customHeight="1">
      <c r="C119" s="2" t="str">
        <f>IFERROR(__xludf.DUMMYFUNCTION("""COMPUTED_VALUE"""),"Mauricio [+]")</f>
        <v>Mauricio [+]</v>
      </c>
      <c r="D119" s="2">
        <f>IFERROR(__xludf.DUMMYFUNCTION("""COMPUTED_VALUE"""),2012.0)</f>
        <v>2012</v>
      </c>
      <c r="E119" s="2">
        <f>IFERROR(__xludf.DUMMYFUNCTION("""COMPUTED_VALUE"""),29.0)</f>
        <v>29</v>
      </c>
      <c r="F119" s="2">
        <f>IFERROR(__xludf.DUMMYFUNCTION("""COMPUTED_VALUE"""),94.0)</f>
        <v>94</v>
      </c>
      <c r="G119" s="2">
        <f>IFERROR(__xludf.DUMMYFUNCTION("""COMPUTED_VALUE"""),123.0)</f>
        <v>123</v>
      </c>
      <c r="H119" s="7">
        <f>IFERROR(__xludf.DUMMYFUNCTION("""COMPUTED_VALUE"""),4.58)</f>
        <v>4.58</v>
      </c>
      <c r="I119" s="2">
        <f>IFERROR(__xludf.DUMMYFUNCTION("""COMPUTED_VALUE"""),15.11)</f>
        <v>15.11</v>
      </c>
      <c r="J119" s="4">
        <f>IFERROR(__xludf.DUMMYFUNCTION("""COMPUTED_VALUE"""),9.8)</f>
        <v>9.8</v>
      </c>
      <c r="K119" s="8">
        <f>IFERROR(__xludf.DUMMYFUNCTION("""COMPUTED_VALUE"""),-0.043)</f>
        <v>-0.043</v>
      </c>
    </row>
    <row r="120" ht="15.75" customHeight="1">
      <c r="C120" s="2" t="str">
        <f>IFERROR(__xludf.DUMMYFUNCTION("""COMPUTED_VALUE"""),"Maldivas [+]")</f>
        <v>Maldivas [+]</v>
      </c>
      <c r="D120" s="2">
        <f>IFERROR(__xludf.DUMMYFUNCTION("""COMPUTED_VALUE"""),2012.0)</f>
        <v>2012</v>
      </c>
      <c r="E120" s="2">
        <f>IFERROR(__xludf.DUMMYFUNCTION("""COMPUTED_VALUE"""),13.0)</f>
        <v>13</v>
      </c>
      <c r="F120" s="2">
        <f>IFERROR(__xludf.DUMMYFUNCTION("""COMPUTED_VALUE"""),20.0)</f>
        <v>20</v>
      </c>
      <c r="G120" s="2">
        <f>IFERROR(__xludf.DUMMYFUNCTION("""COMPUTED_VALUE"""),32.0)</f>
        <v>32</v>
      </c>
      <c r="H120" s="7">
        <f>IFERROR(__xludf.DUMMYFUNCTION("""COMPUTED_VALUE"""),7.24)</f>
        <v>7.24</v>
      </c>
      <c r="I120" s="2">
        <f>IFERROR(__xludf.DUMMYFUNCTION("""COMPUTED_VALUE"""),8.81)</f>
        <v>8.81</v>
      </c>
      <c r="J120" s="4">
        <f>IFERROR(__xludf.DUMMYFUNCTION("""COMPUTED_VALUE"""),9.75)</f>
        <v>9.75</v>
      </c>
      <c r="K120" s="8">
        <f>IFERROR(__xludf.DUMMYFUNCTION("""COMPUTED_VALUE"""),-0.0081)</f>
        <v>-0.0081</v>
      </c>
    </row>
    <row r="121" ht="15.75" customHeight="1">
      <c r="C121" s="2" t="str">
        <f>IFERROR(__xludf.DUMMYFUNCTION("""COMPUTED_VALUE"""),"Malaui [+]")</f>
        <v>Malaui [+]</v>
      </c>
      <c r="D121" s="2">
        <f>IFERROR(__xludf.DUMMYFUNCTION("""COMPUTED_VALUE"""),2012.0)</f>
        <v>2012</v>
      </c>
      <c r="E121" s="2">
        <f>IFERROR(__xludf.DUMMYFUNCTION("""COMPUTED_VALUE"""),186.0)</f>
        <v>186</v>
      </c>
      <c r="F121" s="2">
        <f>IFERROR(__xludf.DUMMYFUNCTION("""COMPUTED_VALUE"""),643.0)</f>
        <v>643</v>
      </c>
      <c r="G121" s="2">
        <f>IFERROR(__xludf.DUMMYFUNCTION("""COMPUTED_VALUE"""),829.0)</f>
        <v>829</v>
      </c>
      <c r="H121" s="7">
        <f>IFERROR(__xludf.DUMMYFUNCTION("""COMPUTED_VALUE"""),2.37)</f>
        <v>2.37</v>
      </c>
      <c r="I121" s="2">
        <f>IFERROR(__xludf.DUMMYFUNCTION("""COMPUTED_VALUE"""),8.49)</f>
        <v>8.49</v>
      </c>
      <c r="J121" s="4">
        <f>IFERROR(__xludf.DUMMYFUNCTION("""COMPUTED_VALUE"""),4.98)</f>
        <v>4.98</v>
      </c>
      <c r="K121" s="8">
        <f>IFERROR(__xludf.DUMMYFUNCTION("""COMPUTED_VALUE"""),0.0101)</f>
        <v>0.0101</v>
      </c>
    </row>
    <row r="122" ht="15.75" customHeight="1">
      <c r="C122" s="4" t="str">
        <f>IFERROR(__xludf.DUMMYFUNCTION("""COMPUTED_VALUE"""),"México [+]")</f>
        <v>México [+]</v>
      </c>
      <c r="D122" s="4">
        <f>IFERROR(__xludf.DUMMYFUNCTION("""COMPUTED_VALUE"""),2012.0)</f>
        <v>2012</v>
      </c>
      <c r="E122" s="9">
        <f>IFERROR(__xludf.DUMMYFUNCTION("""COMPUTED_VALUE"""),1052.0)</f>
        <v>1052</v>
      </c>
      <c r="F122" s="9">
        <f>IFERROR(__xludf.DUMMYFUNCTION("""COMPUTED_VALUE"""),4357.0)</f>
        <v>4357</v>
      </c>
      <c r="G122" s="9">
        <f>IFERROR(__xludf.DUMMYFUNCTION("""COMPUTED_VALUE"""),5549.0)</f>
        <v>5549</v>
      </c>
      <c r="H122" s="4">
        <f>IFERROR(__xludf.DUMMYFUNCTION("""COMPUTED_VALUE"""),1.8)</f>
        <v>1.8</v>
      </c>
      <c r="I122" s="4">
        <f>IFERROR(__xludf.DUMMYFUNCTION("""COMPUTED_VALUE"""),7.6)</f>
        <v>7.6</v>
      </c>
      <c r="J122" s="4">
        <f>IFERROR(__xludf.DUMMYFUNCTION("""COMPUTED_VALUE"""),4.6)</f>
        <v>4.6</v>
      </c>
      <c r="K122" s="8">
        <f>IFERROR(__xludf.DUMMYFUNCTION("""COMPUTED_VALUE"""),-0.0612)</f>
        <v>-0.0612</v>
      </c>
    </row>
    <row r="123" ht="15.75" customHeight="1">
      <c r="C123" s="4" t="str">
        <f>IFERROR(__xludf.DUMMYFUNCTION("""COMPUTED_VALUE"""),"Malasia [+]")</f>
        <v>Malasia [+]</v>
      </c>
      <c r="D123" s="4">
        <f>IFERROR(__xludf.DUMMYFUNCTION("""COMPUTED_VALUE"""),2012.0)</f>
        <v>2012</v>
      </c>
      <c r="E123" s="4">
        <f>IFERROR(__xludf.DUMMYFUNCTION("""COMPUTED_VALUE"""),421.0)</f>
        <v>421</v>
      </c>
      <c r="F123" s="9">
        <f>IFERROR(__xludf.DUMMYFUNCTION("""COMPUTED_VALUE"""),1196.0)</f>
        <v>1196</v>
      </c>
      <c r="G123" s="9">
        <f>IFERROR(__xludf.DUMMYFUNCTION("""COMPUTED_VALUE"""),1617.0)</f>
        <v>1617</v>
      </c>
      <c r="H123" s="4">
        <f>IFERROR(__xludf.DUMMYFUNCTION("""COMPUTED_VALUE"""),2.99)</f>
        <v>2.99</v>
      </c>
      <c r="I123" s="4">
        <f>IFERROR(__xludf.DUMMYFUNCTION("""COMPUTED_VALUE"""),7.98)</f>
        <v>7.98</v>
      </c>
      <c r="J123" s="4">
        <f>IFERROR(__xludf.DUMMYFUNCTION("""COMPUTED_VALUE"""),5.48)</f>
        <v>5.48</v>
      </c>
      <c r="K123" s="8">
        <f>IFERROR(__xludf.DUMMYFUNCTION("""COMPUTED_VALUE"""),0.0186)</f>
        <v>0.0186</v>
      </c>
    </row>
    <row r="124" ht="15.75" customHeight="1">
      <c r="C124" s="4" t="str">
        <f>IFERROR(__xludf.DUMMYFUNCTION("""COMPUTED_VALUE"""),"Mozambique [+]")</f>
        <v>Mozambique [+]</v>
      </c>
      <c r="D124" s="4">
        <f>IFERROR(__xludf.DUMMYFUNCTION("""COMPUTED_VALUE"""),2012.0)</f>
        <v>2012</v>
      </c>
      <c r="E124" s="4">
        <f>IFERROR(__xludf.DUMMYFUNCTION("""COMPUTED_VALUE"""),592.0)</f>
        <v>592</v>
      </c>
      <c r="F124" s="9">
        <f>IFERROR(__xludf.DUMMYFUNCTION("""COMPUTED_VALUE"""),1610.0)</f>
        <v>1610</v>
      </c>
      <c r="G124" s="9">
        <f>IFERROR(__xludf.DUMMYFUNCTION("""COMPUTED_VALUE"""),2202.0)</f>
        <v>2202</v>
      </c>
      <c r="H124" s="4">
        <f>IFERROR(__xludf.DUMMYFUNCTION("""COMPUTED_VALUE"""),4.61)</f>
        <v>4.61</v>
      </c>
      <c r="I124" s="4">
        <f>IFERROR(__xludf.DUMMYFUNCTION("""COMPUTED_VALUE"""),13.4)</f>
        <v>13.4</v>
      </c>
      <c r="J124" s="4">
        <f>IFERROR(__xludf.DUMMYFUNCTION("""COMPUTED_VALUE"""),8.86)</f>
        <v>8.86</v>
      </c>
      <c r="K124" s="8">
        <f>IFERROR(__xludf.DUMMYFUNCTION("""COMPUTED_VALUE"""),-0.0101)</f>
        <v>-0.0101</v>
      </c>
    </row>
    <row r="125" ht="15.75" customHeight="1">
      <c r="C125" s="4" t="str">
        <f>IFERROR(__xludf.DUMMYFUNCTION("""COMPUTED_VALUE"""),"Namibia [+]")</f>
        <v>Namibia [+]</v>
      </c>
      <c r="D125" s="4">
        <f>IFERROR(__xludf.DUMMYFUNCTION("""COMPUTED_VALUE"""),2012.0)</f>
        <v>2012</v>
      </c>
      <c r="E125" s="4">
        <f>IFERROR(__xludf.DUMMYFUNCTION("""COMPUTED_VALUE"""),45.0)</f>
        <v>45</v>
      </c>
      <c r="F125" s="4">
        <f>IFERROR(__xludf.DUMMYFUNCTION("""COMPUTED_VALUE"""),134.0)</f>
        <v>134</v>
      </c>
      <c r="G125" s="4">
        <f>IFERROR(__xludf.DUMMYFUNCTION("""COMPUTED_VALUE"""),179.0)</f>
        <v>179</v>
      </c>
      <c r="H125" s="4">
        <f>IFERROR(__xludf.DUMMYFUNCTION("""COMPUTED_VALUE"""),3.97)</f>
        <v>3.97</v>
      </c>
      <c r="I125" s="4">
        <f>IFERROR(__xludf.DUMMYFUNCTION("""COMPUTED_VALUE"""),12.59)</f>
        <v>12.59</v>
      </c>
      <c r="J125" s="4">
        <f>IFERROR(__xludf.DUMMYFUNCTION("""COMPUTED_VALUE"""),8.29)</f>
        <v>8.29</v>
      </c>
      <c r="K125" s="8">
        <f>IFERROR(__xludf.DUMMYFUNCTION("""COMPUTED_VALUE"""),-0.058)</f>
        <v>-0.058</v>
      </c>
    </row>
    <row r="126" ht="15.75" customHeight="1">
      <c r="C126" s="4" t="str">
        <f>IFERROR(__xludf.DUMMYFUNCTION("""COMPUTED_VALUE"""),"Níger [+]")</f>
        <v>Níger [+]</v>
      </c>
      <c r="D126" s="4">
        <f>IFERROR(__xludf.DUMMYFUNCTION("""COMPUTED_VALUE"""),2012.0)</f>
        <v>2012</v>
      </c>
      <c r="E126" s="4">
        <f>IFERROR(__xludf.DUMMYFUNCTION("""COMPUTED_VALUE"""),251.0)</f>
        <v>251</v>
      </c>
      <c r="F126" s="4">
        <f>IFERROR(__xludf.DUMMYFUNCTION("""COMPUTED_VALUE"""),509.0)</f>
        <v>509</v>
      </c>
      <c r="G126" s="4">
        <f>IFERROR(__xludf.DUMMYFUNCTION("""COMPUTED_VALUE"""),760.0)</f>
        <v>760</v>
      </c>
      <c r="H126" s="4">
        <f>IFERROR(__xludf.DUMMYFUNCTION("""COMPUTED_VALUE"""),2.83)</f>
        <v>2.83</v>
      </c>
      <c r="I126" s="4">
        <f>IFERROR(__xludf.DUMMYFUNCTION("""COMPUTED_VALUE"""),5.72)</f>
        <v>5.72</v>
      </c>
      <c r="J126" s="4">
        <f>IFERROR(__xludf.DUMMYFUNCTION("""COMPUTED_VALUE"""),4.27)</f>
        <v>4.27</v>
      </c>
      <c r="K126" s="8">
        <f>IFERROR(__xludf.DUMMYFUNCTION("""COMPUTED_VALUE"""),-0.0273)</f>
        <v>-0.0273</v>
      </c>
    </row>
    <row r="127" ht="15.75" customHeight="1">
      <c r="C127" s="4" t="str">
        <f>IFERROR(__xludf.DUMMYFUNCTION("""COMPUTED_VALUE"""),"Nigeria [+]")</f>
        <v>Nigeria [+]</v>
      </c>
      <c r="D127" s="4">
        <f>IFERROR(__xludf.DUMMYFUNCTION("""COMPUTED_VALUE"""),2012.0)</f>
        <v>2012</v>
      </c>
      <c r="E127" s="9">
        <f>IFERROR(__xludf.DUMMYFUNCTION("""COMPUTED_VALUE"""),4903.0)</f>
        <v>4903</v>
      </c>
      <c r="F127" s="9">
        <f>IFERROR(__xludf.DUMMYFUNCTION("""COMPUTED_VALUE"""),11883.0)</f>
        <v>11883</v>
      </c>
      <c r="G127" s="9">
        <f>IFERROR(__xludf.DUMMYFUNCTION("""COMPUTED_VALUE"""),16786.0)</f>
        <v>16786</v>
      </c>
      <c r="H127" s="4">
        <f>IFERROR(__xludf.DUMMYFUNCTION("""COMPUTED_VALUE"""),5.94)</f>
        <v>5.94</v>
      </c>
      <c r="I127" s="4">
        <f>IFERROR(__xludf.DUMMYFUNCTION("""COMPUTED_VALUE"""),14.04)</f>
        <v>14.04</v>
      </c>
      <c r="J127" s="4">
        <f>IFERROR(__xludf.DUMMYFUNCTION("""COMPUTED_VALUE"""),10.04)</f>
        <v>10.04</v>
      </c>
      <c r="K127" s="8">
        <f>IFERROR(__xludf.DUMMYFUNCTION("""COMPUTED_VALUE"""),0.008)</f>
        <v>0.008</v>
      </c>
    </row>
    <row r="128" ht="15.75" customHeight="1">
      <c r="C128" s="4" t="str">
        <f>IFERROR(__xludf.DUMMYFUNCTION("""COMPUTED_VALUE"""),"Nicaragua [+]")</f>
        <v>Nicaragua [+]</v>
      </c>
      <c r="D128" s="4">
        <f>IFERROR(__xludf.DUMMYFUNCTION("""COMPUTED_VALUE"""),2012.0)</f>
        <v>2012</v>
      </c>
      <c r="E128" s="4">
        <f>IFERROR(__xludf.DUMMYFUNCTION("""COMPUTED_VALUE"""),153.0)</f>
        <v>153</v>
      </c>
      <c r="F128" s="4">
        <f>IFERROR(__xludf.DUMMYFUNCTION("""COMPUTED_VALUE"""),514.0)</f>
        <v>514</v>
      </c>
      <c r="G128" s="4">
        <f>IFERROR(__xludf.DUMMYFUNCTION("""COMPUTED_VALUE"""),667.0)</f>
        <v>667</v>
      </c>
      <c r="H128" s="4">
        <f>IFERROR(__xludf.DUMMYFUNCTION("""COMPUTED_VALUE"""),5.05)</f>
        <v>5.05</v>
      </c>
      <c r="I128" s="4">
        <f>IFERROR(__xludf.DUMMYFUNCTION("""COMPUTED_VALUE"""),17.43)</f>
        <v>17.43</v>
      </c>
      <c r="J128" s="4">
        <f>IFERROR(__xludf.DUMMYFUNCTION("""COMPUTED_VALUE"""),10.94)</f>
        <v>10.94</v>
      </c>
      <c r="K128" s="8">
        <f>IFERROR(__xludf.DUMMYFUNCTION("""COMPUTED_VALUE"""),0.2618)</f>
        <v>0.2618</v>
      </c>
    </row>
    <row r="129" ht="15.75" customHeight="1">
      <c r="C129" s="4" t="str">
        <f>IFERROR(__xludf.DUMMYFUNCTION("""COMPUTED_VALUE"""),"Países Bajos [+]")</f>
        <v>Países Bajos [+]</v>
      </c>
      <c r="D129" s="4">
        <f>IFERROR(__xludf.DUMMYFUNCTION("""COMPUTED_VALUE"""),2012.0)</f>
        <v>2012</v>
      </c>
      <c r="E129" s="4">
        <f>IFERROR(__xludf.DUMMYFUNCTION("""COMPUTED_VALUE"""),577.0)</f>
        <v>577</v>
      </c>
      <c r="F129" s="9">
        <f>IFERROR(__xludf.DUMMYFUNCTION("""COMPUTED_VALUE"""),1256.0)</f>
        <v>1256</v>
      </c>
      <c r="G129" s="9">
        <f>IFERROR(__xludf.DUMMYFUNCTION("""COMPUTED_VALUE"""),1835.0)</f>
        <v>1835</v>
      </c>
      <c r="H129" s="4">
        <f>IFERROR(__xludf.DUMMYFUNCTION("""COMPUTED_VALUE"""),6.8)</f>
        <v>6.8</v>
      </c>
      <c r="I129" s="4">
        <f>IFERROR(__xludf.DUMMYFUNCTION("""COMPUTED_VALUE"""),14.47)</f>
        <v>14.47</v>
      </c>
      <c r="J129" s="4">
        <f>IFERROR(__xludf.DUMMYFUNCTION("""COMPUTED_VALUE"""),10.59)</f>
        <v>10.59</v>
      </c>
      <c r="K129" s="8">
        <f>IFERROR(__xludf.DUMMYFUNCTION("""COMPUTED_VALUE"""),0.0665)</f>
        <v>0.0665</v>
      </c>
    </row>
    <row r="130" ht="15.75" customHeight="1">
      <c r="C130" s="4" t="str">
        <f>IFERROR(__xludf.DUMMYFUNCTION("""COMPUTED_VALUE"""),"Noruega [+]")</f>
        <v>Noruega [+]</v>
      </c>
      <c r="D130" s="4">
        <f>IFERROR(__xludf.DUMMYFUNCTION("""COMPUTED_VALUE"""),2012.0)</f>
        <v>2012</v>
      </c>
      <c r="E130" s="4">
        <f>IFERROR(__xludf.DUMMYFUNCTION("""COMPUTED_VALUE"""),146.0)</f>
        <v>146</v>
      </c>
      <c r="F130" s="4">
        <f>IFERROR(__xludf.DUMMYFUNCTION("""COMPUTED_VALUE"""),369.0)</f>
        <v>369</v>
      </c>
      <c r="G130" s="4">
        <f>IFERROR(__xludf.DUMMYFUNCTION("""COMPUTED_VALUE"""),515.0)</f>
        <v>515</v>
      </c>
      <c r="H130" s="4">
        <f>IFERROR(__xludf.DUMMYFUNCTION("""COMPUTED_VALUE"""),5.88)</f>
        <v>5.88</v>
      </c>
      <c r="I130" s="4">
        <f>IFERROR(__xludf.DUMMYFUNCTION("""COMPUTED_VALUE"""),14.74)</f>
        <v>14.74</v>
      </c>
      <c r="J130" s="4">
        <f>IFERROR(__xludf.DUMMYFUNCTION("""COMPUTED_VALUE"""),10.34)</f>
        <v>10.34</v>
      </c>
      <c r="K130" s="8">
        <f>IFERROR(__xludf.DUMMYFUNCTION("""COMPUTED_VALUE"""),-0.1476)</f>
        <v>-0.1476</v>
      </c>
    </row>
    <row r="131" ht="15.75" customHeight="1">
      <c r="C131" s="4" t="str">
        <f>IFERROR(__xludf.DUMMYFUNCTION("""COMPUTED_VALUE"""),"Nepal [+]")</f>
        <v>Nepal [+]</v>
      </c>
      <c r="D131" s="4">
        <f>IFERROR(__xludf.DUMMYFUNCTION("""COMPUTED_VALUE"""),2012.0)</f>
        <v>2012</v>
      </c>
      <c r="E131" s="4">
        <f>IFERROR(__xludf.DUMMYFUNCTION("""COMPUTED_VALUE"""),842.0)</f>
        <v>842</v>
      </c>
      <c r="F131" s="4">
        <f>IFERROR(__xludf.DUMMYFUNCTION("""COMPUTED_VALUE"""),908.0)</f>
        <v>908</v>
      </c>
      <c r="G131" s="9">
        <f>IFERROR(__xludf.DUMMYFUNCTION("""COMPUTED_VALUE"""),1750.0)</f>
        <v>1750</v>
      </c>
      <c r="H131" s="4">
        <f>IFERROR(__xludf.DUMMYFUNCTION("""COMPUTED_VALUE"""),6.0)</f>
        <v>6</v>
      </c>
      <c r="I131" s="4">
        <f>IFERROR(__xludf.DUMMYFUNCTION("""COMPUTED_VALUE"""),7.01)</f>
        <v>7.01</v>
      </c>
      <c r="J131" s="4">
        <f>IFERROR(__xludf.DUMMYFUNCTION("""COMPUTED_VALUE"""),6.48)</f>
        <v>6.48</v>
      </c>
      <c r="K131" s="4">
        <f>IFERROR(__xludf.DUMMYFUNCTION("""COMPUTED_VALUE"""),0.0)</f>
        <v>0</v>
      </c>
    </row>
    <row r="132" ht="15.75" customHeight="1">
      <c r="C132" s="4" t="str">
        <f>IFERROR(__xludf.DUMMYFUNCTION("""COMPUTED_VALUE"""),"Nueva Zelanda [+]")</f>
        <v>Nueva Zelanda [+]</v>
      </c>
      <c r="D132" s="4">
        <f>IFERROR(__xludf.DUMMYFUNCTION("""COMPUTED_VALUE"""),2012.0)</f>
        <v>2012</v>
      </c>
      <c r="E132" s="4">
        <f>IFERROR(__xludf.DUMMYFUNCTION("""COMPUTED_VALUE"""),145.0)</f>
        <v>145</v>
      </c>
      <c r="F132" s="4">
        <f>IFERROR(__xludf.DUMMYFUNCTION("""COMPUTED_VALUE"""),404.0)</f>
        <v>404</v>
      </c>
      <c r="G132" s="4">
        <f>IFERROR(__xludf.DUMMYFUNCTION("""COMPUTED_VALUE"""),549.0)</f>
        <v>549</v>
      </c>
      <c r="H132" s="4">
        <f>IFERROR(__xludf.DUMMYFUNCTION("""COMPUTED_VALUE"""),6.4)</f>
        <v>6.4</v>
      </c>
      <c r="I132" s="4">
        <f>IFERROR(__xludf.DUMMYFUNCTION("""COMPUTED_VALUE"""),18.7)</f>
        <v>18.7</v>
      </c>
      <c r="J132" s="4">
        <f>IFERROR(__xludf.DUMMYFUNCTION("""COMPUTED_VALUE"""),12.5)</f>
        <v>12.5</v>
      </c>
      <c r="K132" s="8">
        <f>IFERROR(__xludf.DUMMYFUNCTION("""COMPUTED_VALUE"""),0.1161)</f>
        <v>0.1161</v>
      </c>
    </row>
    <row r="133" ht="15.75" customHeight="1">
      <c r="C133" s="4" t="str">
        <f>IFERROR(__xludf.DUMMYFUNCTION("""COMPUTED_VALUE"""),"Omán [+]")</f>
        <v>Omán [+]</v>
      </c>
      <c r="D133" s="4">
        <f>IFERROR(__xludf.DUMMYFUNCTION("""COMPUTED_VALUE"""),2012.0)</f>
        <v>2012</v>
      </c>
      <c r="E133" s="4">
        <f>IFERROR(__xludf.DUMMYFUNCTION("""COMPUTED_VALUE"""),14.0)</f>
        <v>14</v>
      </c>
      <c r="F133" s="4">
        <f>IFERROR(__xludf.DUMMYFUNCTION("""COMPUTED_VALUE"""),153.0)</f>
        <v>153</v>
      </c>
      <c r="G133" s="4">
        <f>IFERROR(__xludf.DUMMYFUNCTION("""COMPUTED_VALUE"""),167.0)</f>
        <v>167</v>
      </c>
      <c r="H133" s="4">
        <f>IFERROR(__xludf.DUMMYFUNCTION("""COMPUTED_VALUE"""),1.07)</f>
        <v>1.07</v>
      </c>
      <c r="I133" s="4">
        <f>IFERROR(__xludf.DUMMYFUNCTION("""COMPUTED_VALUE"""),6.97)</f>
        <v>6.97</v>
      </c>
      <c r="J133" s="4">
        <f>IFERROR(__xludf.DUMMYFUNCTION("""COMPUTED_VALUE"""),4.6)</f>
        <v>4.6</v>
      </c>
      <c r="K133" s="8">
        <f>IFERROR(__xludf.DUMMYFUNCTION("""COMPUTED_VALUE"""),0.0407)</f>
        <v>0.0407</v>
      </c>
    </row>
    <row r="134" ht="15.75" customHeight="1">
      <c r="C134" s="4" t="str">
        <f>IFERROR(__xludf.DUMMYFUNCTION("""COMPUTED_VALUE"""),"Panamá [+]")</f>
        <v>Panamá [+]</v>
      </c>
      <c r="D134" s="4">
        <f>IFERROR(__xludf.DUMMYFUNCTION("""COMPUTED_VALUE"""),2012.0)</f>
        <v>2012</v>
      </c>
      <c r="E134" s="4">
        <f>IFERROR(__xludf.DUMMYFUNCTION("""COMPUTED_VALUE"""),21.0)</f>
        <v>21</v>
      </c>
      <c r="F134" s="4">
        <f>IFERROR(__xludf.DUMMYFUNCTION("""COMPUTED_VALUE"""),181.0)</f>
        <v>181</v>
      </c>
      <c r="G134" s="4">
        <f>IFERROR(__xludf.DUMMYFUNCTION("""COMPUTED_VALUE"""),202.0)</f>
        <v>202</v>
      </c>
      <c r="H134" s="4">
        <f>IFERROR(__xludf.DUMMYFUNCTION("""COMPUTED_VALUE"""),1.12)</f>
        <v>1.12</v>
      </c>
      <c r="I134" s="4">
        <f>IFERROR(__xludf.DUMMYFUNCTION("""COMPUTED_VALUE"""),9.54)</f>
        <v>9.54</v>
      </c>
      <c r="J134" s="4">
        <f>IFERROR(__xludf.DUMMYFUNCTION("""COMPUTED_VALUE"""),5.32)</f>
        <v>5.32</v>
      </c>
      <c r="K134" s="8">
        <f>IFERROR(__xludf.DUMMYFUNCTION("""COMPUTED_VALUE"""),0.0153)</f>
        <v>0.0153</v>
      </c>
    </row>
    <row r="135" ht="15.75" customHeight="1">
      <c r="C135" s="4" t="str">
        <f>IFERROR(__xludf.DUMMYFUNCTION("""COMPUTED_VALUE"""),"Perú [+]")</f>
        <v>Perú [+]</v>
      </c>
      <c r="D135" s="4">
        <f>IFERROR(__xludf.DUMMYFUNCTION("""COMPUTED_VALUE"""),2012.0)</f>
        <v>2012</v>
      </c>
      <c r="E135" s="4">
        <f>IFERROR(__xludf.DUMMYFUNCTION("""COMPUTED_VALUE"""),197.0)</f>
        <v>197</v>
      </c>
      <c r="F135" s="4">
        <f>IFERROR(__xludf.DUMMYFUNCTION("""COMPUTED_VALUE"""),394.0)</f>
        <v>394</v>
      </c>
      <c r="G135" s="4">
        <f>IFERROR(__xludf.DUMMYFUNCTION("""COMPUTED_VALUE"""),591.0)</f>
        <v>591</v>
      </c>
      <c r="H135" s="4">
        <f>IFERROR(__xludf.DUMMYFUNCTION("""COMPUTED_VALUE"""),1.3)</f>
        <v>1.3</v>
      </c>
      <c r="I135" s="4">
        <f>IFERROR(__xludf.DUMMYFUNCTION("""COMPUTED_VALUE"""),2.7)</f>
        <v>2.7</v>
      </c>
      <c r="J135" s="4">
        <f>IFERROR(__xludf.DUMMYFUNCTION("""COMPUTED_VALUE"""),2.0)</f>
        <v>2</v>
      </c>
      <c r="K135" s="8">
        <f>IFERROR(__xludf.DUMMYFUNCTION("""COMPUTED_VALUE"""),0.25)</f>
        <v>0.25</v>
      </c>
    </row>
    <row r="136" ht="15.75" customHeight="1">
      <c r="C136" s="4" t="str">
        <f>IFERROR(__xludf.DUMMYFUNCTION("""COMPUTED_VALUE"""),"Papúa Nueva Guinea [+]")</f>
        <v>Papúa Nueva Guinea [+]</v>
      </c>
      <c r="D136" s="4">
        <f>IFERROR(__xludf.DUMMYFUNCTION("""COMPUTED_VALUE"""),2012.0)</f>
        <v>2012</v>
      </c>
      <c r="E136" s="4">
        <f>IFERROR(__xludf.DUMMYFUNCTION("""COMPUTED_VALUE"""),153.0)</f>
        <v>153</v>
      </c>
      <c r="F136" s="4">
        <f>IFERROR(__xludf.DUMMYFUNCTION("""COMPUTED_VALUE"""),480.0)</f>
        <v>480</v>
      </c>
      <c r="G136" s="4">
        <f>IFERROR(__xludf.DUMMYFUNCTION("""COMPUTED_VALUE"""),633.0)</f>
        <v>633</v>
      </c>
      <c r="H136" s="4">
        <f>IFERROR(__xludf.DUMMYFUNCTION("""COMPUTED_VALUE"""),4.09)</f>
        <v>4.09</v>
      </c>
      <c r="I136" s="4">
        <f>IFERROR(__xludf.DUMMYFUNCTION("""COMPUTED_VALUE"""),12.35)</f>
        <v>12.35</v>
      </c>
      <c r="J136" s="4">
        <f>IFERROR(__xludf.DUMMYFUNCTION("""COMPUTED_VALUE"""),8.52)</f>
        <v>8.52</v>
      </c>
      <c r="K136" s="8">
        <f>IFERROR(__xludf.DUMMYFUNCTION("""COMPUTED_VALUE"""),-0.0218)</f>
        <v>-0.0218</v>
      </c>
    </row>
    <row r="137" ht="15.75" customHeight="1">
      <c r="C137" s="4" t="str">
        <f>IFERROR(__xludf.DUMMYFUNCTION("""COMPUTED_VALUE"""),"Filipinas [+]")</f>
        <v>Filipinas [+]</v>
      </c>
      <c r="D137" s="4">
        <f>IFERROR(__xludf.DUMMYFUNCTION("""COMPUTED_VALUE"""),2012.0)</f>
        <v>2012</v>
      </c>
      <c r="E137" s="4">
        <f>IFERROR(__xludf.DUMMYFUNCTION("""COMPUTED_VALUE"""),882.0)</f>
        <v>882</v>
      </c>
      <c r="F137" s="9">
        <f>IFERROR(__xludf.DUMMYFUNCTION("""COMPUTED_VALUE"""),2757.0)</f>
        <v>2757</v>
      </c>
      <c r="G137" s="9">
        <f>IFERROR(__xludf.DUMMYFUNCTION("""COMPUTED_VALUE"""),3639.0)</f>
        <v>3639</v>
      </c>
      <c r="H137" s="4">
        <f>IFERROR(__xludf.DUMMYFUNCTION("""COMPUTED_VALUE"""),1.83)</f>
        <v>1.83</v>
      </c>
      <c r="I137" s="4">
        <f>IFERROR(__xludf.DUMMYFUNCTION("""COMPUTED_VALUE"""),5.62)</f>
        <v>5.62</v>
      </c>
      <c r="J137" s="4">
        <f>IFERROR(__xludf.DUMMYFUNCTION("""COMPUTED_VALUE"""),3.78)</f>
        <v>3.78</v>
      </c>
      <c r="K137" s="8">
        <f>IFERROR(__xludf.DUMMYFUNCTION("""COMPUTED_VALUE"""),-0.0825)</f>
        <v>-0.0825</v>
      </c>
    </row>
    <row r="138" ht="15.75" customHeight="1">
      <c r="C138" s="4" t="str">
        <f>IFERROR(__xludf.DUMMYFUNCTION("""COMPUTED_VALUE"""),"Pakistán [+]")</f>
        <v>Pakistán [+]</v>
      </c>
      <c r="D138" s="4">
        <f>IFERROR(__xludf.DUMMYFUNCTION("""COMPUTED_VALUE"""),2012.0)</f>
        <v>2012</v>
      </c>
      <c r="E138" s="9">
        <f>IFERROR(__xludf.DUMMYFUNCTION("""COMPUTED_VALUE"""),1786.0)</f>
        <v>1786</v>
      </c>
      <c r="F138" s="9">
        <f>IFERROR(__xludf.DUMMYFUNCTION("""COMPUTED_VALUE"""),1915.0)</f>
        <v>1915</v>
      </c>
      <c r="G138" s="9">
        <f>IFERROR(__xludf.DUMMYFUNCTION("""COMPUTED_VALUE"""),3700.0)</f>
        <v>3700</v>
      </c>
      <c r="H138" s="4">
        <f>IFERROR(__xludf.DUMMYFUNCTION("""COMPUTED_VALUE"""),1.97)</f>
        <v>1.97</v>
      </c>
      <c r="I138" s="4">
        <f>IFERROR(__xludf.DUMMYFUNCTION("""COMPUTED_VALUE"""),1.99)</f>
        <v>1.99</v>
      </c>
      <c r="J138" s="4">
        <f>IFERROR(__xludf.DUMMYFUNCTION("""COMPUTED_VALUE"""),2.0)</f>
        <v>2</v>
      </c>
      <c r="K138" s="4">
        <f>IFERROR(__xludf.DUMMYFUNCTION("""COMPUTED_VALUE"""),0.0)</f>
        <v>0</v>
      </c>
    </row>
    <row r="139" ht="15.75" customHeight="1">
      <c r="C139" s="4" t="str">
        <f>IFERROR(__xludf.DUMMYFUNCTION("""COMPUTED_VALUE"""),"Polonia [+]")</f>
        <v>Polonia [+]</v>
      </c>
      <c r="D139" s="4">
        <f>IFERROR(__xludf.DUMMYFUNCTION("""COMPUTED_VALUE"""),2012.0)</f>
        <v>2012</v>
      </c>
      <c r="E139" s="4">
        <f>IFERROR(__xludf.DUMMYFUNCTION("""COMPUTED_VALUE"""),812.0)</f>
        <v>812</v>
      </c>
      <c r="F139" s="9">
        <f>IFERROR(__xludf.DUMMYFUNCTION("""COMPUTED_VALUE"""),5560.0)</f>
        <v>5560</v>
      </c>
      <c r="G139" s="9">
        <f>IFERROR(__xludf.DUMMYFUNCTION("""COMPUTED_VALUE"""),6372.0)</f>
        <v>6372</v>
      </c>
      <c r="H139" s="4">
        <f>IFERROR(__xludf.DUMMYFUNCTION("""COMPUTED_VALUE"""),4.15)</f>
        <v>4.15</v>
      </c>
      <c r="I139" s="4">
        <f>IFERROR(__xludf.DUMMYFUNCTION("""COMPUTED_VALUE"""),30.42)</f>
        <v>30.42</v>
      </c>
      <c r="J139" s="4">
        <f>IFERROR(__xludf.DUMMYFUNCTION("""COMPUTED_VALUE"""),16.87)</f>
        <v>16.87</v>
      </c>
      <c r="K139" s="8">
        <f>IFERROR(__xludf.DUMMYFUNCTION("""COMPUTED_VALUE"""),0.0465)</f>
        <v>0.0465</v>
      </c>
    </row>
    <row r="140" ht="15.75" customHeight="1">
      <c r="C140" s="4" t="str">
        <f>IFERROR(__xludf.DUMMYFUNCTION("""COMPUTED_VALUE"""),"Paraguay [+]")</f>
        <v>Paraguay [+]</v>
      </c>
      <c r="D140" s="4">
        <f>IFERROR(__xludf.DUMMYFUNCTION("""COMPUTED_VALUE"""),2012.0)</f>
        <v>2012</v>
      </c>
      <c r="E140" s="4">
        <f>IFERROR(__xludf.DUMMYFUNCTION("""COMPUTED_VALUE"""),202.0)</f>
        <v>202</v>
      </c>
      <c r="F140" s="4">
        <f>IFERROR(__xludf.DUMMYFUNCTION("""COMPUTED_VALUE"""),428.0)</f>
        <v>428</v>
      </c>
      <c r="G140" s="4">
        <f>IFERROR(__xludf.DUMMYFUNCTION("""COMPUTED_VALUE"""),630.0)</f>
        <v>630</v>
      </c>
      <c r="H140" s="4">
        <f>IFERROR(__xludf.DUMMYFUNCTION("""COMPUTED_VALUE"""),6.4)</f>
        <v>6.4</v>
      </c>
      <c r="I140" s="4">
        <f>IFERROR(__xludf.DUMMYFUNCTION("""COMPUTED_VALUE"""),13.1)</f>
        <v>13.1</v>
      </c>
      <c r="J140" s="4">
        <f>IFERROR(__xludf.DUMMYFUNCTION("""COMPUTED_VALUE"""),9.75)</f>
        <v>9.75</v>
      </c>
      <c r="K140" s="8">
        <f>IFERROR(__xludf.DUMMYFUNCTION("""COMPUTED_VALUE"""),0.0052)</f>
        <v>0.0052</v>
      </c>
    </row>
    <row r="141" ht="15.75" customHeight="1">
      <c r="C141" s="4" t="str">
        <f>IFERROR(__xludf.DUMMYFUNCTION("""COMPUTED_VALUE"""),"Catar [+]")</f>
        <v>Catar [+]</v>
      </c>
      <c r="D141" s="4">
        <f>IFERROR(__xludf.DUMMYFUNCTION("""COMPUTED_VALUE"""),2012.0)</f>
        <v>2012</v>
      </c>
      <c r="E141" s="4">
        <f>IFERROR(__xludf.DUMMYFUNCTION("""COMPUTED_VALUE"""),5.0)</f>
        <v>5</v>
      </c>
      <c r="F141" s="4">
        <f>IFERROR(__xludf.DUMMYFUNCTION("""COMPUTED_VALUE"""),135.0)</f>
        <v>135</v>
      </c>
      <c r="G141" s="4">
        <f>IFERROR(__xludf.DUMMYFUNCTION("""COMPUTED_VALUE"""),140.0)</f>
        <v>140</v>
      </c>
      <c r="H141" s="4">
        <f>IFERROR(__xludf.DUMMYFUNCTION("""COMPUTED_VALUE"""),1.04)</f>
        <v>1.04</v>
      </c>
      <c r="I141" s="4">
        <f>IFERROR(__xludf.DUMMYFUNCTION("""COMPUTED_VALUE"""),8.02)</f>
        <v>8.02</v>
      </c>
      <c r="J141" s="4">
        <f>IFERROR(__xludf.DUMMYFUNCTION("""COMPUTED_VALUE"""),7.66)</f>
        <v>7.66</v>
      </c>
      <c r="K141" s="8">
        <f>IFERROR(__xludf.DUMMYFUNCTION("""COMPUTED_VALUE"""),-0.0473)</f>
        <v>-0.0473</v>
      </c>
    </row>
    <row r="142" ht="15.75" customHeight="1">
      <c r="C142" s="4" t="str">
        <f>IFERROR(__xludf.DUMMYFUNCTION("""COMPUTED_VALUE"""),"Rumanía [+]")</f>
        <v>Rumanía [+]</v>
      </c>
      <c r="D142" s="4">
        <f>IFERROR(__xludf.DUMMYFUNCTION("""COMPUTED_VALUE"""),2012.0)</f>
        <v>2012</v>
      </c>
      <c r="E142" s="4">
        <f>IFERROR(__xludf.DUMMYFUNCTION("""COMPUTED_VALUE"""),353.0)</f>
        <v>353</v>
      </c>
      <c r="F142" s="9">
        <f>IFERROR(__xludf.DUMMYFUNCTION("""COMPUTED_VALUE"""),2140.0)</f>
        <v>2140</v>
      </c>
      <c r="G142" s="9">
        <f>IFERROR(__xludf.DUMMYFUNCTION("""COMPUTED_VALUE"""),2493.0)</f>
        <v>2493</v>
      </c>
      <c r="H142" s="4">
        <f>IFERROR(__xludf.DUMMYFUNCTION("""COMPUTED_VALUE"""),3.44)</f>
        <v>3.44</v>
      </c>
      <c r="I142" s="4">
        <f>IFERROR(__xludf.DUMMYFUNCTION("""COMPUTED_VALUE"""),22.15)</f>
        <v>22.15</v>
      </c>
      <c r="J142" s="4">
        <f>IFERROR(__xludf.DUMMYFUNCTION("""COMPUTED_VALUE"""),12.55)</f>
        <v>12.55</v>
      </c>
      <c r="K142" s="8">
        <f>IFERROR(__xludf.DUMMYFUNCTION("""COMPUTED_VALUE"""),-0.0195)</f>
        <v>-0.0195</v>
      </c>
    </row>
    <row r="143" ht="15.75" customHeight="1">
      <c r="C143" s="4" t="str">
        <f>IFERROR(__xludf.DUMMYFUNCTION("""COMPUTED_VALUE"""),"Serbia [+]")</f>
        <v>Serbia [+]</v>
      </c>
      <c r="D143" s="4">
        <f>IFERROR(__xludf.DUMMYFUNCTION("""COMPUTED_VALUE"""),2012.0)</f>
        <v>2012</v>
      </c>
      <c r="E143" s="4">
        <f>IFERROR(__xludf.DUMMYFUNCTION("""COMPUTED_VALUE"""),311.0)</f>
        <v>311</v>
      </c>
      <c r="F143" s="4">
        <f>IFERROR(__xludf.DUMMYFUNCTION("""COMPUTED_VALUE"""),933.0)</f>
        <v>933</v>
      </c>
      <c r="G143" s="9">
        <f>IFERROR(__xludf.DUMMYFUNCTION("""COMPUTED_VALUE"""),1244.0)</f>
        <v>1244</v>
      </c>
      <c r="H143" s="4">
        <f>IFERROR(__xludf.DUMMYFUNCTION("""COMPUTED_VALUE"""),8.45)</f>
        <v>8.45</v>
      </c>
      <c r="I143" s="4">
        <f>IFERROR(__xludf.DUMMYFUNCTION("""COMPUTED_VALUE"""),26.67)</f>
        <v>26.67</v>
      </c>
      <c r="J143" s="4">
        <f>IFERROR(__xludf.DUMMYFUNCTION("""COMPUTED_VALUE"""),17.32)</f>
        <v>17.32</v>
      </c>
      <c r="K143" s="8">
        <f>IFERROR(__xludf.DUMMYFUNCTION("""COMPUTED_VALUE"""),-0.0057)</f>
        <v>-0.0057</v>
      </c>
    </row>
    <row r="144" ht="15.75" customHeight="1">
      <c r="C144" s="4" t="str">
        <f>IFERROR(__xludf.DUMMYFUNCTION("""COMPUTED_VALUE"""),"Rusia [+]")</f>
        <v>Rusia [+]</v>
      </c>
      <c r="D144" s="4">
        <f>IFERROR(__xludf.DUMMYFUNCTION("""COMPUTED_VALUE"""),2012.0)</f>
        <v>2012</v>
      </c>
      <c r="E144" s="9">
        <f>IFERROR(__xludf.DUMMYFUNCTION("""COMPUTED_VALUE"""),5460.0)</f>
        <v>5460</v>
      </c>
      <c r="F144" s="9">
        <f>IFERROR(__xludf.DUMMYFUNCTION("""COMPUTED_VALUE"""),24275.0)</f>
        <v>24275</v>
      </c>
      <c r="G144" s="9">
        <f>IFERROR(__xludf.DUMMYFUNCTION("""COMPUTED_VALUE"""),29735.0)</f>
        <v>29735</v>
      </c>
      <c r="H144" s="4">
        <f>IFERROR(__xludf.DUMMYFUNCTION("""COMPUTED_VALUE"""),7.1)</f>
        <v>7.1</v>
      </c>
      <c r="I144" s="4">
        <f>IFERROR(__xludf.DUMMYFUNCTION("""COMPUTED_VALUE"""),36.6)</f>
        <v>36.6</v>
      </c>
      <c r="J144" s="4">
        <f>IFERROR(__xludf.DUMMYFUNCTION("""COMPUTED_VALUE"""),20.8)</f>
        <v>20.8</v>
      </c>
      <c r="K144" s="8">
        <f>IFERROR(__xludf.DUMMYFUNCTION("""COMPUTED_VALUE"""),-0.0459)</f>
        <v>-0.0459</v>
      </c>
    </row>
    <row r="145" ht="15.75" customHeight="1">
      <c r="C145" s="4" t="str">
        <f>IFERROR(__xludf.DUMMYFUNCTION("""COMPUTED_VALUE"""),"Ruanda [+]")</f>
        <v>Ruanda [+]</v>
      </c>
      <c r="D145" s="4">
        <f>IFERROR(__xludf.DUMMYFUNCTION("""COMPUTED_VALUE"""),2012.0)</f>
        <v>2012</v>
      </c>
      <c r="E145" s="4">
        <f>IFERROR(__xludf.DUMMYFUNCTION("""COMPUTED_VALUE"""),124.0)</f>
        <v>124</v>
      </c>
      <c r="F145" s="4">
        <f>IFERROR(__xludf.DUMMYFUNCTION("""COMPUTED_VALUE"""),823.0)</f>
        <v>823</v>
      </c>
      <c r="G145" s="4">
        <f>IFERROR(__xludf.DUMMYFUNCTION("""COMPUTED_VALUE"""),947.0)</f>
        <v>947</v>
      </c>
      <c r="H145" s="4">
        <f>IFERROR(__xludf.DUMMYFUNCTION("""COMPUTED_VALUE"""),2.31)</f>
        <v>2.31</v>
      </c>
      <c r="I145" s="4">
        <f>IFERROR(__xludf.DUMMYFUNCTION("""COMPUTED_VALUE"""),15.9)</f>
        <v>15.9</v>
      </c>
      <c r="J145" s="4">
        <f>IFERROR(__xludf.DUMMYFUNCTION("""COMPUTED_VALUE"""),9.02)</f>
        <v>9.02</v>
      </c>
      <c r="K145" s="8">
        <f>IFERROR(__xludf.DUMMYFUNCTION("""COMPUTED_VALUE"""),-0.027)</f>
        <v>-0.027</v>
      </c>
    </row>
    <row r="146" ht="15.75" customHeight="1">
      <c r="C146" s="4" t="str">
        <f>IFERROR(__xludf.DUMMYFUNCTION("""COMPUTED_VALUE"""),"Arabia Saudita [+]")</f>
        <v>Arabia Saudita [+]</v>
      </c>
      <c r="D146" s="4">
        <f>IFERROR(__xludf.DUMMYFUNCTION("""COMPUTED_VALUE"""),2012.0)</f>
        <v>2012</v>
      </c>
      <c r="E146" s="4">
        <f>IFERROR(__xludf.DUMMYFUNCTION("""COMPUTED_VALUE"""),265.0)</f>
        <v>265</v>
      </c>
      <c r="F146" s="4">
        <f>IFERROR(__xludf.DUMMYFUNCTION("""COMPUTED_VALUE"""),790.0)</f>
        <v>790</v>
      </c>
      <c r="G146" s="9">
        <f>IFERROR(__xludf.DUMMYFUNCTION("""COMPUTED_VALUE"""),1055.0)</f>
        <v>1055</v>
      </c>
      <c r="H146" s="4">
        <f>IFERROR(__xludf.DUMMYFUNCTION("""COMPUTED_VALUE"""),2.09)</f>
        <v>2.09</v>
      </c>
      <c r="I146" s="4">
        <f>IFERROR(__xludf.DUMMYFUNCTION("""COMPUTED_VALUE"""),4.8)</f>
        <v>4.8</v>
      </c>
      <c r="J146" s="4">
        <f>IFERROR(__xludf.DUMMYFUNCTION("""COMPUTED_VALUE"""),3.61)</f>
        <v>3.61</v>
      </c>
      <c r="K146" s="8">
        <f>IFERROR(__xludf.DUMMYFUNCTION("""COMPUTED_VALUE"""),-0.0055)</f>
        <v>-0.0055</v>
      </c>
    </row>
    <row r="147" ht="15.75" customHeight="1">
      <c r="C147" s="4" t="str">
        <f>IFERROR(__xludf.DUMMYFUNCTION("""COMPUTED_VALUE"""),"Islas Salomón [+]")</f>
        <v>Islas Salomón [+]</v>
      </c>
      <c r="D147" s="4">
        <f>IFERROR(__xludf.DUMMYFUNCTION("""COMPUTED_VALUE"""),2012.0)</f>
        <v>2012</v>
      </c>
      <c r="E147" s="4">
        <f>IFERROR(__xludf.DUMMYFUNCTION("""COMPUTED_VALUE"""),13.0)</f>
        <v>13</v>
      </c>
      <c r="F147" s="4">
        <f>IFERROR(__xludf.DUMMYFUNCTION("""COMPUTED_VALUE"""),32.0)</f>
        <v>32</v>
      </c>
      <c r="G147" s="4">
        <f>IFERROR(__xludf.DUMMYFUNCTION("""COMPUTED_VALUE"""),45.0)</f>
        <v>45</v>
      </c>
      <c r="H147" s="4">
        <f>IFERROR(__xludf.DUMMYFUNCTION("""COMPUTED_VALUE"""),4.62)</f>
        <v>4.62</v>
      </c>
      <c r="I147" s="4">
        <f>IFERROR(__xludf.DUMMYFUNCTION("""COMPUTED_VALUE"""),11.29)</f>
        <v>11.29</v>
      </c>
      <c r="J147" s="4">
        <f>IFERROR(__xludf.DUMMYFUNCTION("""COMPUTED_VALUE"""),8.01)</f>
        <v>8.01</v>
      </c>
      <c r="K147" s="8">
        <f>IFERROR(__xludf.DUMMYFUNCTION("""COMPUTED_VALUE"""),-0.0062)</f>
        <v>-0.0062</v>
      </c>
    </row>
    <row r="148" ht="15.75" customHeight="1">
      <c r="C148" s="4" t="str">
        <f>IFERROR(__xludf.DUMMYFUNCTION("""COMPUTED_VALUE"""),"Seychelles [+]")</f>
        <v>Seychelles [+]</v>
      </c>
      <c r="D148" s="4">
        <f>IFERROR(__xludf.DUMMYFUNCTION("""COMPUTED_VALUE"""),2012.0)</f>
        <v>2012</v>
      </c>
      <c r="E148" s="4">
        <f>IFERROR(__xludf.DUMMYFUNCTION("""COMPUTED_VALUE"""),1.0)</f>
        <v>1</v>
      </c>
      <c r="F148" s="4">
        <f>IFERROR(__xludf.DUMMYFUNCTION("""COMPUTED_VALUE"""),8.0)</f>
        <v>8</v>
      </c>
      <c r="G148" s="4">
        <f>IFERROR(__xludf.DUMMYFUNCTION("""COMPUTED_VALUE"""),9.0)</f>
        <v>9</v>
      </c>
      <c r="H148" s="4">
        <f>IFERROR(__xludf.DUMMYFUNCTION("""COMPUTED_VALUE"""),2.26)</f>
        <v>2.26</v>
      </c>
      <c r="I148" s="4">
        <f>IFERROR(__xludf.DUMMYFUNCTION("""COMPUTED_VALUE"""),17.41)</f>
        <v>17.41</v>
      </c>
      <c r="J148" s="4">
        <f>IFERROR(__xludf.DUMMYFUNCTION("""COMPUTED_VALUE"""),10.13)</f>
        <v>10.13</v>
      </c>
      <c r="K148" s="8">
        <f>IFERROR(__xludf.DUMMYFUNCTION("""COMPUTED_VALUE"""),-0.0078)</f>
        <v>-0.0078</v>
      </c>
    </row>
    <row r="149" ht="15.75" customHeight="1">
      <c r="C149" s="4" t="str">
        <f>IFERROR(__xludf.DUMMYFUNCTION("""COMPUTED_VALUE"""),"Sudán [+]")</f>
        <v>Sudán [+]</v>
      </c>
      <c r="D149" s="4">
        <f>IFERROR(__xludf.DUMMYFUNCTION("""COMPUTED_VALUE"""),2012.0)</f>
        <v>2012</v>
      </c>
      <c r="E149" s="9">
        <f>IFERROR(__xludf.DUMMYFUNCTION("""COMPUTED_VALUE"""),1104.0)</f>
        <v>1104</v>
      </c>
      <c r="F149" s="9">
        <f>IFERROR(__xludf.DUMMYFUNCTION("""COMPUTED_VALUE"""),2844.0)</f>
        <v>2844</v>
      </c>
      <c r="G149" s="9">
        <f>IFERROR(__xludf.DUMMYFUNCTION("""COMPUTED_VALUE"""),3948.0)</f>
        <v>3948</v>
      </c>
      <c r="H149" s="4">
        <f>IFERROR(__xludf.DUMMYFUNCTION("""COMPUTED_VALUE"""),6.08)</f>
        <v>6.08</v>
      </c>
      <c r="I149" s="4">
        <f>IFERROR(__xludf.DUMMYFUNCTION("""COMPUTED_VALUE"""),15.75)</f>
        <v>15.75</v>
      </c>
      <c r="J149" s="4">
        <f>IFERROR(__xludf.DUMMYFUNCTION("""COMPUTED_VALUE"""),10.91)</f>
        <v>10.91</v>
      </c>
      <c r="K149" s="8">
        <f>IFERROR(__xludf.DUMMYFUNCTION("""COMPUTED_VALUE"""),-0.0961)</f>
        <v>-0.0961</v>
      </c>
    </row>
    <row r="150" ht="15.75" customHeight="1">
      <c r="C150" s="4" t="str">
        <f>IFERROR(__xludf.DUMMYFUNCTION("""COMPUTED_VALUE"""),"Suecia [+]")</f>
        <v>Suecia [+]</v>
      </c>
      <c r="D150" s="4">
        <f>IFERROR(__xludf.DUMMYFUNCTION("""COMPUTED_VALUE"""),2012.0)</f>
        <v>2012</v>
      </c>
      <c r="E150" s="4">
        <f>IFERROR(__xludf.DUMMYFUNCTION("""COMPUTED_VALUE"""),336.0)</f>
        <v>336</v>
      </c>
      <c r="F150" s="4">
        <f>IFERROR(__xludf.DUMMYFUNCTION("""COMPUTED_VALUE"""),821.0)</f>
        <v>821</v>
      </c>
      <c r="G150" s="9">
        <f>IFERROR(__xludf.DUMMYFUNCTION("""COMPUTED_VALUE"""),1170.0)</f>
        <v>1170</v>
      </c>
      <c r="H150" s="4">
        <f>IFERROR(__xludf.DUMMYFUNCTION("""COMPUTED_VALUE"""),7.04)</f>
        <v>7.04</v>
      </c>
      <c r="I150" s="4">
        <f>IFERROR(__xludf.DUMMYFUNCTION("""COMPUTED_VALUE"""),17.28)</f>
        <v>17.28</v>
      </c>
      <c r="J150" s="4">
        <f>IFERROR(__xludf.DUMMYFUNCTION("""COMPUTED_VALUE"""),12.14)</f>
        <v>12.14</v>
      </c>
      <c r="K150" s="8">
        <f>IFERROR(__xludf.DUMMYFUNCTION("""COMPUTED_VALUE"""),0.0306)</f>
        <v>0.0306</v>
      </c>
    </row>
    <row r="151" ht="15.75" customHeight="1">
      <c r="C151" s="4" t="str">
        <f>IFERROR(__xludf.DUMMYFUNCTION("""COMPUTED_VALUE"""),"Singapur [+]")</f>
        <v>Singapur [+]</v>
      </c>
      <c r="D151" s="4">
        <f>IFERROR(__xludf.DUMMYFUNCTION("""COMPUTED_VALUE"""),2012.0)</f>
        <v>2012</v>
      </c>
      <c r="E151" s="4">
        <f>IFERROR(__xludf.DUMMYFUNCTION("""COMPUTED_VALUE"""),227.0)</f>
        <v>227</v>
      </c>
      <c r="F151" s="4">
        <f>IFERROR(__xludf.DUMMYFUNCTION("""COMPUTED_VALUE"""),431.0)</f>
        <v>431</v>
      </c>
      <c r="G151" s="4">
        <f>IFERROR(__xludf.DUMMYFUNCTION("""COMPUTED_VALUE"""),658.0)</f>
        <v>658</v>
      </c>
      <c r="H151" s="4">
        <f>IFERROR(__xludf.DUMMYFUNCTION("""COMPUTED_VALUE"""),8.97)</f>
        <v>8.97</v>
      </c>
      <c r="I151" s="4">
        <f>IFERROR(__xludf.DUMMYFUNCTION("""COMPUTED_VALUE"""),15.51)</f>
        <v>15.51</v>
      </c>
      <c r="J151" s="4">
        <f>IFERROR(__xludf.DUMMYFUNCTION("""COMPUTED_VALUE"""),12.39)</f>
        <v>12.39</v>
      </c>
      <c r="K151" s="8">
        <f>IFERROR(__xludf.DUMMYFUNCTION("""COMPUTED_VALUE"""),0.1959)</f>
        <v>0.1959</v>
      </c>
    </row>
    <row r="152" ht="15.75" customHeight="1">
      <c r="C152" s="4" t="str">
        <f>IFERROR(__xludf.DUMMYFUNCTION("""COMPUTED_VALUE"""),"Eslovenia [+]")</f>
        <v>Eslovenia [+]</v>
      </c>
      <c r="D152" s="4">
        <f>IFERROR(__xludf.DUMMYFUNCTION("""COMPUTED_VALUE"""),2012.0)</f>
        <v>2012</v>
      </c>
      <c r="E152" s="4">
        <f>IFERROR(__xludf.DUMMYFUNCTION("""COMPUTED_VALUE"""),81.0)</f>
        <v>81</v>
      </c>
      <c r="F152" s="4">
        <f>IFERROR(__xludf.DUMMYFUNCTION("""COMPUTED_VALUE"""),368.0)</f>
        <v>368</v>
      </c>
      <c r="G152" s="4">
        <f>IFERROR(__xludf.DUMMYFUNCTION("""COMPUTED_VALUE"""),449.0)</f>
        <v>449</v>
      </c>
      <c r="H152" s="4">
        <f>IFERROR(__xludf.DUMMYFUNCTION("""COMPUTED_VALUE"""),7.7)</f>
        <v>7.7</v>
      </c>
      <c r="I152" s="4">
        <f>IFERROR(__xludf.DUMMYFUNCTION("""COMPUTED_VALUE"""),35.76)</f>
        <v>35.76</v>
      </c>
      <c r="J152" s="4">
        <f>IFERROR(__xludf.DUMMYFUNCTION("""COMPUTED_VALUE"""),21.58)</f>
        <v>21.58</v>
      </c>
      <c r="K152" s="8">
        <f>IFERROR(__xludf.DUMMYFUNCTION("""COMPUTED_VALUE"""),0.0047)</f>
        <v>0.0047</v>
      </c>
    </row>
    <row r="153" ht="15.75" customHeight="1">
      <c r="C153" s="4" t="str">
        <f>IFERROR(__xludf.DUMMYFUNCTION("""COMPUTED_VALUE"""),"Eslovaquia [+]")</f>
        <v>Eslovaquia [+]</v>
      </c>
      <c r="D153" s="4">
        <f>IFERROR(__xludf.DUMMYFUNCTION("""COMPUTED_VALUE"""),2012.0)</f>
        <v>2012</v>
      </c>
      <c r="E153" s="4">
        <f>IFERROR(__xludf.DUMMYFUNCTION("""COMPUTED_VALUE"""),72.0)</f>
        <v>72</v>
      </c>
      <c r="F153" s="4">
        <f>IFERROR(__xludf.DUMMYFUNCTION("""COMPUTED_VALUE"""),503.0)</f>
        <v>503</v>
      </c>
      <c r="G153" s="4">
        <f>IFERROR(__xludf.DUMMYFUNCTION("""COMPUTED_VALUE"""),575.0)</f>
        <v>575</v>
      </c>
      <c r="H153" s="4">
        <f>IFERROR(__xludf.DUMMYFUNCTION("""COMPUTED_VALUE"""),2.63)</f>
        <v>2.63</v>
      </c>
      <c r="I153" s="4">
        <f>IFERROR(__xludf.DUMMYFUNCTION("""COMPUTED_VALUE"""),19.82)</f>
        <v>19.82</v>
      </c>
      <c r="J153" s="4">
        <f>IFERROR(__xludf.DUMMYFUNCTION("""COMPUTED_VALUE"""),11.0)</f>
        <v>11</v>
      </c>
      <c r="K153" s="8">
        <f>IFERROR(__xludf.DUMMYFUNCTION("""COMPUTED_VALUE"""),0.0659)</f>
        <v>0.0659</v>
      </c>
    </row>
    <row r="154" ht="15.75" customHeight="1">
      <c r="C154" s="4" t="str">
        <f>IFERROR(__xludf.DUMMYFUNCTION("""COMPUTED_VALUE"""),"Sierra Leona [+]")</f>
        <v>Sierra Leona [+]</v>
      </c>
      <c r="D154" s="4">
        <f>IFERROR(__xludf.DUMMYFUNCTION("""COMPUTED_VALUE"""),2012.0)</f>
        <v>2012</v>
      </c>
      <c r="E154" s="4">
        <f>IFERROR(__xludf.DUMMYFUNCTION("""COMPUTED_VALUE"""),286.0)</f>
        <v>286</v>
      </c>
      <c r="F154" s="4">
        <f>IFERROR(__xludf.DUMMYFUNCTION("""COMPUTED_VALUE"""),598.0)</f>
        <v>598</v>
      </c>
      <c r="G154" s="4">
        <f>IFERROR(__xludf.DUMMYFUNCTION("""COMPUTED_VALUE"""),884.0)</f>
        <v>884</v>
      </c>
      <c r="H154" s="4">
        <f>IFERROR(__xludf.DUMMYFUNCTION("""COMPUTED_VALUE"""),8.49)</f>
        <v>8.49</v>
      </c>
      <c r="I154" s="4">
        <f>IFERROR(__xludf.DUMMYFUNCTION("""COMPUTED_VALUE"""),17.89)</f>
        <v>17.89</v>
      </c>
      <c r="J154" s="4">
        <f>IFERROR(__xludf.DUMMYFUNCTION("""COMPUTED_VALUE"""),13.17)</f>
        <v>13.17</v>
      </c>
      <c r="K154" s="8">
        <f>IFERROR(__xludf.DUMMYFUNCTION("""COMPUTED_VALUE"""),0.063)</f>
        <v>0.063</v>
      </c>
    </row>
    <row r="155" ht="15.75" customHeight="1">
      <c r="C155" s="4" t="str">
        <f>IFERROR(__xludf.DUMMYFUNCTION("""COMPUTED_VALUE"""),"Senegal [+]")</f>
        <v>Senegal [+]</v>
      </c>
      <c r="D155" s="4">
        <f>IFERROR(__xludf.DUMMYFUNCTION("""COMPUTED_VALUE"""),2012.0)</f>
        <v>2012</v>
      </c>
      <c r="E155" s="4">
        <f>IFERROR(__xludf.DUMMYFUNCTION("""COMPUTED_VALUE"""),247.0)</f>
        <v>247</v>
      </c>
      <c r="F155" s="4">
        <f>IFERROR(__xludf.DUMMYFUNCTION("""COMPUTED_VALUE"""),656.0)</f>
        <v>656</v>
      </c>
      <c r="G155" s="4">
        <f>IFERROR(__xludf.DUMMYFUNCTION("""COMPUTED_VALUE"""),903.0)</f>
        <v>903</v>
      </c>
      <c r="H155" s="4">
        <f>IFERROR(__xludf.DUMMYFUNCTION("""COMPUTED_VALUE"""),3.59)</f>
        <v>3.59</v>
      </c>
      <c r="I155" s="4">
        <f>IFERROR(__xludf.DUMMYFUNCTION("""COMPUTED_VALUE"""),10.06)</f>
        <v>10.06</v>
      </c>
      <c r="J155" s="4">
        <f>IFERROR(__xludf.DUMMYFUNCTION("""COMPUTED_VALUE"""),6.74)</f>
        <v>6.74</v>
      </c>
      <c r="K155" s="8">
        <f>IFERROR(__xludf.DUMMYFUNCTION("""COMPUTED_VALUE"""),-0.0232)</f>
        <v>-0.0232</v>
      </c>
    </row>
    <row r="156" ht="15.75" customHeight="1">
      <c r="C156" s="4" t="str">
        <f>IFERROR(__xludf.DUMMYFUNCTION("""COMPUTED_VALUE"""),"Somalia [+]")</f>
        <v>Somalia [+]</v>
      </c>
      <c r="D156" s="4">
        <f>IFERROR(__xludf.DUMMYFUNCTION("""COMPUTED_VALUE"""),2012.0)</f>
        <v>2012</v>
      </c>
      <c r="E156" s="4">
        <f>IFERROR(__xludf.DUMMYFUNCTION("""COMPUTED_VALUE"""),152.0)</f>
        <v>152</v>
      </c>
      <c r="F156" s="4">
        <f>IFERROR(__xludf.DUMMYFUNCTION("""COMPUTED_VALUE"""),360.0)</f>
        <v>360</v>
      </c>
      <c r="G156" s="4">
        <f>IFERROR(__xludf.DUMMYFUNCTION("""COMPUTED_VALUE"""),512.0)</f>
        <v>512</v>
      </c>
      <c r="H156" s="4">
        <f>IFERROR(__xludf.DUMMYFUNCTION("""COMPUTED_VALUE"""),2.39)</f>
        <v>2.39</v>
      </c>
      <c r="I156" s="4">
        <f>IFERROR(__xludf.DUMMYFUNCTION("""COMPUTED_VALUE"""),5.67)</f>
        <v>5.67</v>
      </c>
      <c r="J156" s="4">
        <f>IFERROR(__xludf.DUMMYFUNCTION("""COMPUTED_VALUE"""),4.33)</f>
        <v>4.33</v>
      </c>
      <c r="K156" s="8">
        <f>IFERROR(__xludf.DUMMYFUNCTION("""COMPUTED_VALUE"""),0.099)</f>
        <v>0.099</v>
      </c>
    </row>
    <row r="157" ht="15.75" customHeight="1">
      <c r="C157" s="4" t="str">
        <f>IFERROR(__xludf.DUMMYFUNCTION("""COMPUTED_VALUE"""),"Surinam [+]")</f>
        <v>Surinam [+]</v>
      </c>
      <c r="D157" s="4">
        <f>IFERROR(__xludf.DUMMYFUNCTION("""COMPUTED_VALUE"""),2012.0)</f>
        <v>2012</v>
      </c>
      <c r="E157" s="4">
        <f>IFERROR(__xludf.DUMMYFUNCTION("""COMPUTED_VALUE"""),31.0)</f>
        <v>31</v>
      </c>
      <c r="F157" s="4">
        <f>IFERROR(__xludf.DUMMYFUNCTION("""COMPUTED_VALUE"""),100.0)</f>
        <v>100</v>
      </c>
      <c r="G157" s="4">
        <f>IFERROR(__xludf.DUMMYFUNCTION("""COMPUTED_VALUE"""),132.0)</f>
        <v>132</v>
      </c>
      <c r="H157" s="4">
        <f>IFERROR(__xludf.DUMMYFUNCTION("""COMPUTED_VALUE"""),11.61)</f>
        <v>11.61</v>
      </c>
      <c r="I157" s="4">
        <f>IFERROR(__xludf.DUMMYFUNCTION("""COMPUTED_VALUE"""),36.84)</f>
        <v>36.84</v>
      </c>
      <c r="J157" s="4">
        <f>IFERROR(__xludf.DUMMYFUNCTION("""COMPUTED_VALUE"""),24.28)</f>
        <v>24.28</v>
      </c>
      <c r="K157" s="8">
        <f>IFERROR(__xludf.DUMMYFUNCTION("""COMPUTED_VALUE"""),-0.0665)</f>
        <v>-0.0665</v>
      </c>
    </row>
    <row r="158" ht="15.75" customHeight="1">
      <c r="C158" s="4" t="str">
        <f>IFERROR(__xludf.DUMMYFUNCTION("""COMPUTED_VALUE"""),"Sudán del Sur [+]")</f>
        <v>Sudán del Sur [+]</v>
      </c>
      <c r="D158" s="4">
        <f>IFERROR(__xludf.DUMMYFUNCTION("""COMPUTED_VALUE"""),2012.0)</f>
        <v>2012</v>
      </c>
      <c r="E158" s="4">
        <f>IFERROR(__xludf.DUMMYFUNCTION("""COMPUTED_VALUE"""),203.0)</f>
        <v>203</v>
      </c>
      <c r="F158" s="4">
        <f>IFERROR(__xludf.DUMMYFUNCTION("""COMPUTED_VALUE"""),506.0)</f>
        <v>506</v>
      </c>
      <c r="G158" s="4">
        <f>IFERROR(__xludf.DUMMYFUNCTION("""COMPUTED_VALUE"""),709.0)</f>
        <v>709</v>
      </c>
      <c r="H158" s="4">
        <f>IFERROR(__xludf.DUMMYFUNCTION("""COMPUTED_VALUE"""),4.02)</f>
        <v>4.02</v>
      </c>
      <c r="I158" s="4">
        <f>IFERROR(__xludf.DUMMYFUNCTION("""COMPUTED_VALUE"""),10.0)</f>
        <v>10</v>
      </c>
      <c r="J158" s="4">
        <f>IFERROR(__xludf.DUMMYFUNCTION("""COMPUTED_VALUE"""),7.01)</f>
        <v>7.01</v>
      </c>
      <c r="K158" s="8">
        <f>IFERROR(__xludf.DUMMYFUNCTION("""COMPUTED_VALUE"""),-0.0057)</f>
        <v>-0.0057</v>
      </c>
    </row>
    <row r="159" ht="15.75" customHeight="1">
      <c r="C159" s="4" t="str">
        <f>IFERROR(__xludf.DUMMYFUNCTION("""COMPUTED_VALUE"""),"Santo Tomé y Príncipe [+]")</f>
        <v>Santo Tomé y Príncipe [+]</v>
      </c>
      <c r="D159" s="4">
        <f>IFERROR(__xludf.DUMMYFUNCTION("""COMPUTED_VALUE"""),2012.0)</f>
        <v>2012</v>
      </c>
      <c r="E159" s="4">
        <f>IFERROR(__xludf.DUMMYFUNCTION("""COMPUTED_VALUE"""),1.0)</f>
        <v>1</v>
      </c>
      <c r="F159" s="4">
        <f>IFERROR(__xludf.DUMMYFUNCTION("""COMPUTED_VALUE"""),2.0)</f>
        <v>2</v>
      </c>
      <c r="G159" s="4">
        <f>IFERROR(__xludf.DUMMYFUNCTION("""COMPUTED_VALUE"""),3.0)</f>
        <v>3</v>
      </c>
      <c r="H159" s="4">
        <f>IFERROR(__xludf.DUMMYFUNCTION("""COMPUTED_VALUE"""),1.18)</f>
        <v>1.18</v>
      </c>
      <c r="I159" s="4">
        <f>IFERROR(__xludf.DUMMYFUNCTION("""COMPUTED_VALUE"""),2.44)</f>
        <v>2.44</v>
      </c>
      <c r="J159" s="4">
        <f>IFERROR(__xludf.DUMMYFUNCTION("""COMPUTED_VALUE"""),1.81)</f>
        <v>1.81</v>
      </c>
      <c r="K159" s="8">
        <f>IFERROR(__xludf.DUMMYFUNCTION("""COMPUTED_VALUE"""),-0.0163)</f>
        <v>-0.0163</v>
      </c>
    </row>
    <row r="160" ht="15.75" customHeight="1">
      <c r="C160" s="4" t="str">
        <f>IFERROR(__xludf.DUMMYFUNCTION("""COMPUTED_VALUE"""),"El Salvador [+]")</f>
        <v>El Salvador [+]</v>
      </c>
      <c r="D160" s="4">
        <f>IFERROR(__xludf.DUMMYFUNCTION("""COMPUTED_VALUE"""),2012.0)</f>
        <v>2012</v>
      </c>
      <c r="E160" s="4">
        <f>IFERROR(__xludf.DUMMYFUNCTION("""COMPUTED_VALUE"""),146.0)</f>
        <v>146</v>
      </c>
      <c r="F160" s="4">
        <f>IFERROR(__xludf.DUMMYFUNCTION("""COMPUTED_VALUE"""),610.0)</f>
        <v>610</v>
      </c>
      <c r="G160" s="4">
        <f>IFERROR(__xludf.DUMMYFUNCTION("""COMPUTED_VALUE"""),756.0)</f>
        <v>756</v>
      </c>
      <c r="H160" s="4">
        <f>IFERROR(__xludf.DUMMYFUNCTION("""COMPUTED_VALUE"""),4.45)</f>
        <v>4.45</v>
      </c>
      <c r="I160" s="4">
        <f>IFERROR(__xludf.DUMMYFUNCTION("""COMPUTED_VALUE"""),20.72)</f>
        <v>20.72</v>
      </c>
      <c r="J160" s="4">
        <f>IFERROR(__xludf.DUMMYFUNCTION("""COMPUTED_VALUE"""),12.13)</f>
        <v>12.13</v>
      </c>
      <c r="K160" s="8">
        <f>IFERROR(__xludf.DUMMYFUNCTION("""COMPUTED_VALUE"""),-0.0676)</f>
        <v>-0.0676</v>
      </c>
    </row>
    <row r="161" ht="15.75" customHeight="1">
      <c r="C161" s="4" t="str">
        <f>IFERROR(__xludf.DUMMYFUNCTION("""COMPUTED_VALUE"""),"Siria [+]")</f>
        <v>Siria [+]</v>
      </c>
      <c r="D161" s="4">
        <f>IFERROR(__xludf.DUMMYFUNCTION("""COMPUTED_VALUE"""),2012.0)</f>
        <v>2012</v>
      </c>
      <c r="E161" s="4">
        <f>IFERROR(__xludf.DUMMYFUNCTION("""COMPUTED_VALUE"""),101.0)</f>
        <v>101</v>
      </c>
      <c r="F161" s="4">
        <f>IFERROR(__xludf.DUMMYFUNCTION("""COMPUTED_VALUE"""),426.0)</f>
        <v>426</v>
      </c>
      <c r="G161" s="4">
        <f>IFERROR(__xludf.DUMMYFUNCTION("""COMPUTED_VALUE"""),527.0)</f>
        <v>527</v>
      </c>
      <c r="H161" s="4">
        <f>IFERROR(__xludf.DUMMYFUNCTION("""COMPUTED_VALUE"""),0.99)</f>
        <v>0.99</v>
      </c>
      <c r="I161" s="4">
        <f>IFERROR(__xludf.DUMMYFUNCTION("""COMPUTED_VALUE"""),4.13)</f>
        <v>4.13</v>
      </c>
      <c r="J161" s="4">
        <f>IFERROR(__xludf.DUMMYFUNCTION("""COMPUTED_VALUE"""),2.58)</f>
        <v>2.58</v>
      </c>
      <c r="K161" s="8">
        <f>IFERROR(__xludf.DUMMYFUNCTION("""COMPUTED_VALUE"""),0.0979)</f>
        <v>0.0979</v>
      </c>
    </row>
    <row r="162" ht="15.75" customHeight="1">
      <c r="C162" s="4" t="str">
        <f>IFERROR(__xludf.DUMMYFUNCTION("""COMPUTED_VALUE"""),"Eswatini [+]")</f>
        <v>Eswatini [+]</v>
      </c>
      <c r="D162" s="4">
        <f>IFERROR(__xludf.DUMMYFUNCTION("""COMPUTED_VALUE"""),2012.0)</f>
        <v>2012</v>
      </c>
      <c r="E162" s="4">
        <f>IFERROR(__xludf.DUMMYFUNCTION("""COMPUTED_VALUE"""),47.0)</f>
        <v>47</v>
      </c>
      <c r="F162" s="4">
        <f>IFERROR(__xludf.DUMMYFUNCTION("""COMPUTED_VALUE"""),135.0)</f>
        <v>135</v>
      </c>
      <c r="G162" s="4">
        <f>IFERROR(__xludf.DUMMYFUNCTION("""COMPUTED_VALUE"""),182.0)</f>
        <v>182</v>
      </c>
      <c r="H162" s="4">
        <f>IFERROR(__xludf.DUMMYFUNCTION("""COMPUTED_VALUE"""),8.3)</f>
        <v>8.3</v>
      </c>
      <c r="I162" s="4">
        <f>IFERROR(__xludf.DUMMYFUNCTION("""COMPUTED_VALUE"""),26.26)</f>
        <v>26.26</v>
      </c>
      <c r="J162" s="4">
        <f>IFERROR(__xludf.DUMMYFUNCTION("""COMPUTED_VALUE"""),17.2)</f>
        <v>17.2</v>
      </c>
      <c r="K162" s="8">
        <f>IFERROR(__xludf.DUMMYFUNCTION("""COMPUTED_VALUE"""),0.0047)</f>
        <v>0.0047</v>
      </c>
    </row>
    <row r="163" ht="15.75" customHeight="1">
      <c r="C163" s="4" t="str">
        <f>IFERROR(__xludf.DUMMYFUNCTION("""COMPUTED_VALUE"""),"Chad [+]")</f>
        <v>Chad [+]</v>
      </c>
      <c r="D163" s="4">
        <f>IFERROR(__xludf.DUMMYFUNCTION("""COMPUTED_VALUE"""),2012.0)</f>
        <v>2012</v>
      </c>
      <c r="E163" s="4">
        <f>IFERROR(__xludf.DUMMYFUNCTION("""COMPUTED_VALUE"""),271.0)</f>
        <v>271</v>
      </c>
      <c r="F163" s="4">
        <f>IFERROR(__xludf.DUMMYFUNCTION("""COMPUTED_VALUE"""),784.0)</f>
        <v>784</v>
      </c>
      <c r="G163" s="9">
        <f>IFERROR(__xludf.DUMMYFUNCTION("""COMPUTED_VALUE"""),1055.0)</f>
        <v>1055</v>
      </c>
      <c r="H163" s="4">
        <f>IFERROR(__xludf.DUMMYFUNCTION("""COMPUTED_VALUE"""),4.23)</f>
        <v>4.23</v>
      </c>
      <c r="I163" s="4">
        <f>IFERROR(__xludf.DUMMYFUNCTION("""COMPUTED_VALUE"""),12.29)</f>
        <v>12.29</v>
      </c>
      <c r="J163" s="4">
        <f>IFERROR(__xludf.DUMMYFUNCTION("""COMPUTED_VALUE"""),8.25)</f>
        <v>8.25</v>
      </c>
      <c r="K163" s="8">
        <f>IFERROR(__xludf.DUMMYFUNCTION("""COMPUTED_VALUE"""),0.021)</f>
        <v>0.021</v>
      </c>
    </row>
    <row r="164" ht="15.75" customHeight="1">
      <c r="C164" s="4" t="str">
        <f>IFERROR(__xludf.DUMMYFUNCTION("""COMPUTED_VALUE"""),"Togo [+]")</f>
        <v>Togo [+]</v>
      </c>
      <c r="D164" s="4">
        <f>IFERROR(__xludf.DUMMYFUNCTION("""COMPUTED_VALUE"""),2012.0)</f>
        <v>2012</v>
      </c>
      <c r="E164" s="4">
        <f>IFERROR(__xludf.DUMMYFUNCTION("""COMPUTED_VALUE"""),179.0)</f>
        <v>179</v>
      </c>
      <c r="F164" s="4">
        <f>IFERROR(__xludf.DUMMYFUNCTION("""COMPUTED_VALUE"""),455.0)</f>
        <v>455</v>
      </c>
      <c r="G164" s="4">
        <f>IFERROR(__xludf.DUMMYFUNCTION("""COMPUTED_VALUE"""),634.0)</f>
        <v>634</v>
      </c>
      <c r="H164" s="4">
        <f>IFERROR(__xludf.DUMMYFUNCTION("""COMPUTED_VALUE"""),5.26)</f>
        <v>5.26</v>
      </c>
      <c r="I164" s="4">
        <f>IFERROR(__xludf.DUMMYFUNCTION("""COMPUTED_VALUE"""),13.52)</f>
        <v>13.52</v>
      </c>
      <c r="J164" s="4">
        <f>IFERROR(__xludf.DUMMYFUNCTION("""COMPUTED_VALUE"""),9.36)</f>
        <v>9.36</v>
      </c>
      <c r="K164" s="8">
        <f>IFERROR(__xludf.DUMMYFUNCTION("""COMPUTED_VALUE"""),0.0021)</f>
        <v>0.0021</v>
      </c>
    </row>
    <row r="165" ht="15.75" customHeight="1">
      <c r="C165" s="4" t="str">
        <f>IFERROR(__xludf.DUMMYFUNCTION("""COMPUTED_VALUE"""),"Tailandia [+]")</f>
        <v>Tailandia [+]</v>
      </c>
      <c r="D165" s="4">
        <f>IFERROR(__xludf.DUMMYFUNCTION("""COMPUTED_VALUE"""),2012.0)</f>
        <v>2012</v>
      </c>
      <c r="E165" s="9">
        <f>IFERROR(__xludf.DUMMYFUNCTION("""COMPUTED_VALUE"""),3317.0)</f>
        <v>3317</v>
      </c>
      <c r="F165" s="9">
        <f>IFERROR(__xludf.DUMMYFUNCTION("""COMPUTED_VALUE"""),7440.0)</f>
        <v>7440</v>
      </c>
      <c r="G165" s="9">
        <f>IFERROR(__xludf.DUMMYFUNCTION("""COMPUTED_VALUE"""),10756.0)</f>
        <v>10756</v>
      </c>
      <c r="H165" s="4">
        <f>IFERROR(__xludf.DUMMYFUNCTION("""COMPUTED_VALUE"""),9.58)</f>
        <v>9.58</v>
      </c>
      <c r="I165" s="4">
        <f>IFERROR(__xludf.DUMMYFUNCTION("""COMPUTED_VALUE"""),22.41)</f>
        <v>22.41</v>
      </c>
      <c r="J165" s="4">
        <f>IFERROR(__xludf.DUMMYFUNCTION("""COMPUTED_VALUE"""),15.86)</f>
        <v>15.86</v>
      </c>
      <c r="K165" s="8">
        <f>IFERROR(__xludf.DUMMYFUNCTION("""COMPUTED_VALUE"""),0.016)</f>
        <v>0.016</v>
      </c>
    </row>
    <row r="166" ht="15.75" customHeight="1">
      <c r="C166" s="4" t="str">
        <f>IFERROR(__xludf.DUMMYFUNCTION("""COMPUTED_VALUE"""),"Tayikistán [+]")</f>
        <v>Tayikistán [+]</v>
      </c>
      <c r="D166" s="4">
        <f>IFERROR(__xludf.DUMMYFUNCTION("""COMPUTED_VALUE"""),2012.0)</f>
        <v>2012</v>
      </c>
      <c r="E166" s="4">
        <f>IFERROR(__xludf.DUMMYFUNCTION("""COMPUTED_VALUE"""),80.0)</f>
        <v>80</v>
      </c>
      <c r="F166" s="4">
        <f>IFERROR(__xludf.DUMMYFUNCTION("""COMPUTED_VALUE"""),228.0)</f>
        <v>228</v>
      </c>
      <c r="G166" s="4">
        <f>IFERROR(__xludf.DUMMYFUNCTION("""COMPUTED_VALUE"""),308.0)</f>
        <v>308</v>
      </c>
      <c r="H166" s="4">
        <f>IFERROR(__xludf.DUMMYFUNCTION("""COMPUTED_VALUE"""),2.05)</f>
        <v>2.05</v>
      </c>
      <c r="I166" s="4">
        <f>IFERROR(__xludf.DUMMYFUNCTION("""COMPUTED_VALUE"""),5.74)</f>
        <v>5.74</v>
      </c>
      <c r="J166" s="4">
        <f>IFERROR(__xludf.DUMMYFUNCTION("""COMPUTED_VALUE"""),3.86)</f>
        <v>3.86</v>
      </c>
      <c r="K166" s="8">
        <f>IFERROR(__xludf.DUMMYFUNCTION("""COMPUTED_VALUE"""),0.0131)</f>
        <v>0.0131</v>
      </c>
    </row>
    <row r="167" ht="15.75" customHeight="1">
      <c r="C167" s="4" t="str">
        <f>IFERROR(__xludf.DUMMYFUNCTION("""COMPUTED_VALUE"""),"Timor Oriental [+]")</f>
        <v>Timor Oriental [+]</v>
      </c>
      <c r="D167" s="4">
        <f>IFERROR(__xludf.DUMMYFUNCTION("""COMPUTED_VALUE"""),2012.0)</f>
        <v>2012</v>
      </c>
      <c r="E167" s="4">
        <f>IFERROR(__xludf.DUMMYFUNCTION("""COMPUTED_VALUE"""),28.0)</f>
        <v>28</v>
      </c>
      <c r="F167" s="4">
        <f>IFERROR(__xludf.DUMMYFUNCTION("""COMPUTED_VALUE"""),60.0)</f>
        <v>60</v>
      </c>
      <c r="G167" s="4">
        <f>IFERROR(__xludf.DUMMYFUNCTION("""COMPUTED_VALUE"""),88.0)</f>
        <v>88</v>
      </c>
      <c r="H167" s="4">
        <f>IFERROR(__xludf.DUMMYFUNCTION("""COMPUTED_VALUE"""),4.99)</f>
        <v>4.99</v>
      </c>
      <c r="I167" s="4">
        <f>IFERROR(__xludf.DUMMYFUNCTION("""COMPUTED_VALUE"""),10.41)</f>
        <v>10.41</v>
      </c>
      <c r="J167" s="4">
        <f>IFERROR(__xludf.DUMMYFUNCTION("""COMPUTED_VALUE"""),7.73)</f>
        <v>7.73</v>
      </c>
      <c r="K167" s="8">
        <f>IFERROR(__xludf.DUMMYFUNCTION("""COMPUTED_VALUE"""),-0.0153)</f>
        <v>-0.0153</v>
      </c>
    </row>
    <row r="168" ht="15.75" customHeight="1">
      <c r="C168" s="4" t="str">
        <f>IFERROR(__xludf.DUMMYFUNCTION("""COMPUTED_VALUE"""),"Turkmenistán [+]")</f>
        <v>Turkmenistán [+]</v>
      </c>
      <c r="D168" s="4">
        <f>IFERROR(__xludf.DUMMYFUNCTION("""COMPUTED_VALUE"""),2012.0)</f>
        <v>2012</v>
      </c>
      <c r="E168" s="4">
        <f>IFERROR(__xludf.DUMMYFUNCTION("""COMPUTED_VALUE"""),132.0)</f>
        <v>132</v>
      </c>
      <c r="F168" s="4">
        <f>IFERROR(__xludf.DUMMYFUNCTION("""COMPUTED_VALUE"""),401.0)</f>
        <v>401</v>
      </c>
      <c r="G168" s="4">
        <f>IFERROR(__xludf.DUMMYFUNCTION("""COMPUTED_VALUE"""),533.0)</f>
        <v>533</v>
      </c>
      <c r="H168" s="4">
        <f>IFERROR(__xludf.DUMMYFUNCTION("""COMPUTED_VALUE"""),4.95)</f>
        <v>4.95</v>
      </c>
      <c r="I168" s="4">
        <f>IFERROR(__xludf.DUMMYFUNCTION("""COMPUTED_VALUE"""),15.46)</f>
        <v>15.46</v>
      </c>
      <c r="J168" s="4">
        <f>IFERROR(__xludf.DUMMYFUNCTION("""COMPUTED_VALUE"""),10.12)</f>
        <v>10.12</v>
      </c>
      <c r="K168" s="8">
        <f>IFERROR(__xludf.DUMMYFUNCTION("""COMPUTED_VALUE"""),0.039)</f>
        <v>0.039</v>
      </c>
    </row>
    <row r="169" ht="15.75" customHeight="1">
      <c r="C169" s="4" t="str">
        <f>IFERROR(__xludf.DUMMYFUNCTION("""COMPUTED_VALUE"""),"Túnez [+]")</f>
        <v>Túnez [+]</v>
      </c>
      <c r="D169" s="4">
        <f>IFERROR(__xludf.DUMMYFUNCTION("""COMPUTED_VALUE"""),2012.0)</f>
        <v>2012</v>
      </c>
      <c r="E169" s="4">
        <f>IFERROR(__xludf.DUMMYFUNCTION("""COMPUTED_VALUE"""),239.0)</f>
        <v>239</v>
      </c>
      <c r="F169" s="4">
        <f>IFERROR(__xludf.DUMMYFUNCTION("""COMPUTED_VALUE"""),364.0)</f>
        <v>364</v>
      </c>
      <c r="G169" s="4">
        <f>IFERROR(__xludf.DUMMYFUNCTION("""COMPUTED_VALUE"""),602.0)</f>
        <v>602</v>
      </c>
      <c r="H169" s="4">
        <f>IFERROR(__xludf.DUMMYFUNCTION("""COMPUTED_VALUE"""),4.38)</f>
        <v>4.38</v>
      </c>
      <c r="I169" s="4">
        <f>IFERROR(__xludf.DUMMYFUNCTION("""COMPUTED_VALUE"""),6.74)</f>
        <v>6.74</v>
      </c>
      <c r="J169" s="4">
        <f>IFERROR(__xludf.DUMMYFUNCTION("""COMPUTED_VALUE"""),5.53)</f>
        <v>5.53</v>
      </c>
      <c r="K169" s="8">
        <f>IFERROR(__xludf.DUMMYFUNCTION("""COMPUTED_VALUE"""),0.0375)</f>
        <v>0.0375</v>
      </c>
    </row>
    <row r="170" ht="15.75" customHeight="1">
      <c r="C170" s="4" t="str">
        <f>IFERROR(__xludf.DUMMYFUNCTION("""COMPUTED_VALUE"""),"Tonga [+]")</f>
        <v>Tonga [+]</v>
      </c>
      <c r="D170" s="4">
        <f>IFERROR(__xludf.DUMMYFUNCTION("""COMPUTED_VALUE"""),2012.0)</f>
        <v>2012</v>
      </c>
      <c r="E170" s="4">
        <f>IFERROR(__xludf.DUMMYFUNCTION("""COMPUTED_VALUE"""),2.0)</f>
        <v>2</v>
      </c>
      <c r="F170" s="4">
        <f>IFERROR(__xludf.DUMMYFUNCTION("""COMPUTED_VALUE"""),2.0)</f>
        <v>2</v>
      </c>
      <c r="G170" s="4">
        <f>IFERROR(__xludf.DUMMYFUNCTION("""COMPUTED_VALUE"""),4.0)</f>
        <v>4</v>
      </c>
      <c r="H170" s="4">
        <f>IFERROR(__xludf.DUMMYFUNCTION("""COMPUTED_VALUE"""),3.06)</f>
        <v>3.06</v>
      </c>
      <c r="I170" s="4">
        <f>IFERROR(__xludf.DUMMYFUNCTION("""COMPUTED_VALUE"""),4.22)</f>
        <v>4.22</v>
      </c>
      <c r="J170" s="4">
        <f>IFERROR(__xludf.DUMMYFUNCTION("""COMPUTED_VALUE"""),3.63)</f>
        <v>3.63</v>
      </c>
      <c r="K170" s="8">
        <f>IFERROR(__xludf.DUMMYFUNCTION("""COMPUTED_VALUE"""),0.0342)</f>
        <v>0.0342</v>
      </c>
    </row>
    <row r="171" ht="15.75" customHeight="1">
      <c r="C171" s="4" t="str">
        <f>IFERROR(__xludf.DUMMYFUNCTION("""COMPUTED_VALUE"""),"Türkiye [+]")</f>
        <v>Türkiye [+]</v>
      </c>
      <c r="D171" s="4">
        <f>IFERROR(__xludf.DUMMYFUNCTION("""COMPUTED_VALUE"""),2012.0)</f>
        <v>2012</v>
      </c>
      <c r="E171" s="4">
        <f>IFERROR(__xludf.DUMMYFUNCTION("""COMPUTED_VALUE"""),378.0)</f>
        <v>378</v>
      </c>
      <c r="F171" s="9">
        <f>IFERROR(__xludf.DUMMYFUNCTION("""COMPUTED_VALUE"""),1072.0)</f>
        <v>1072</v>
      </c>
      <c r="G171" s="9">
        <f>IFERROR(__xludf.DUMMYFUNCTION("""COMPUTED_VALUE"""),1450.0)</f>
        <v>1450</v>
      </c>
      <c r="H171" s="4">
        <f>IFERROR(__xludf.DUMMYFUNCTION("""COMPUTED_VALUE"""),0.99)</f>
        <v>0.99</v>
      </c>
      <c r="I171" s="4">
        <f>IFERROR(__xludf.DUMMYFUNCTION("""COMPUTED_VALUE"""),2.77)</f>
        <v>2.77</v>
      </c>
      <c r="J171" s="4">
        <f>IFERROR(__xludf.DUMMYFUNCTION("""COMPUTED_VALUE"""),1.88)</f>
        <v>1.88</v>
      </c>
      <c r="K171" s="8">
        <f>IFERROR(__xludf.DUMMYFUNCTION("""COMPUTED_VALUE"""),0.2368)</f>
        <v>0.2368</v>
      </c>
    </row>
    <row r="172" ht="15.75" customHeight="1">
      <c r="C172" s="4" t="str">
        <f>IFERROR(__xludf.DUMMYFUNCTION("""COMPUTED_VALUE"""),"Trinidad y Tobago [+]")</f>
        <v>Trinidad y Tobago [+]</v>
      </c>
      <c r="D172" s="4">
        <f>IFERROR(__xludf.DUMMYFUNCTION("""COMPUTED_VALUE"""),2012.0)</f>
        <v>2012</v>
      </c>
      <c r="E172" s="4">
        <f>IFERROR(__xludf.DUMMYFUNCTION("""COMPUTED_VALUE"""),33.0)</f>
        <v>33</v>
      </c>
      <c r="F172" s="4">
        <f>IFERROR(__xludf.DUMMYFUNCTION("""COMPUTED_VALUE"""),154.0)</f>
        <v>154</v>
      </c>
      <c r="G172" s="4">
        <f>IFERROR(__xludf.DUMMYFUNCTION("""COMPUTED_VALUE"""),186.0)</f>
        <v>186</v>
      </c>
      <c r="H172" s="4">
        <f>IFERROR(__xludf.DUMMYFUNCTION("""COMPUTED_VALUE"""),4.83)</f>
        <v>4.83</v>
      </c>
      <c r="I172" s="4">
        <f>IFERROR(__xludf.DUMMYFUNCTION("""COMPUTED_VALUE"""),23.08)</f>
        <v>23.08</v>
      </c>
      <c r="J172" s="4">
        <f>IFERROR(__xludf.DUMMYFUNCTION("""COMPUTED_VALUE"""),13.86)</f>
        <v>13.86</v>
      </c>
      <c r="K172" s="8">
        <f>IFERROR(__xludf.DUMMYFUNCTION("""COMPUTED_VALUE"""),-0.0212)</f>
        <v>-0.0212</v>
      </c>
    </row>
    <row r="173" ht="15.75" customHeight="1">
      <c r="C173" s="4" t="str">
        <f>IFERROR(__xludf.DUMMYFUNCTION("""COMPUTED_VALUE"""),"Tanzania [+]")</f>
        <v>Tanzania [+]</v>
      </c>
      <c r="D173" s="4">
        <f>IFERROR(__xludf.DUMMYFUNCTION("""COMPUTED_VALUE"""),2012.0)</f>
        <v>2012</v>
      </c>
      <c r="E173" s="4">
        <f>IFERROR(__xludf.DUMMYFUNCTION("""COMPUTED_VALUE"""),861.0)</f>
        <v>861</v>
      </c>
      <c r="F173" s="9">
        <f>IFERROR(__xludf.DUMMYFUNCTION("""COMPUTED_VALUE"""),2483.0)</f>
        <v>2483</v>
      </c>
      <c r="G173" s="9">
        <f>IFERROR(__xludf.DUMMYFUNCTION("""COMPUTED_VALUE"""),3344.0)</f>
        <v>3344</v>
      </c>
      <c r="H173" s="4">
        <f>IFERROR(__xludf.DUMMYFUNCTION("""COMPUTED_VALUE"""),3.65)</f>
        <v>3.65</v>
      </c>
      <c r="I173" s="4">
        <f>IFERROR(__xludf.DUMMYFUNCTION("""COMPUTED_VALUE"""),10.57)</f>
        <v>10.57</v>
      </c>
      <c r="J173" s="4">
        <f>IFERROR(__xludf.DUMMYFUNCTION("""COMPUTED_VALUE"""),7.32)</f>
        <v>7.32</v>
      </c>
      <c r="K173" s="8">
        <f>IFERROR(__xludf.DUMMYFUNCTION("""COMPUTED_VALUE"""),0.0097)</f>
        <v>0.0097</v>
      </c>
    </row>
    <row r="174" ht="15.75" customHeight="1">
      <c r="C174" s="4" t="str">
        <f>IFERROR(__xludf.DUMMYFUNCTION("""COMPUTED_VALUE"""),"Ucrania [+]")</f>
        <v>Ucrania [+]</v>
      </c>
      <c r="D174" s="4">
        <f>IFERROR(__xludf.DUMMYFUNCTION("""COMPUTED_VALUE"""),2012.0)</f>
        <v>2012</v>
      </c>
      <c r="E174" s="9">
        <f>IFERROR(__xludf.DUMMYFUNCTION("""COMPUTED_VALUE"""),1974.0)</f>
        <v>1974</v>
      </c>
      <c r="F174" s="9">
        <f>IFERROR(__xludf.DUMMYFUNCTION("""COMPUTED_VALUE"""),8219.0)</f>
        <v>8219</v>
      </c>
      <c r="G174" s="9">
        <f>IFERROR(__xludf.DUMMYFUNCTION("""COMPUTED_VALUE"""),10193.0)</f>
        <v>10193</v>
      </c>
      <c r="H174" s="4">
        <f>IFERROR(__xludf.DUMMYFUNCTION("""COMPUTED_VALUE"""),8.09)</f>
        <v>8.09</v>
      </c>
      <c r="I174" s="4">
        <f>IFERROR(__xludf.DUMMYFUNCTION("""COMPUTED_VALUE"""),39.21)</f>
        <v>39.21</v>
      </c>
      <c r="J174" s="4">
        <f>IFERROR(__xludf.DUMMYFUNCTION("""COMPUTED_VALUE"""),22.47)</f>
        <v>22.47</v>
      </c>
      <c r="K174" s="8">
        <f>IFERROR(__xludf.DUMMYFUNCTION("""COMPUTED_VALUE"""),0.009)</f>
        <v>0.009</v>
      </c>
    </row>
    <row r="175" ht="15.75" customHeight="1">
      <c r="C175" s="4" t="str">
        <f>IFERROR(__xludf.DUMMYFUNCTION("""COMPUTED_VALUE"""),"Uganda [+]")</f>
        <v>Uganda [+]</v>
      </c>
      <c r="D175" s="4">
        <f>IFERROR(__xludf.DUMMYFUNCTION("""COMPUTED_VALUE"""),2012.0)</f>
        <v>2012</v>
      </c>
      <c r="E175" s="4">
        <f>IFERROR(__xludf.DUMMYFUNCTION("""COMPUTED_VALUE"""),775.0)</f>
        <v>775</v>
      </c>
      <c r="F175" s="9">
        <f>IFERROR(__xludf.DUMMYFUNCTION("""COMPUTED_VALUE"""),1746.0)</f>
        <v>1746</v>
      </c>
      <c r="G175" s="9">
        <f>IFERROR(__xludf.DUMMYFUNCTION("""COMPUTED_VALUE"""),2521.0)</f>
        <v>2521</v>
      </c>
      <c r="H175" s="4">
        <f>IFERROR(__xludf.DUMMYFUNCTION("""COMPUTED_VALUE"""),4.4)</f>
        <v>4.4</v>
      </c>
      <c r="I175" s="4">
        <f>IFERROR(__xludf.DUMMYFUNCTION("""COMPUTED_VALUE"""),10.29)</f>
        <v>10.29</v>
      </c>
      <c r="J175" s="4">
        <f>IFERROR(__xludf.DUMMYFUNCTION("""COMPUTED_VALUE"""),7.75)</f>
        <v>7.75</v>
      </c>
      <c r="K175" s="8">
        <f>IFERROR(__xludf.DUMMYFUNCTION("""COMPUTED_VALUE"""),0.0026)</f>
        <v>0.0026</v>
      </c>
    </row>
    <row r="176" ht="15.75" customHeight="1">
      <c r="C176" s="4" t="str">
        <f>IFERROR(__xludf.DUMMYFUNCTION("""COMPUTED_VALUE"""),"Uruguay [+]")</f>
        <v>Uruguay [+]</v>
      </c>
      <c r="D176" s="4">
        <f>IFERROR(__xludf.DUMMYFUNCTION("""COMPUTED_VALUE"""),2012.0)</f>
        <v>2012</v>
      </c>
      <c r="E176" s="4">
        <f>IFERROR(__xludf.DUMMYFUNCTION("""COMPUTED_VALUE"""),122.0)</f>
        <v>122</v>
      </c>
      <c r="F176" s="4">
        <f>IFERROR(__xludf.DUMMYFUNCTION("""COMPUTED_VALUE"""),489.0)</f>
        <v>489</v>
      </c>
      <c r="G176" s="4">
        <f>IFERROR(__xludf.DUMMYFUNCTION("""COMPUTED_VALUE"""),612.0)</f>
        <v>612</v>
      </c>
      <c r="H176" s="4">
        <f>IFERROR(__xludf.DUMMYFUNCTION("""COMPUTED_VALUE"""),6.99)</f>
        <v>6.99</v>
      </c>
      <c r="I176" s="4">
        <f>IFERROR(__xludf.DUMMYFUNCTION("""COMPUTED_VALUE"""),30.03)</f>
        <v>30.03</v>
      </c>
      <c r="J176" s="4">
        <f>IFERROR(__xludf.DUMMYFUNCTION("""COMPUTED_VALUE"""),17.85)</f>
        <v>17.85</v>
      </c>
      <c r="K176" s="8">
        <f>IFERROR(__xludf.DUMMYFUNCTION("""COMPUTED_VALUE"""),0.0779)</f>
        <v>0.0779</v>
      </c>
    </row>
    <row r="177" ht="15.75" customHeight="1">
      <c r="C177" s="4" t="str">
        <f>IFERROR(__xludf.DUMMYFUNCTION("""COMPUTED_VALUE"""),"Uzbekistán [+]")</f>
        <v>Uzbekistán [+]</v>
      </c>
      <c r="D177" s="4">
        <f>IFERROR(__xludf.DUMMYFUNCTION("""COMPUTED_VALUE"""),2012.0)</f>
        <v>2012</v>
      </c>
      <c r="E177" s="4">
        <f>IFERROR(__xludf.DUMMYFUNCTION("""COMPUTED_VALUE"""),744.0)</f>
        <v>744</v>
      </c>
      <c r="F177" s="9">
        <f>IFERROR(__xludf.DUMMYFUNCTION("""COMPUTED_VALUE"""),1671.0)</f>
        <v>1671</v>
      </c>
      <c r="G177" s="9">
        <f>IFERROR(__xludf.DUMMYFUNCTION("""COMPUTED_VALUE"""),2415.0)</f>
        <v>2415</v>
      </c>
      <c r="H177" s="4">
        <f>IFERROR(__xludf.DUMMYFUNCTION("""COMPUTED_VALUE"""),4.97)</f>
        <v>4.97</v>
      </c>
      <c r="I177" s="4">
        <f>IFERROR(__xludf.DUMMYFUNCTION("""COMPUTED_VALUE"""),11.28)</f>
        <v>11.28</v>
      </c>
      <c r="J177" s="4">
        <f>IFERROR(__xludf.DUMMYFUNCTION("""COMPUTED_VALUE"""),8.17)</f>
        <v>8.17</v>
      </c>
      <c r="K177" s="8">
        <f>IFERROR(__xludf.DUMMYFUNCTION("""COMPUTED_VALUE"""),0.107)</f>
        <v>0.107</v>
      </c>
    </row>
    <row r="178" ht="15.75" customHeight="1">
      <c r="C178" s="4" t="str">
        <f>IFERROR(__xludf.DUMMYFUNCTION("""COMPUTED_VALUE"""),"San Vicente y las Granadinas [+]")</f>
        <v>San Vicente y las Granadinas [+]</v>
      </c>
      <c r="D178" s="4">
        <f>IFERROR(__xludf.DUMMYFUNCTION("""COMPUTED_VALUE"""),2012.0)</f>
        <v>2012</v>
      </c>
      <c r="E178" s="4">
        <f>IFERROR(__xludf.DUMMYFUNCTION("""COMPUTED_VALUE"""),3.0)</f>
        <v>3</v>
      </c>
      <c r="F178" s="4">
        <f>IFERROR(__xludf.DUMMYFUNCTION("""COMPUTED_VALUE"""),4.0)</f>
        <v>4</v>
      </c>
      <c r="G178" s="4">
        <f>IFERROR(__xludf.DUMMYFUNCTION("""COMPUTED_VALUE"""),6.0)</f>
        <v>6</v>
      </c>
      <c r="H178" s="4">
        <f>IFERROR(__xludf.DUMMYFUNCTION("""COMPUTED_VALUE"""),5.29)</f>
        <v>5.29</v>
      </c>
      <c r="I178" s="4">
        <f>IFERROR(__xludf.DUMMYFUNCTION("""COMPUTED_VALUE"""),6.46)</f>
        <v>6.46</v>
      </c>
      <c r="J178" s="4">
        <f>IFERROR(__xludf.DUMMYFUNCTION("""COMPUTED_VALUE"""),5.86)</f>
        <v>5.86</v>
      </c>
      <c r="K178" s="8">
        <f>IFERROR(__xludf.DUMMYFUNCTION("""COMPUTED_VALUE"""),-0.0684)</f>
        <v>-0.0684</v>
      </c>
    </row>
    <row r="179" ht="15.75" customHeight="1">
      <c r="C179" s="4" t="str">
        <f>IFERROR(__xludf.DUMMYFUNCTION("""COMPUTED_VALUE"""),"Venezuela [+]")</f>
        <v>Venezuela [+]</v>
      </c>
      <c r="D179" s="4">
        <f>IFERROR(__xludf.DUMMYFUNCTION("""COMPUTED_VALUE"""),2012.0)</f>
        <v>2012</v>
      </c>
      <c r="E179" s="4">
        <f>IFERROR(__xludf.DUMMYFUNCTION("""COMPUTED_VALUE"""),168.0)</f>
        <v>168</v>
      </c>
      <c r="F179" s="4">
        <f>IFERROR(__xludf.DUMMYFUNCTION("""COMPUTED_VALUE"""),757.0)</f>
        <v>757</v>
      </c>
      <c r="G179" s="4">
        <f>IFERROR(__xludf.DUMMYFUNCTION("""COMPUTED_VALUE"""),925.0)</f>
        <v>925</v>
      </c>
      <c r="H179" s="4">
        <f>IFERROR(__xludf.DUMMYFUNCTION("""COMPUTED_VALUE"""),1.14)</f>
        <v>1.14</v>
      </c>
      <c r="I179" s="4">
        <f>IFERROR(__xludf.DUMMYFUNCTION("""COMPUTED_VALUE"""),5.17)</f>
        <v>5.17</v>
      </c>
      <c r="J179" s="4">
        <f>IFERROR(__xludf.DUMMYFUNCTION("""COMPUTED_VALUE"""),3.15)</f>
        <v>3.15</v>
      </c>
      <c r="K179" s="8">
        <f>IFERROR(__xludf.DUMMYFUNCTION("""COMPUTED_VALUE"""),-0.0308)</f>
        <v>-0.0308</v>
      </c>
    </row>
    <row r="180" ht="15.75" customHeight="1">
      <c r="C180" s="4" t="str">
        <f>IFERROR(__xludf.DUMMYFUNCTION("""COMPUTED_VALUE"""),"Viet Nam [+]")</f>
        <v>Viet Nam [+]</v>
      </c>
      <c r="D180" s="4">
        <f>IFERROR(__xludf.DUMMYFUNCTION("""COMPUTED_VALUE"""),2012.0)</f>
        <v>2012</v>
      </c>
      <c r="E180" s="9">
        <f>IFERROR(__xludf.DUMMYFUNCTION("""COMPUTED_VALUE"""),1628.0)</f>
        <v>1628</v>
      </c>
      <c r="F180" s="9">
        <f>IFERROR(__xludf.DUMMYFUNCTION("""COMPUTED_VALUE"""),4765.0)</f>
        <v>4765</v>
      </c>
      <c r="G180" s="9">
        <f>IFERROR(__xludf.DUMMYFUNCTION("""COMPUTED_VALUE"""),6393.0)</f>
        <v>6393</v>
      </c>
      <c r="H180" s="4">
        <f>IFERROR(__xludf.DUMMYFUNCTION("""COMPUTED_VALUE"""),3.61)</f>
        <v>3.61</v>
      </c>
      <c r="I180" s="4">
        <f>IFERROR(__xludf.DUMMYFUNCTION("""COMPUTED_VALUE"""),10.66)</f>
        <v>10.66</v>
      </c>
      <c r="J180" s="4">
        <f>IFERROR(__xludf.DUMMYFUNCTION("""COMPUTED_VALUE"""),7.2)</f>
        <v>7.2</v>
      </c>
      <c r="K180" s="4">
        <f>IFERROR(__xludf.DUMMYFUNCTION("""COMPUTED_VALUE"""),0.0)</f>
        <v>0</v>
      </c>
    </row>
    <row r="181" ht="15.75" customHeight="1">
      <c r="C181" s="4" t="str">
        <f>IFERROR(__xludf.DUMMYFUNCTION("""COMPUTED_VALUE"""),"Vanuatu [+]")</f>
        <v>Vanuatu [+]</v>
      </c>
      <c r="D181" s="4">
        <f>IFERROR(__xludf.DUMMYFUNCTION("""COMPUTED_VALUE"""),2012.0)</f>
        <v>2012</v>
      </c>
      <c r="E181" s="4">
        <f>IFERROR(__xludf.DUMMYFUNCTION("""COMPUTED_VALUE"""),4.0)</f>
        <v>4</v>
      </c>
      <c r="F181" s="4">
        <f>IFERROR(__xludf.DUMMYFUNCTION("""COMPUTED_VALUE"""),12.0)</f>
        <v>12</v>
      </c>
      <c r="G181" s="4">
        <f>IFERROR(__xludf.DUMMYFUNCTION("""COMPUTED_VALUE"""),15.0)</f>
        <v>15</v>
      </c>
      <c r="H181" s="4">
        <f>IFERROR(__xludf.DUMMYFUNCTION("""COMPUTED_VALUE"""),2.96)</f>
        <v>2.96</v>
      </c>
      <c r="I181" s="4">
        <f>IFERROR(__xludf.DUMMYFUNCTION("""COMPUTED_VALUE"""),9.13)</f>
        <v>9.13</v>
      </c>
      <c r="J181" s="4">
        <f>IFERROR(__xludf.DUMMYFUNCTION("""COMPUTED_VALUE"""),6.06)</f>
        <v>6.06</v>
      </c>
      <c r="K181" s="8">
        <f>IFERROR(__xludf.DUMMYFUNCTION("""COMPUTED_VALUE"""),-0.0226)</f>
        <v>-0.0226</v>
      </c>
    </row>
    <row r="182" ht="15.75" customHeight="1">
      <c r="C182" s="4" t="str">
        <f>IFERROR(__xludf.DUMMYFUNCTION("""COMPUTED_VALUE"""),"Samoa [+]")</f>
        <v>Samoa [+]</v>
      </c>
      <c r="D182" s="4">
        <f>IFERROR(__xludf.DUMMYFUNCTION("""COMPUTED_VALUE"""),2012.0)</f>
        <v>2012</v>
      </c>
      <c r="E182" s="4">
        <f>IFERROR(__xludf.DUMMYFUNCTION("""COMPUTED_VALUE"""),2.0)</f>
        <v>2</v>
      </c>
      <c r="F182" s="4">
        <f>IFERROR(__xludf.DUMMYFUNCTION("""COMPUTED_VALUE"""),9.0)</f>
        <v>9</v>
      </c>
      <c r="G182" s="4">
        <f>IFERROR(__xludf.DUMMYFUNCTION("""COMPUTED_VALUE"""),11.0)</f>
        <v>11</v>
      </c>
      <c r="H182" s="4">
        <f>IFERROR(__xludf.DUMMYFUNCTION("""COMPUTED_VALUE"""),2.44)</f>
        <v>2.44</v>
      </c>
      <c r="I182" s="4">
        <f>IFERROR(__xludf.DUMMYFUNCTION("""COMPUTED_VALUE"""),9.22)</f>
        <v>9.22</v>
      </c>
      <c r="J182" s="4">
        <f>IFERROR(__xludf.DUMMYFUNCTION("""COMPUTED_VALUE"""),5.94)</f>
        <v>5.94</v>
      </c>
      <c r="K182" s="8">
        <f>IFERROR(__xludf.DUMMYFUNCTION("""COMPUTED_VALUE"""),-0.0373)</f>
        <v>-0.0373</v>
      </c>
    </row>
    <row r="183" ht="15.75" customHeight="1">
      <c r="C183" s="4" t="str">
        <f>IFERROR(__xludf.DUMMYFUNCTION("""COMPUTED_VALUE"""),"Yemen [+]")</f>
        <v>Yemen [+]</v>
      </c>
      <c r="D183" s="4">
        <f>IFERROR(__xludf.DUMMYFUNCTION("""COMPUTED_VALUE"""),2012.0)</f>
        <v>2012</v>
      </c>
      <c r="E183" s="4">
        <f>IFERROR(__xludf.DUMMYFUNCTION("""COMPUTED_VALUE"""),717.0)</f>
        <v>717</v>
      </c>
      <c r="F183" s="9">
        <f>IFERROR(__xludf.DUMMYFUNCTION("""COMPUTED_VALUE"""),1366.0)</f>
        <v>1366</v>
      </c>
      <c r="G183" s="9">
        <f>IFERROR(__xludf.DUMMYFUNCTION("""COMPUTED_VALUE"""),2083.0)</f>
        <v>2083</v>
      </c>
      <c r="H183" s="4">
        <f>IFERROR(__xludf.DUMMYFUNCTION("""COMPUTED_VALUE"""),5.9)</f>
        <v>5.9</v>
      </c>
      <c r="I183" s="4">
        <f>IFERROR(__xludf.DUMMYFUNCTION("""COMPUTED_VALUE"""),11.08)</f>
        <v>11.08</v>
      </c>
      <c r="J183" s="4">
        <f>IFERROR(__xludf.DUMMYFUNCTION("""COMPUTED_VALUE"""),8.36)</f>
        <v>8.36</v>
      </c>
      <c r="K183" s="8">
        <f>IFERROR(__xludf.DUMMYFUNCTION("""COMPUTED_VALUE"""),0.0097)</f>
        <v>0.0097</v>
      </c>
    </row>
    <row r="184" ht="15.75" customHeight="1">
      <c r="C184" s="4" t="str">
        <f>IFERROR(__xludf.DUMMYFUNCTION("""COMPUTED_VALUE"""),"Sudáfrica [+]")</f>
        <v>Sudáfrica [+]</v>
      </c>
      <c r="D184" s="4">
        <f>IFERROR(__xludf.DUMMYFUNCTION("""COMPUTED_VALUE"""),2012.0)</f>
        <v>2012</v>
      </c>
      <c r="E184" s="4">
        <f>IFERROR(__xludf.DUMMYFUNCTION("""COMPUTED_VALUE"""),115.0)</f>
        <v>115</v>
      </c>
      <c r="F184" s="4">
        <f>IFERROR(__xludf.DUMMYFUNCTION("""COMPUTED_VALUE"""),376.0)</f>
        <v>376</v>
      </c>
      <c r="G184" s="4">
        <f>IFERROR(__xludf.DUMMYFUNCTION("""COMPUTED_VALUE"""),491.0)</f>
        <v>491</v>
      </c>
      <c r="H184" s="4">
        <f>IFERROR(__xludf.DUMMYFUNCTION("""COMPUTED_VALUE"""),0.4)</f>
        <v>0.4</v>
      </c>
      <c r="I184" s="4">
        <f>IFERROR(__xludf.DUMMYFUNCTION("""COMPUTED_VALUE"""),1.5)</f>
        <v>1.5</v>
      </c>
      <c r="J184" s="4">
        <f>IFERROR(__xludf.DUMMYFUNCTION("""COMPUTED_VALUE"""),0.9)</f>
        <v>0.9</v>
      </c>
      <c r="K184" s="8">
        <f>IFERROR(__xludf.DUMMYFUNCTION("""COMPUTED_VALUE"""),0.2857)</f>
        <v>0.2857</v>
      </c>
    </row>
    <row r="185" ht="15.75" customHeight="1">
      <c r="C185" s="4" t="str">
        <f>IFERROR(__xludf.DUMMYFUNCTION("""COMPUTED_VALUE"""),"Zambia [+]")</f>
        <v>Zambia [+]</v>
      </c>
      <c r="D185" s="4">
        <f>IFERROR(__xludf.DUMMYFUNCTION("""COMPUTED_VALUE"""),2012.0)</f>
        <v>2012</v>
      </c>
      <c r="E185" s="4">
        <f>IFERROR(__xludf.DUMMYFUNCTION("""COMPUTED_VALUE"""),222.0)</f>
        <v>222</v>
      </c>
      <c r="F185" s="4">
        <f>IFERROR(__xludf.DUMMYFUNCTION("""COMPUTED_VALUE"""),728.0)</f>
        <v>728</v>
      </c>
      <c r="G185" s="4">
        <f>IFERROR(__xludf.DUMMYFUNCTION("""COMPUTED_VALUE"""),950.0)</f>
        <v>950</v>
      </c>
      <c r="H185" s="4">
        <f>IFERROR(__xludf.DUMMYFUNCTION("""COMPUTED_VALUE"""),3.03)</f>
        <v>3.03</v>
      </c>
      <c r="I185" s="4">
        <f>IFERROR(__xludf.DUMMYFUNCTION("""COMPUTED_VALUE"""),10.19)</f>
        <v>10.19</v>
      </c>
      <c r="J185" s="4">
        <f>IFERROR(__xludf.DUMMYFUNCTION("""COMPUTED_VALUE"""),6.43)</f>
        <v>6.43</v>
      </c>
      <c r="K185" s="8">
        <f>IFERROR(__xludf.DUMMYFUNCTION("""COMPUTED_VALUE"""),-0.0077)</f>
        <v>-0.0077</v>
      </c>
    </row>
    <row r="186" ht="15.75" customHeight="1">
      <c r="C186" s="4" t="str">
        <f>IFERROR(__xludf.DUMMYFUNCTION("""COMPUTED_VALUE"""),"Zimbabue [+]")</f>
        <v>Zimbabue [+]</v>
      </c>
      <c r="D186" s="4">
        <f>IFERROR(__xludf.DUMMYFUNCTION("""COMPUTED_VALUE"""),2012.0)</f>
        <v>2012</v>
      </c>
      <c r="E186" s="4">
        <f>IFERROR(__xludf.DUMMYFUNCTION("""COMPUTED_VALUE"""),423.0)</f>
        <v>423</v>
      </c>
      <c r="F186" s="9">
        <f>IFERROR(__xludf.DUMMYFUNCTION("""COMPUTED_VALUE"""),1195.0)</f>
        <v>1195</v>
      </c>
      <c r="G186" s="9">
        <f>IFERROR(__xludf.DUMMYFUNCTION("""COMPUTED_VALUE"""),1619.0)</f>
        <v>1619</v>
      </c>
      <c r="H186" s="4">
        <f>IFERROR(__xludf.DUMMYFUNCTION("""COMPUTED_VALUE"""),6.16)</f>
        <v>6.16</v>
      </c>
      <c r="I186" s="4">
        <f>IFERROR(__xludf.DUMMYFUNCTION("""COMPUTED_VALUE"""),19.15)</f>
        <v>19.15</v>
      </c>
      <c r="J186" s="4">
        <f>IFERROR(__xludf.DUMMYFUNCTION("""COMPUTED_VALUE"""),12.39)</f>
        <v>12.39</v>
      </c>
      <c r="K186" s="8">
        <f>IFERROR(__xludf.DUMMYFUNCTION("""COMPUTED_VALUE"""),-0.0244)</f>
        <v>-0.0244</v>
      </c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5</v>
      </c>
      <c r="B1" s="2" t="str">
        <f>SUBSTITUTE(C1,"[+]","")</f>
        <v/>
      </c>
    </row>
    <row r="2" ht="15.75" customHeight="1">
      <c r="B2" s="3"/>
      <c r="C2" s="2" t="str">
        <f>IFERROR(__xludf.DUMMYFUNCTION("IMPORTXML(A1, ""//table[1]/thead/tr"")"),"Países")</f>
        <v>Países</v>
      </c>
      <c r="D2" s="2" t="str">
        <f>IFERROR(__xludf.DUMMYFUNCTION("""COMPUTED_VALUE"""),"Suicidios mujeres")</f>
        <v>Suicidios mujeres</v>
      </c>
      <c r="E2" s="2" t="str">
        <f>IFERROR(__xludf.DUMMYFUNCTION("""COMPUTED_VALUE"""),"Suicidios hombres")</f>
        <v>Suicidios hombres</v>
      </c>
      <c r="F2" s="2" t="str">
        <f>IFERROR(__xludf.DUMMYFUNCTION("""COMPUTED_VALUE"""),"Suicidios ")</f>
        <v>Suicidios </v>
      </c>
      <c r="G2" s="2" t="str">
        <f>IFERROR(__xludf.DUMMYFUNCTION("""COMPUTED_VALUE"""),"Suicidios tasa femenina")</f>
        <v>Suicidios tasa femenina</v>
      </c>
      <c r="H2" s="2" t="str">
        <f>IFERROR(__xludf.DUMMYFUNCTION("""COMPUTED_VALUE"""),"Suicidios tasa masculina")</f>
        <v>Suicidios tasa masculina</v>
      </c>
      <c r="I2" s="2" t="str">
        <f>IFERROR(__xludf.DUMMYFUNCTION("""COMPUTED_VALUE"""),"Suicidios por 100.000")</f>
        <v>Suicidios por 100.000</v>
      </c>
      <c r="J2" s="4" t="str">
        <f>IFERROR(__xludf.DUMMYFUNCTION("""COMPUTED_VALUE"""),"Var.")</f>
        <v>Var.</v>
      </c>
    </row>
    <row r="3" ht="15.75" customHeight="1">
      <c r="C3" s="2" t="str">
        <f>IFERROR(__xludf.DUMMYFUNCTION("IMPORTXML(A1, ""//table[1]/tbody/tr"")"),"España [+]")</f>
        <v>España [+]</v>
      </c>
      <c r="D3" s="5">
        <f>IFERROR(__xludf.DUMMYFUNCTION("""COMPUTED_VALUE"""),690.0)</f>
        <v>690</v>
      </c>
      <c r="E3" s="6">
        <f>IFERROR(__xludf.DUMMYFUNCTION("""COMPUTED_VALUE"""),2468.0)</f>
        <v>2468</v>
      </c>
      <c r="F3" s="6">
        <f>IFERROR(__xludf.DUMMYFUNCTION("""COMPUTED_VALUE"""),3158.0)</f>
        <v>3158</v>
      </c>
      <c r="G3" s="2">
        <f>IFERROR(__xludf.DUMMYFUNCTION("""COMPUTED_VALUE"""),2.95)</f>
        <v>2.95</v>
      </c>
      <c r="H3" s="7">
        <f>IFERROR(__xludf.DUMMYFUNCTION("""COMPUTED_VALUE"""),10.87)</f>
        <v>10.87</v>
      </c>
      <c r="I3" s="2">
        <f>IFERROR(__xludf.DUMMYFUNCTION("""COMPUTED_VALUE"""),6.85)</f>
        <v>6.85</v>
      </c>
      <c r="J3" s="8">
        <f>IFERROR(__xludf.DUMMYFUNCTION("""COMPUTED_VALUE"""),-0.082)</f>
        <v>-0.082</v>
      </c>
    </row>
    <row r="4" ht="15.75" customHeight="1">
      <c r="C4" s="2" t="str">
        <f>IFERROR(__xludf.DUMMYFUNCTION("""COMPUTED_VALUE"""),"Alemania [+]")</f>
        <v>Alemania [+]</v>
      </c>
      <c r="D4" s="5">
        <f>IFERROR(__xludf.DUMMYFUNCTION("""COMPUTED_VALUE"""),2559.0)</f>
        <v>2559</v>
      </c>
      <c r="E4" s="6">
        <f>IFERROR(__xludf.DUMMYFUNCTION("""COMPUTED_VALUE"""),7471.0)</f>
        <v>7471</v>
      </c>
      <c r="F4" s="6">
        <f>IFERROR(__xludf.DUMMYFUNCTION("""COMPUTED_VALUE"""),10030.0)</f>
        <v>10030</v>
      </c>
      <c r="G4" s="2">
        <f>IFERROR(__xludf.DUMMYFUNCTION("""COMPUTED_VALUE"""),6.1)</f>
        <v>6.1</v>
      </c>
      <c r="H4" s="7">
        <f>IFERROR(__xludf.DUMMYFUNCTION("""COMPUTED_VALUE"""),18.6)</f>
        <v>18.6</v>
      </c>
      <c r="I4" s="2">
        <f>IFERROR(__xludf.DUMMYFUNCTION("""COMPUTED_VALUE"""),12.3)</f>
        <v>12.3</v>
      </c>
      <c r="J4" s="8">
        <f>IFERROR(__xludf.DUMMYFUNCTION("""COMPUTED_VALUE"""),0.0424)</f>
        <v>0.0424</v>
      </c>
    </row>
    <row r="5" ht="15.75" customHeight="1">
      <c r="C5" s="2" t="str">
        <f>IFERROR(__xludf.DUMMYFUNCTION("""COMPUTED_VALUE"""),"Reino Unido [+]")</f>
        <v>Reino Unido [+]</v>
      </c>
      <c r="D5" s="5">
        <f>IFERROR(__xludf.DUMMYFUNCTION("""COMPUTED_VALUE"""),963.0)</f>
        <v>963</v>
      </c>
      <c r="E5" s="6">
        <f>IFERROR(__xludf.DUMMYFUNCTION("""COMPUTED_VALUE"""),3225.0)</f>
        <v>3225</v>
      </c>
      <c r="F5" s="6">
        <f>IFERROR(__xludf.DUMMYFUNCTION("""COMPUTED_VALUE"""),4188.0)</f>
        <v>4188</v>
      </c>
      <c r="G5" s="2">
        <f>IFERROR(__xludf.DUMMYFUNCTION("""COMPUTED_VALUE"""),3.0)</f>
        <v>3</v>
      </c>
      <c r="H5" s="7">
        <f>IFERROR(__xludf.DUMMYFUNCTION("""COMPUTED_VALUE"""),10.5)</f>
        <v>10.5</v>
      </c>
      <c r="I5" s="2">
        <f>IFERROR(__xludf.DUMMYFUNCTION("""COMPUTED_VALUE"""),6.7)</f>
        <v>6.7</v>
      </c>
      <c r="J5" s="8">
        <f>IFERROR(__xludf.DUMMYFUNCTION("""COMPUTED_VALUE"""),-0.0147)</f>
        <v>-0.0147</v>
      </c>
    </row>
    <row r="6" ht="15.75" customHeight="1">
      <c r="C6" s="2" t="str">
        <f>IFERROR(__xludf.DUMMYFUNCTION("""COMPUTED_VALUE"""),"Francia [+]")</f>
        <v>Francia [+]</v>
      </c>
      <c r="D6" s="5">
        <f>IFERROR(__xludf.DUMMYFUNCTION("""COMPUTED_VALUE"""),2784.0)</f>
        <v>2784</v>
      </c>
      <c r="E6" s="6">
        <f>IFERROR(__xludf.DUMMYFUNCTION("""COMPUTED_VALUE"""),7776.0)</f>
        <v>7776</v>
      </c>
      <c r="F6" s="6">
        <f>IFERROR(__xludf.DUMMYFUNCTION("""COMPUTED_VALUE"""),10560.0)</f>
        <v>10560</v>
      </c>
      <c r="G6" s="2">
        <f>IFERROR(__xludf.DUMMYFUNCTION("""COMPUTED_VALUE"""),8.3)</f>
        <v>8.3</v>
      </c>
      <c r="H6" s="7">
        <f>IFERROR(__xludf.DUMMYFUNCTION("""COMPUTED_VALUE"""),24.8)</f>
        <v>24.8</v>
      </c>
      <c r="I6" s="2">
        <f>IFERROR(__xludf.DUMMYFUNCTION("""COMPUTED_VALUE"""),16.3)</f>
        <v>16.3</v>
      </c>
      <c r="J6" s="8">
        <f>IFERROR(__xludf.DUMMYFUNCTION("""COMPUTED_VALUE"""),-0.0181)</f>
        <v>-0.0181</v>
      </c>
    </row>
    <row r="7" ht="15.75" customHeight="1">
      <c r="C7" s="2" t="str">
        <f>IFERROR(__xludf.DUMMYFUNCTION("""COMPUTED_VALUE"""),"Italia [+]")</f>
        <v>Italia [+]</v>
      </c>
      <c r="D7" s="5">
        <f>IFERROR(__xludf.DUMMYFUNCTION("""COMPUTED_VALUE"""),861.0)</f>
        <v>861</v>
      </c>
      <c r="E7" s="6">
        <f>IFERROR(__xludf.DUMMYFUNCTION("""COMPUTED_VALUE"""),3128.0)</f>
        <v>3128</v>
      </c>
      <c r="F7" s="6">
        <f>IFERROR(__xludf.DUMMYFUNCTION("""COMPUTED_VALUE"""),3989.0)</f>
        <v>3989</v>
      </c>
      <c r="G7" s="2">
        <f>IFERROR(__xludf.DUMMYFUNCTION("""COMPUTED_VALUE"""),2.8)</f>
        <v>2.8</v>
      </c>
      <c r="H7" s="7">
        <f>IFERROR(__xludf.DUMMYFUNCTION("""COMPUTED_VALUE"""),10.7)</f>
        <v>10.7</v>
      </c>
      <c r="I7" s="2">
        <f>IFERROR(__xludf.DUMMYFUNCTION("""COMPUTED_VALUE"""),6.6)</f>
        <v>6.6</v>
      </c>
      <c r="J7" s="4">
        <f>IFERROR(__xludf.DUMMYFUNCTION("""COMPUTED_VALUE"""),0.0)</f>
        <v>0</v>
      </c>
    </row>
    <row r="8" ht="15.75" customHeight="1">
      <c r="C8" s="2" t="str">
        <f>IFERROR(__xludf.DUMMYFUNCTION("""COMPUTED_VALUE"""),"Portugal [+]")</f>
        <v>Portugal [+]</v>
      </c>
      <c r="D8" s="5">
        <f>IFERROR(__xludf.DUMMYFUNCTION("""COMPUTED_VALUE"""),265.0)</f>
        <v>265</v>
      </c>
      <c r="E8" s="2">
        <f>IFERROR(__xludf.DUMMYFUNCTION("""COMPUTED_VALUE"""),836.0)</f>
        <v>836</v>
      </c>
      <c r="F8" s="6">
        <f>IFERROR(__xludf.DUMMYFUNCTION("""COMPUTED_VALUE"""),1101.0)</f>
        <v>1101</v>
      </c>
      <c r="G8" s="2">
        <f>IFERROR(__xludf.DUMMYFUNCTION("""COMPUTED_VALUE"""),4.8)</f>
        <v>4.8</v>
      </c>
      <c r="H8" s="7">
        <f>IFERROR(__xludf.DUMMYFUNCTION("""COMPUTED_VALUE"""),16.5)</f>
        <v>16.5</v>
      </c>
      <c r="I8" s="2">
        <f>IFERROR(__xludf.DUMMYFUNCTION("""COMPUTED_VALUE"""),10.4)</f>
        <v>10.4</v>
      </c>
      <c r="J8" s="8">
        <f>IFERROR(__xludf.DUMMYFUNCTION("""COMPUTED_VALUE"""),0.0722)</f>
        <v>0.0722</v>
      </c>
    </row>
    <row r="9" ht="15.75" customHeight="1">
      <c r="C9" s="2" t="str">
        <f>IFERROR(__xludf.DUMMYFUNCTION("""COMPUTED_VALUE"""),"Estados Unidos [+]")</f>
        <v>Estados Unidos [+]</v>
      </c>
      <c r="D9" s="6">
        <f>IFERROR(__xludf.DUMMYFUNCTION("""COMPUTED_VALUE"""),8074.0)</f>
        <v>8074</v>
      </c>
      <c r="E9" s="6">
        <f>IFERROR(__xludf.DUMMYFUNCTION("""COMPUTED_VALUE"""),30238.0)</f>
        <v>30238</v>
      </c>
      <c r="F9" s="6">
        <f>IFERROR(__xludf.DUMMYFUNCTION("""COMPUTED_VALUE"""),38312.0)</f>
        <v>38312</v>
      </c>
      <c r="G9" s="2">
        <f>IFERROR(__xludf.DUMMYFUNCTION("""COMPUTED_VALUE"""),5.1)</f>
        <v>5.1</v>
      </c>
      <c r="H9" s="7">
        <f>IFERROR(__xludf.DUMMYFUNCTION("""COMPUTED_VALUE"""),19.9)</f>
        <v>19.9</v>
      </c>
      <c r="I9" s="2">
        <f>IFERROR(__xludf.DUMMYFUNCTION("""COMPUTED_VALUE"""),12.4)</f>
        <v>12.4</v>
      </c>
      <c r="J9" s="8">
        <f>IFERROR(__xludf.DUMMYFUNCTION("""COMPUTED_VALUE"""),0.0333)</f>
        <v>0.0333</v>
      </c>
    </row>
    <row r="10" ht="15.75" customHeight="1">
      <c r="C10" s="2" t="str">
        <f>IFERROR(__xludf.DUMMYFUNCTION("""COMPUTED_VALUE"""),"Japón [+]")</f>
        <v>Japón [+]</v>
      </c>
      <c r="D10" s="6">
        <f>IFERROR(__xludf.DUMMYFUNCTION("""COMPUTED_VALUE"""),8526.0)</f>
        <v>8526</v>
      </c>
      <c r="E10" s="6">
        <f>IFERROR(__xludf.DUMMYFUNCTION("""COMPUTED_VALUE"""),21028.0)</f>
        <v>21028</v>
      </c>
      <c r="F10" s="6">
        <f>IFERROR(__xludf.DUMMYFUNCTION("""COMPUTED_VALUE"""),29554.0)</f>
        <v>29554</v>
      </c>
      <c r="G10" s="2">
        <f>IFERROR(__xludf.DUMMYFUNCTION("""COMPUTED_VALUE"""),13.0)</f>
        <v>13</v>
      </c>
      <c r="H10" s="7">
        <f>IFERROR(__xludf.DUMMYFUNCTION("""COMPUTED_VALUE"""),33.7)</f>
        <v>33.7</v>
      </c>
      <c r="I10" s="2">
        <f>IFERROR(__xludf.DUMMYFUNCTION("""COMPUTED_VALUE"""),23.1)</f>
        <v>23.1</v>
      </c>
      <c r="J10" s="8">
        <f>IFERROR(__xludf.DUMMYFUNCTION("""COMPUTED_VALUE"""),-0.0375)</f>
        <v>-0.0375</v>
      </c>
    </row>
    <row r="11" ht="15.75" customHeight="1">
      <c r="C11" s="2" t="str">
        <f>IFERROR(__xludf.DUMMYFUNCTION("""COMPUTED_VALUE"""),"China [+]")</f>
        <v>China [+]</v>
      </c>
      <c r="D11" s="6">
        <f>IFERROR(__xludf.DUMMYFUNCTION("""COMPUTED_VALUE"""),73554.0)</f>
        <v>73554</v>
      </c>
      <c r="E11" s="6">
        <f>IFERROR(__xludf.DUMMYFUNCTION("""COMPUTED_VALUE"""),58101.0)</f>
        <v>58101</v>
      </c>
      <c r="F11" s="6">
        <f>IFERROR(__xludf.DUMMYFUNCTION("""COMPUTED_VALUE"""),131655.0)</f>
        <v>131655</v>
      </c>
      <c r="G11" s="2">
        <f>IFERROR(__xludf.DUMMYFUNCTION("""COMPUTED_VALUE"""),11.26)</f>
        <v>11.26</v>
      </c>
      <c r="H11" s="7">
        <f>IFERROR(__xludf.DUMMYFUNCTION("""COMPUTED_VALUE"""),8.45)</f>
        <v>8.45</v>
      </c>
      <c r="I11" s="2">
        <f>IFERROR(__xludf.DUMMYFUNCTION("""COMPUTED_VALUE"""),9.82)</f>
        <v>9.82</v>
      </c>
      <c r="J11" s="8">
        <f>IFERROR(__xludf.DUMMYFUNCTION("""COMPUTED_VALUE"""),-0.0121)</f>
        <v>-0.0121</v>
      </c>
    </row>
    <row r="12" ht="15.75" customHeight="1">
      <c r="C12" s="2" t="str">
        <f>IFERROR(__xludf.DUMMYFUNCTION("""COMPUTED_VALUE"""),"Emiratos Árabes Unidos [+]")</f>
        <v>Emiratos Árabes Unidos [+]</v>
      </c>
      <c r="D12" s="2">
        <f>IFERROR(__xludf.DUMMYFUNCTION("""COMPUTED_VALUE"""),20.0)</f>
        <v>20</v>
      </c>
      <c r="E12" s="2">
        <f>IFERROR(__xludf.DUMMYFUNCTION("""COMPUTED_VALUE"""),269.0)</f>
        <v>269</v>
      </c>
      <c r="F12" s="6">
        <f>IFERROR(__xludf.DUMMYFUNCTION("""COMPUTED_VALUE"""),289.0)</f>
        <v>289</v>
      </c>
      <c r="G12" s="2">
        <f>IFERROR(__xludf.DUMMYFUNCTION("""COMPUTED_VALUE"""),0.94)</f>
        <v>0.94</v>
      </c>
      <c r="H12" s="7">
        <f>IFERROR(__xludf.DUMMYFUNCTION("""COMPUTED_VALUE"""),4.2)</f>
        <v>4.2</v>
      </c>
      <c r="I12" s="2">
        <f>IFERROR(__xludf.DUMMYFUNCTION("""COMPUTED_VALUE"""),3.5)</f>
        <v>3.5</v>
      </c>
      <c r="J12" s="8">
        <f>IFERROR(__xludf.DUMMYFUNCTION("""COMPUTED_VALUE"""),0.0542)</f>
        <v>0.0542</v>
      </c>
    </row>
    <row r="13" ht="15.75" customHeight="1">
      <c r="C13" s="2" t="str">
        <f>IFERROR(__xludf.DUMMYFUNCTION("""COMPUTED_VALUE"""),"Afganistán [+]")</f>
        <v>Afganistán [+]</v>
      </c>
      <c r="D13" s="2">
        <f>IFERROR(__xludf.DUMMYFUNCTION("""COMPUTED_VALUE"""),293.0)</f>
        <v>293</v>
      </c>
      <c r="E13" s="6">
        <f>IFERROR(__xludf.DUMMYFUNCTION("""COMPUTED_VALUE"""),1147.0)</f>
        <v>1147</v>
      </c>
      <c r="F13" s="6">
        <f>IFERROR(__xludf.DUMMYFUNCTION("""COMPUTED_VALUE"""),1440.0)</f>
        <v>1440</v>
      </c>
      <c r="G13" s="2">
        <f>IFERROR(__xludf.DUMMYFUNCTION("""COMPUTED_VALUE"""),2.06)</f>
        <v>2.06</v>
      </c>
      <c r="H13" s="7">
        <f>IFERROR(__xludf.DUMMYFUNCTION("""COMPUTED_VALUE"""),7.68)</f>
        <v>7.68</v>
      </c>
      <c r="I13" s="2">
        <f>IFERROR(__xludf.DUMMYFUNCTION("""COMPUTED_VALUE"""),5.93)</f>
        <v>5.93</v>
      </c>
      <c r="J13" s="8">
        <f>IFERROR(__xludf.DUMMYFUNCTION("""COMPUTED_VALUE"""),-0.0084)</f>
        <v>-0.0084</v>
      </c>
    </row>
    <row r="14" ht="15.75" customHeight="1">
      <c r="C14" s="2" t="str">
        <f>IFERROR(__xludf.DUMMYFUNCTION("""COMPUTED_VALUE"""),"Antigua y Barbuda [+]")</f>
        <v>Antigua y Barbuda [+]</v>
      </c>
      <c r="D14" s="5">
        <f>IFERROR(__xludf.DUMMYFUNCTION("""COMPUTED_VALUE"""),0.0)</f>
        <v>0</v>
      </c>
      <c r="E14" s="2">
        <f>IFERROR(__xludf.DUMMYFUNCTION("""COMPUTED_VALUE"""),0.0)</f>
        <v>0</v>
      </c>
      <c r="F14" s="6">
        <f>IFERROR(__xludf.DUMMYFUNCTION("""COMPUTED_VALUE"""),0.0)</f>
        <v>0</v>
      </c>
      <c r="G14" s="2">
        <f>IFERROR(__xludf.DUMMYFUNCTION("""COMPUTED_VALUE"""),0.0)</f>
        <v>0</v>
      </c>
      <c r="H14" s="7">
        <f>IFERROR(__xludf.DUMMYFUNCTION("""COMPUTED_VALUE"""),0.47)</f>
        <v>0.47</v>
      </c>
      <c r="I14" s="2">
        <f>IFERROR(__xludf.DUMMYFUNCTION("""COMPUTED_VALUE"""),0.23)</f>
        <v>0.23</v>
      </c>
      <c r="J14" s="8">
        <f>IFERROR(__xludf.DUMMYFUNCTION("""COMPUTED_VALUE"""),3.6)</f>
        <v>3.6</v>
      </c>
    </row>
    <row r="15" ht="15.75" customHeight="1">
      <c r="C15" s="2" t="str">
        <f>IFERROR(__xludf.DUMMYFUNCTION("""COMPUTED_VALUE"""),"Albania [+]")</f>
        <v>Albania [+]</v>
      </c>
      <c r="D15" s="2">
        <f>IFERROR(__xludf.DUMMYFUNCTION("""COMPUTED_VALUE"""),35.0)</f>
        <v>35</v>
      </c>
      <c r="E15" s="2">
        <f>IFERROR(__xludf.DUMMYFUNCTION("""COMPUTED_VALUE"""),61.0)</f>
        <v>61</v>
      </c>
      <c r="F15" s="2">
        <f>IFERROR(__xludf.DUMMYFUNCTION("""COMPUTED_VALUE"""),96.0)</f>
        <v>96</v>
      </c>
      <c r="G15" s="2">
        <f>IFERROR(__xludf.DUMMYFUNCTION("""COMPUTED_VALUE"""),2.41)</f>
        <v>2.41</v>
      </c>
      <c r="H15" s="7">
        <f>IFERROR(__xludf.DUMMYFUNCTION("""COMPUTED_VALUE"""),4.19)</f>
        <v>4.19</v>
      </c>
      <c r="I15" s="2">
        <f>IFERROR(__xludf.DUMMYFUNCTION("""COMPUTED_VALUE"""),3.3)</f>
        <v>3.3</v>
      </c>
      <c r="J15" s="8">
        <f>IFERROR(__xludf.DUMMYFUNCTION("""COMPUTED_VALUE"""),-0.2979)</f>
        <v>-0.2979</v>
      </c>
    </row>
    <row r="16" ht="15.75" customHeight="1">
      <c r="C16" s="2" t="str">
        <f>IFERROR(__xludf.DUMMYFUNCTION("""COMPUTED_VALUE"""),"Armenia [+]")</f>
        <v>Armenia [+]</v>
      </c>
      <c r="D16" s="5">
        <f>IFERROR(__xludf.DUMMYFUNCTION("""COMPUTED_VALUE"""),32.0)</f>
        <v>32</v>
      </c>
      <c r="E16" s="2">
        <f>IFERROR(__xludf.DUMMYFUNCTION("""COMPUTED_VALUE"""),124.0)</f>
        <v>124</v>
      </c>
      <c r="F16" s="6">
        <f>IFERROR(__xludf.DUMMYFUNCTION("""COMPUTED_VALUE"""),155.0)</f>
        <v>155</v>
      </c>
      <c r="G16" s="2">
        <f>IFERROR(__xludf.DUMMYFUNCTION("""COMPUTED_VALUE"""),1.9)</f>
        <v>1.9</v>
      </c>
      <c r="H16" s="7">
        <f>IFERROR(__xludf.DUMMYFUNCTION("""COMPUTED_VALUE"""),7.8)</f>
        <v>7.8</v>
      </c>
      <c r="I16" s="2">
        <f>IFERROR(__xludf.DUMMYFUNCTION("""COMPUTED_VALUE"""),4.77)</f>
        <v>4.77</v>
      </c>
      <c r="J16" s="8">
        <f>IFERROR(__xludf.DUMMYFUNCTION("""COMPUTED_VALUE"""),0.0106)</f>
        <v>0.0106</v>
      </c>
    </row>
    <row r="17" ht="15.75" customHeight="1">
      <c r="C17" s="2" t="str">
        <f>IFERROR(__xludf.DUMMYFUNCTION("""COMPUTED_VALUE"""),"Angola [+]")</f>
        <v>Angola [+]</v>
      </c>
      <c r="D17" s="6">
        <f>IFERROR(__xludf.DUMMYFUNCTION("""COMPUTED_VALUE"""),1227.0)</f>
        <v>1227</v>
      </c>
      <c r="E17" s="6">
        <f>IFERROR(__xludf.DUMMYFUNCTION("""COMPUTED_VALUE"""),3155.0)</f>
        <v>3155</v>
      </c>
      <c r="F17" s="6">
        <f>IFERROR(__xludf.DUMMYFUNCTION("""COMPUTED_VALUE"""),4381.0)</f>
        <v>4381</v>
      </c>
      <c r="G17" s="2">
        <f>IFERROR(__xludf.DUMMYFUNCTION("""COMPUTED_VALUE"""),10.39)</f>
        <v>10.39</v>
      </c>
      <c r="H17" s="7">
        <f>IFERROR(__xludf.DUMMYFUNCTION("""COMPUTED_VALUE"""),27.32)</f>
        <v>27.32</v>
      </c>
      <c r="I17" s="2">
        <f>IFERROR(__xludf.DUMMYFUNCTION("""COMPUTED_VALUE"""),19.04)</f>
        <v>19.04</v>
      </c>
      <c r="J17" s="8">
        <f>IFERROR(__xludf.DUMMYFUNCTION("""COMPUTED_VALUE"""),0.0069)</f>
        <v>0.0069</v>
      </c>
    </row>
    <row r="18" ht="15.75" customHeight="1">
      <c r="C18" s="2" t="str">
        <f>IFERROR(__xludf.DUMMYFUNCTION("""COMPUTED_VALUE"""),"Argentina [+]")</f>
        <v>Argentina [+]</v>
      </c>
      <c r="D18" s="5">
        <f>IFERROR(__xludf.DUMMYFUNCTION("""COMPUTED_VALUE"""),567.0)</f>
        <v>567</v>
      </c>
      <c r="E18" s="6">
        <f>IFERROR(__xludf.DUMMYFUNCTION("""COMPUTED_VALUE"""),2391.0)</f>
        <v>2391</v>
      </c>
      <c r="F18" s="6">
        <f>IFERROR(__xludf.DUMMYFUNCTION("""COMPUTED_VALUE"""),2958.0)</f>
        <v>2958</v>
      </c>
      <c r="G18" s="2">
        <f>IFERROR(__xludf.DUMMYFUNCTION("""COMPUTED_VALUE"""),2.7)</f>
        <v>2.7</v>
      </c>
      <c r="H18" s="7">
        <f>IFERROR(__xludf.DUMMYFUNCTION("""COMPUTED_VALUE"""),12.0)</f>
        <v>12</v>
      </c>
      <c r="I18" s="2">
        <f>IFERROR(__xludf.DUMMYFUNCTION("""COMPUTED_VALUE"""),7.3)</f>
        <v>7.3</v>
      </c>
      <c r="J18" s="8">
        <f>IFERROR(__xludf.DUMMYFUNCTION("""COMPUTED_VALUE"""),0.0139)</f>
        <v>0.0139</v>
      </c>
    </row>
    <row r="19" ht="15.75" customHeight="1">
      <c r="C19" s="2" t="str">
        <f>IFERROR(__xludf.DUMMYFUNCTION("""COMPUTED_VALUE"""),"Austria [+]")</f>
        <v>Austria [+]</v>
      </c>
      <c r="D19" s="2">
        <f>IFERROR(__xludf.DUMMYFUNCTION("""COMPUTED_VALUE"""),294.0)</f>
        <v>294</v>
      </c>
      <c r="E19" s="2">
        <f>IFERROR(__xludf.DUMMYFUNCTION("""COMPUTED_VALUE"""),970.0)</f>
        <v>970</v>
      </c>
      <c r="F19" s="6">
        <f>IFERROR(__xludf.DUMMYFUNCTION("""COMPUTED_VALUE"""),1264.0)</f>
        <v>1264</v>
      </c>
      <c r="G19" s="2">
        <f>IFERROR(__xludf.DUMMYFUNCTION("""COMPUTED_VALUE"""),6.8)</f>
        <v>6.8</v>
      </c>
      <c r="H19" s="7">
        <f>IFERROR(__xludf.DUMMYFUNCTION("""COMPUTED_VALUE"""),23.7)</f>
        <v>23.7</v>
      </c>
      <c r="I19" s="2">
        <f>IFERROR(__xludf.DUMMYFUNCTION("""COMPUTED_VALUE"""),15.1)</f>
        <v>15.1</v>
      </c>
      <c r="J19" s="8">
        <f>IFERROR(__xludf.DUMMYFUNCTION("""COMPUTED_VALUE"""),-0.0131)</f>
        <v>-0.0131</v>
      </c>
    </row>
    <row r="20" ht="15.75" customHeight="1">
      <c r="C20" s="2" t="str">
        <f>IFERROR(__xludf.DUMMYFUNCTION("""COMPUTED_VALUE"""),"Australia [+]")</f>
        <v>Australia [+]</v>
      </c>
      <c r="D20" s="5">
        <f>IFERROR(__xludf.DUMMYFUNCTION("""COMPUTED_VALUE"""),553.0)</f>
        <v>553</v>
      </c>
      <c r="E20" s="6">
        <f>IFERROR(__xludf.DUMMYFUNCTION("""COMPUTED_VALUE"""),1865.0)</f>
        <v>1865</v>
      </c>
      <c r="F20" s="6">
        <f>IFERROR(__xludf.DUMMYFUNCTION("""COMPUTED_VALUE"""),2418.0)</f>
        <v>2418</v>
      </c>
      <c r="G20" s="2">
        <f>IFERROR(__xludf.DUMMYFUNCTION("""COMPUTED_VALUE"""),5.0)</f>
        <v>5</v>
      </c>
      <c r="H20" s="7">
        <f>IFERROR(__xludf.DUMMYFUNCTION("""COMPUTED_VALUE"""),17.0)</f>
        <v>17</v>
      </c>
      <c r="I20" s="2">
        <f>IFERROR(__xludf.DUMMYFUNCTION("""COMPUTED_VALUE"""),11.0)</f>
        <v>11</v>
      </c>
      <c r="J20" s="8">
        <f>IFERROR(__xludf.DUMMYFUNCTION("""COMPUTED_VALUE"""),0.0185)</f>
        <v>0.0185</v>
      </c>
    </row>
    <row r="21" ht="15.75" customHeight="1">
      <c r="C21" s="2" t="str">
        <f>IFERROR(__xludf.DUMMYFUNCTION("""COMPUTED_VALUE"""),"Azerbaiyán [+]")</f>
        <v>Azerbaiyán [+]</v>
      </c>
      <c r="D21" s="2">
        <f>IFERROR(__xludf.DUMMYFUNCTION("""COMPUTED_VALUE"""),61.0)</f>
        <v>61</v>
      </c>
      <c r="E21" s="2">
        <f>IFERROR(__xludf.DUMMYFUNCTION("""COMPUTED_VALUE"""),263.0)</f>
        <v>263</v>
      </c>
      <c r="F21" s="2">
        <f>IFERROR(__xludf.DUMMYFUNCTION("""COMPUTED_VALUE"""),323.0)</f>
        <v>323</v>
      </c>
      <c r="G21" s="2">
        <f>IFERROR(__xludf.DUMMYFUNCTION("""COMPUTED_VALUE"""),1.32)</f>
        <v>1.32</v>
      </c>
      <c r="H21" s="7">
        <f>IFERROR(__xludf.DUMMYFUNCTION("""COMPUTED_VALUE"""),5.81)</f>
        <v>5.81</v>
      </c>
      <c r="I21" s="2">
        <f>IFERROR(__xludf.DUMMYFUNCTION("""COMPUTED_VALUE"""),3.55)</f>
        <v>3.55</v>
      </c>
      <c r="J21" s="8">
        <f>IFERROR(__xludf.DUMMYFUNCTION("""COMPUTED_VALUE"""),0.0143)</f>
        <v>0.0143</v>
      </c>
    </row>
    <row r="22" ht="15.75" customHeight="1">
      <c r="C22" s="2" t="str">
        <f>IFERROR(__xludf.DUMMYFUNCTION("""COMPUTED_VALUE"""),"Bosnia y Herzegovina [+]")</f>
        <v>Bosnia y Herzegovina [+]</v>
      </c>
      <c r="D22" s="2">
        <f>IFERROR(__xludf.DUMMYFUNCTION("""COMPUTED_VALUE"""),52.0)</f>
        <v>52</v>
      </c>
      <c r="E22" s="2">
        <f>IFERROR(__xludf.DUMMYFUNCTION("""COMPUTED_VALUE"""),178.0)</f>
        <v>178</v>
      </c>
      <c r="F22" s="2">
        <f>IFERROR(__xludf.DUMMYFUNCTION("""COMPUTED_VALUE"""),230.0)</f>
        <v>230</v>
      </c>
      <c r="G22" s="2">
        <f>IFERROR(__xludf.DUMMYFUNCTION("""COMPUTED_VALUE"""),2.64)</f>
        <v>2.64</v>
      </c>
      <c r="H22" s="7">
        <f>IFERROR(__xludf.DUMMYFUNCTION("""COMPUTED_VALUE"""),9.5)</f>
        <v>9.5</v>
      </c>
      <c r="I22" s="2">
        <f>IFERROR(__xludf.DUMMYFUNCTION("""COMPUTED_VALUE"""),5.99)</f>
        <v>5.99</v>
      </c>
      <c r="J22" s="8">
        <f>IFERROR(__xludf.DUMMYFUNCTION("""COMPUTED_VALUE"""),-0.0492)</f>
        <v>-0.0492</v>
      </c>
    </row>
    <row r="23" ht="15.75" customHeight="1">
      <c r="C23" s="2" t="str">
        <f>IFERROR(__xludf.DUMMYFUNCTION("""COMPUTED_VALUE"""),"Barbados [+]")</f>
        <v>Barbados [+]</v>
      </c>
      <c r="D23" s="2">
        <f>IFERROR(__xludf.DUMMYFUNCTION("""COMPUTED_VALUE"""),1.0)</f>
        <v>1</v>
      </c>
      <c r="E23" s="2">
        <f>IFERROR(__xludf.DUMMYFUNCTION("""COMPUTED_VALUE"""),4.0)</f>
        <v>4</v>
      </c>
      <c r="F23" s="2">
        <f>IFERROR(__xludf.DUMMYFUNCTION("""COMPUTED_VALUE"""),5.0)</f>
        <v>5</v>
      </c>
      <c r="G23" s="2">
        <f>IFERROR(__xludf.DUMMYFUNCTION("""COMPUTED_VALUE"""),0.63)</f>
        <v>0.63</v>
      </c>
      <c r="H23" s="7">
        <f>IFERROR(__xludf.DUMMYFUNCTION("""COMPUTED_VALUE"""),2.77)</f>
        <v>2.77</v>
      </c>
      <c r="I23" s="2">
        <f>IFERROR(__xludf.DUMMYFUNCTION("""COMPUTED_VALUE"""),1.67)</f>
        <v>1.67</v>
      </c>
      <c r="J23" s="8">
        <f>IFERROR(__xludf.DUMMYFUNCTION("""COMPUTED_VALUE"""),0.1208)</f>
        <v>0.1208</v>
      </c>
    </row>
    <row r="24" ht="15.75" customHeight="1">
      <c r="C24" s="2" t="str">
        <f>IFERROR(__xludf.DUMMYFUNCTION("""COMPUTED_VALUE"""),"Bangladés [+]")</f>
        <v>Bangladés [+]</v>
      </c>
      <c r="D24" s="6">
        <f>IFERROR(__xludf.DUMMYFUNCTION("""COMPUTED_VALUE"""),6162.0)</f>
        <v>6162</v>
      </c>
      <c r="E24" s="6">
        <f>IFERROR(__xludf.DUMMYFUNCTION("""COMPUTED_VALUE"""),3340.0)</f>
        <v>3340</v>
      </c>
      <c r="F24" s="6">
        <f>IFERROR(__xludf.DUMMYFUNCTION("""COMPUTED_VALUE"""),9502.0)</f>
        <v>9502</v>
      </c>
      <c r="G24" s="2">
        <f>IFERROR(__xludf.DUMMYFUNCTION("""COMPUTED_VALUE"""),8.49)</f>
        <v>8.49</v>
      </c>
      <c r="H24" s="7">
        <f>IFERROR(__xludf.DUMMYFUNCTION("""COMPUTED_VALUE"""),4.45)</f>
        <v>4.45</v>
      </c>
      <c r="I24" s="2">
        <f>IFERROR(__xludf.DUMMYFUNCTION("""COMPUTED_VALUE"""),6.44)</f>
        <v>6.44</v>
      </c>
      <c r="J24" s="8">
        <f>IFERROR(__xludf.DUMMYFUNCTION("""COMPUTED_VALUE"""),-0.0213)</f>
        <v>-0.0213</v>
      </c>
    </row>
    <row r="25" ht="15.75" customHeight="1">
      <c r="C25" s="2" t="str">
        <f>IFERROR(__xludf.DUMMYFUNCTION("""COMPUTED_VALUE"""),"Bélgica [+]")</f>
        <v>Bélgica [+]</v>
      </c>
      <c r="D25" s="2">
        <f>IFERROR(__xludf.DUMMYFUNCTION("""COMPUTED_VALUE"""),563.0)</f>
        <v>563</v>
      </c>
      <c r="E25" s="6">
        <f>IFERROR(__xludf.DUMMYFUNCTION("""COMPUTED_VALUE"""),1450.0)</f>
        <v>1450</v>
      </c>
      <c r="F25" s="6">
        <f>IFERROR(__xludf.DUMMYFUNCTION("""COMPUTED_VALUE"""),2013.0)</f>
        <v>2013</v>
      </c>
      <c r="G25" s="2">
        <f>IFERROR(__xludf.DUMMYFUNCTION("""COMPUTED_VALUE"""),10.1)</f>
        <v>10.1</v>
      </c>
      <c r="H25" s="7">
        <f>IFERROR(__xludf.DUMMYFUNCTION("""COMPUTED_VALUE"""),27.1)</f>
        <v>27.1</v>
      </c>
      <c r="I25" s="2">
        <f>IFERROR(__xludf.DUMMYFUNCTION("""COMPUTED_VALUE"""),18.4)</f>
        <v>18.4</v>
      </c>
      <c r="J25" s="8">
        <f>IFERROR(__xludf.DUMMYFUNCTION("""COMPUTED_VALUE"""),-0.0108)</f>
        <v>-0.0108</v>
      </c>
    </row>
    <row r="26" ht="15.75" customHeight="1">
      <c r="C26" s="2" t="str">
        <f>IFERROR(__xludf.DUMMYFUNCTION("""COMPUTED_VALUE"""),"Burkina Faso [+]")</f>
        <v>Burkina Faso [+]</v>
      </c>
      <c r="D26" s="2">
        <f>IFERROR(__xludf.DUMMYFUNCTION("""COMPUTED_VALUE"""),457.0)</f>
        <v>457</v>
      </c>
      <c r="E26" s="2">
        <f>IFERROR(__xludf.DUMMYFUNCTION("""COMPUTED_VALUE"""),943.0)</f>
        <v>943</v>
      </c>
      <c r="F26" s="6">
        <f>IFERROR(__xludf.DUMMYFUNCTION("""COMPUTED_VALUE"""),1400.0)</f>
        <v>1400</v>
      </c>
      <c r="G26" s="2">
        <f>IFERROR(__xludf.DUMMYFUNCTION("""COMPUTED_VALUE"""),5.81)</f>
        <v>5.81</v>
      </c>
      <c r="H26" s="7">
        <f>IFERROR(__xludf.DUMMYFUNCTION("""COMPUTED_VALUE"""),12.18)</f>
        <v>12.18</v>
      </c>
      <c r="I26" s="2">
        <f>IFERROR(__xludf.DUMMYFUNCTION("""COMPUTED_VALUE"""),8.97)</f>
        <v>8.97</v>
      </c>
      <c r="J26" s="8">
        <f>IFERROR(__xludf.DUMMYFUNCTION("""COMPUTED_VALUE"""),0.043)</f>
        <v>0.043</v>
      </c>
    </row>
    <row r="27" ht="15.75" customHeight="1">
      <c r="C27" s="2" t="str">
        <f>IFERROR(__xludf.DUMMYFUNCTION("""COMPUTED_VALUE"""),"Bulgaria [+]")</f>
        <v>Bulgaria [+]</v>
      </c>
      <c r="D27" s="2">
        <f>IFERROR(__xludf.DUMMYFUNCTION("""COMPUTED_VALUE"""),210.0)</f>
        <v>210</v>
      </c>
      <c r="E27" s="2">
        <f>IFERROR(__xludf.DUMMYFUNCTION("""COMPUTED_VALUE"""),649.0)</f>
        <v>649</v>
      </c>
      <c r="F27" s="2">
        <f>IFERROR(__xludf.DUMMYFUNCTION("""COMPUTED_VALUE"""),859.0)</f>
        <v>859</v>
      </c>
      <c r="G27" s="2">
        <f>IFERROR(__xludf.DUMMYFUNCTION("""COMPUTED_VALUE"""),5.5)</f>
        <v>5.5</v>
      </c>
      <c r="H27" s="7">
        <f>IFERROR(__xludf.DUMMYFUNCTION("""COMPUTED_VALUE"""),18.0)</f>
        <v>18</v>
      </c>
      <c r="I27" s="2">
        <f>IFERROR(__xludf.DUMMYFUNCTION("""COMPUTED_VALUE"""),11.6)</f>
        <v>11.6</v>
      </c>
      <c r="J27" s="8">
        <f>IFERROR(__xludf.DUMMYFUNCTION("""COMPUTED_VALUE"""),-0.0085)</f>
        <v>-0.0085</v>
      </c>
    </row>
    <row r="28" ht="15.75" customHeight="1">
      <c r="C28" s="2" t="str">
        <f>IFERROR(__xludf.DUMMYFUNCTION("""COMPUTED_VALUE"""),"Baréin [+]")</f>
        <v>Baréin [+]</v>
      </c>
      <c r="D28" s="2">
        <f>IFERROR(__xludf.DUMMYFUNCTION("""COMPUTED_VALUE"""),12.0)</f>
        <v>12</v>
      </c>
      <c r="E28" s="2">
        <f>IFERROR(__xludf.DUMMYFUNCTION("""COMPUTED_VALUE"""),74.0)</f>
        <v>74</v>
      </c>
      <c r="F28" s="2">
        <f>IFERROR(__xludf.DUMMYFUNCTION("""COMPUTED_VALUE"""),87.0)</f>
        <v>87</v>
      </c>
      <c r="G28" s="2">
        <f>IFERROR(__xludf.DUMMYFUNCTION("""COMPUTED_VALUE"""),2.67)</f>
        <v>2.67</v>
      </c>
      <c r="H28" s="7">
        <f>IFERROR(__xludf.DUMMYFUNCTION("""COMPUTED_VALUE"""),9.59)</f>
        <v>9.59</v>
      </c>
      <c r="I28" s="2">
        <f>IFERROR(__xludf.DUMMYFUNCTION("""COMPUTED_VALUE"""),7.02)</f>
        <v>7.02</v>
      </c>
      <c r="J28" s="8">
        <f>IFERROR(__xludf.DUMMYFUNCTION("""COMPUTED_VALUE"""),0.0189)</f>
        <v>0.0189</v>
      </c>
    </row>
    <row r="29" ht="15.75" customHeight="1">
      <c r="C29" s="2" t="str">
        <f>IFERROR(__xludf.DUMMYFUNCTION("""COMPUTED_VALUE"""),"Burundi [+]")</f>
        <v>Burundi [+]</v>
      </c>
      <c r="D29" s="2">
        <f>IFERROR(__xludf.DUMMYFUNCTION("""COMPUTED_VALUE"""),211.0)</f>
        <v>211</v>
      </c>
      <c r="E29" s="2">
        <f>IFERROR(__xludf.DUMMYFUNCTION("""COMPUTED_VALUE"""),613.0)</f>
        <v>613</v>
      </c>
      <c r="F29" s="2">
        <f>IFERROR(__xludf.DUMMYFUNCTION("""COMPUTED_VALUE"""),824.0)</f>
        <v>824</v>
      </c>
      <c r="G29" s="2">
        <f>IFERROR(__xludf.DUMMYFUNCTION("""COMPUTED_VALUE"""),4.82)</f>
        <v>4.82</v>
      </c>
      <c r="H29" s="7">
        <f>IFERROR(__xludf.DUMMYFUNCTION("""COMPUTED_VALUE"""),14.3)</f>
        <v>14.3</v>
      </c>
      <c r="I29" s="2">
        <f>IFERROR(__xludf.DUMMYFUNCTION("""COMPUTED_VALUE"""),9.39)</f>
        <v>9.39</v>
      </c>
      <c r="J29" s="8">
        <f>IFERROR(__xludf.DUMMYFUNCTION("""COMPUTED_VALUE"""),-0.0032)</f>
        <v>-0.0032</v>
      </c>
    </row>
    <row r="30" ht="15.75" customHeight="1">
      <c r="C30" s="2" t="str">
        <f>IFERROR(__xludf.DUMMYFUNCTION("""COMPUTED_VALUE"""),"Benin [+]")</f>
        <v>Benin [+]</v>
      </c>
      <c r="D30" s="5">
        <f>IFERROR(__xludf.DUMMYFUNCTION("""COMPUTED_VALUE"""),250.0)</f>
        <v>250</v>
      </c>
      <c r="E30" s="2">
        <f>IFERROR(__xludf.DUMMYFUNCTION("""COMPUTED_VALUE"""),605.0)</f>
        <v>605</v>
      </c>
      <c r="F30" s="6">
        <f>IFERROR(__xludf.DUMMYFUNCTION("""COMPUTED_VALUE"""),855.0)</f>
        <v>855</v>
      </c>
      <c r="G30" s="2">
        <f>IFERROR(__xludf.DUMMYFUNCTION("""COMPUTED_VALUE"""),5.4)</f>
        <v>5.4</v>
      </c>
      <c r="H30" s="7">
        <f>IFERROR(__xludf.DUMMYFUNCTION("""COMPUTED_VALUE"""),13.25)</f>
        <v>13.25</v>
      </c>
      <c r="I30" s="2">
        <f>IFERROR(__xludf.DUMMYFUNCTION("""COMPUTED_VALUE"""),9.3)</f>
        <v>9.3</v>
      </c>
      <c r="J30" s="8">
        <f>IFERROR(__xludf.DUMMYFUNCTION("""COMPUTED_VALUE"""),0.0022)</f>
        <v>0.0022</v>
      </c>
    </row>
    <row r="31" ht="15.75" customHeight="1">
      <c r="C31" s="2" t="str">
        <f>IFERROR(__xludf.DUMMYFUNCTION("""COMPUTED_VALUE"""),"Brunéi [+]")</f>
        <v>Brunéi [+]</v>
      </c>
      <c r="D31" s="2">
        <f>IFERROR(__xludf.DUMMYFUNCTION("""COMPUTED_VALUE"""),1.0)</f>
        <v>1</v>
      </c>
      <c r="E31" s="2">
        <f>IFERROR(__xludf.DUMMYFUNCTION("""COMPUTED_VALUE"""),2.0)</f>
        <v>2</v>
      </c>
      <c r="F31" s="2">
        <f>IFERROR(__xludf.DUMMYFUNCTION("""COMPUTED_VALUE"""),3.0)</f>
        <v>3</v>
      </c>
      <c r="G31" s="2">
        <f>IFERROR(__xludf.DUMMYFUNCTION("""COMPUTED_VALUE"""),0.36)</f>
        <v>0.36</v>
      </c>
      <c r="H31" s="7">
        <f>IFERROR(__xludf.DUMMYFUNCTION("""COMPUTED_VALUE"""),1.03)</f>
        <v>1.03</v>
      </c>
      <c r="I31" s="2">
        <f>IFERROR(__xludf.DUMMYFUNCTION("""COMPUTED_VALUE"""),0.71)</f>
        <v>0.71</v>
      </c>
      <c r="J31" s="8">
        <f>IFERROR(__xludf.DUMMYFUNCTION("""COMPUTED_VALUE"""),-0.3983)</f>
        <v>-0.3983</v>
      </c>
    </row>
    <row r="32" ht="15.75" customHeight="1">
      <c r="C32" s="2" t="str">
        <f>IFERROR(__xludf.DUMMYFUNCTION("""COMPUTED_VALUE"""),"Bolivia [+]")</f>
        <v>Bolivia [+]</v>
      </c>
      <c r="D32" s="2">
        <f>IFERROR(__xludf.DUMMYFUNCTION("""COMPUTED_VALUE"""),724.0)</f>
        <v>724</v>
      </c>
      <c r="E32" s="5">
        <f>IFERROR(__xludf.DUMMYFUNCTION("""COMPUTED_VALUE"""),1313.0)</f>
        <v>1313</v>
      </c>
      <c r="F32" s="6">
        <f>IFERROR(__xludf.DUMMYFUNCTION("""COMPUTED_VALUE"""),2036.0)</f>
        <v>2036</v>
      </c>
      <c r="G32" s="6">
        <f>IFERROR(__xludf.DUMMYFUNCTION("""COMPUTED_VALUE"""),14.49)</f>
        <v>14.49</v>
      </c>
      <c r="H32" s="7">
        <f>IFERROR(__xludf.DUMMYFUNCTION("""COMPUTED_VALUE"""),25.97)</f>
        <v>25.97</v>
      </c>
      <c r="I32" s="2">
        <f>IFERROR(__xludf.DUMMYFUNCTION("""COMPUTED_VALUE"""),20.3)</f>
        <v>20.3</v>
      </c>
      <c r="J32" s="8">
        <f>IFERROR(__xludf.DUMMYFUNCTION("""COMPUTED_VALUE"""),-0.0282)</f>
        <v>-0.0282</v>
      </c>
    </row>
    <row r="33" ht="15.75" customHeight="1">
      <c r="C33" s="2" t="str">
        <f>IFERROR(__xludf.DUMMYFUNCTION("""COMPUTED_VALUE"""),"Brasil [+]")</f>
        <v>Brasil [+]</v>
      </c>
      <c r="D33" s="6">
        <f>IFERROR(__xludf.DUMMYFUNCTION("""COMPUTED_VALUE"""),2073.0)</f>
        <v>2073</v>
      </c>
      <c r="E33" s="6">
        <f>IFERROR(__xludf.DUMMYFUNCTION("""COMPUTED_VALUE"""),7375.0)</f>
        <v>7375</v>
      </c>
      <c r="F33" s="6">
        <f>IFERROR(__xludf.DUMMYFUNCTION("""COMPUTED_VALUE"""),9448.0)</f>
        <v>9448</v>
      </c>
      <c r="G33" s="2">
        <f>IFERROR(__xludf.DUMMYFUNCTION("""COMPUTED_VALUE"""),2.1)</f>
        <v>2.1</v>
      </c>
      <c r="H33" s="7">
        <f>IFERROR(__xludf.DUMMYFUNCTION("""COMPUTED_VALUE"""),7.7)</f>
        <v>7.7</v>
      </c>
      <c r="I33" s="2">
        <f>IFERROR(__xludf.DUMMYFUNCTION("""COMPUTED_VALUE"""),4.8)</f>
        <v>4.8</v>
      </c>
      <c r="J33" s="8">
        <f>IFERROR(__xludf.DUMMYFUNCTION("""COMPUTED_VALUE"""),-0.0204)</f>
        <v>-0.0204</v>
      </c>
    </row>
    <row r="34" ht="15.75" customHeight="1">
      <c r="C34" s="2" t="str">
        <f>IFERROR(__xludf.DUMMYFUNCTION("""COMPUTED_VALUE"""),"Bahamas [+]")</f>
        <v>Bahamas [+]</v>
      </c>
      <c r="D34" s="2">
        <f>IFERROR(__xludf.DUMMYFUNCTION("""COMPUTED_VALUE"""),2.0)</f>
        <v>2</v>
      </c>
      <c r="E34" s="2">
        <f>IFERROR(__xludf.DUMMYFUNCTION("""COMPUTED_VALUE"""),5.0)</f>
        <v>5</v>
      </c>
      <c r="F34" s="2">
        <f>IFERROR(__xludf.DUMMYFUNCTION("""COMPUTED_VALUE"""),7.0)</f>
        <v>7</v>
      </c>
      <c r="G34" s="2">
        <f>IFERROR(__xludf.DUMMYFUNCTION("""COMPUTED_VALUE"""),1.22)</f>
        <v>1.22</v>
      </c>
      <c r="H34" s="7">
        <f>IFERROR(__xludf.DUMMYFUNCTION("""COMPUTED_VALUE"""),2.69)</f>
        <v>2.69</v>
      </c>
      <c r="I34" s="2">
        <f>IFERROR(__xludf.DUMMYFUNCTION("""COMPUTED_VALUE"""),1.99)</f>
        <v>1.99</v>
      </c>
      <c r="J34" s="8">
        <f>IFERROR(__xludf.DUMMYFUNCTION("""COMPUTED_VALUE"""),0.1307)</f>
        <v>0.1307</v>
      </c>
    </row>
    <row r="35" ht="15.75" customHeight="1">
      <c r="C35" s="2" t="str">
        <f>IFERROR(__xludf.DUMMYFUNCTION("""COMPUTED_VALUE"""),"Bután [+]")</f>
        <v>Bután [+]</v>
      </c>
      <c r="D35" s="2">
        <f>IFERROR(__xludf.DUMMYFUNCTION("""COMPUTED_VALUE"""),31.0)</f>
        <v>31</v>
      </c>
      <c r="E35" s="2">
        <f>IFERROR(__xludf.DUMMYFUNCTION("""COMPUTED_VALUE"""),51.0)</f>
        <v>51</v>
      </c>
      <c r="F35" s="2">
        <f>IFERROR(__xludf.DUMMYFUNCTION("""COMPUTED_VALUE"""),82.0)</f>
        <v>82</v>
      </c>
      <c r="G35" s="2">
        <f>IFERROR(__xludf.DUMMYFUNCTION("""COMPUTED_VALUE"""),9.65)</f>
        <v>9.65</v>
      </c>
      <c r="H35" s="7">
        <f>IFERROR(__xludf.DUMMYFUNCTION("""COMPUTED_VALUE"""),14.16)</f>
        <v>14.16</v>
      </c>
      <c r="I35" s="2">
        <f>IFERROR(__xludf.DUMMYFUNCTION("""COMPUTED_VALUE"""),12.35)</f>
        <v>12.35</v>
      </c>
      <c r="J35" s="8">
        <f>IFERROR(__xludf.DUMMYFUNCTION("""COMPUTED_VALUE"""),-0.0048)</f>
        <v>-0.0048</v>
      </c>
    </row>
    <row r="36" ht="15.75" customHeight="1">
      <c r="C36" s="2" t="str">
        <f>IFERROR(__xludf.DUMMYFUNCTION("""COMPUTED_VALUE"""),"Botsuana [+]")</f>
        <v>Botsuana [+]</v>
      </c>
      <c r="D36" s="5">
        <f>IFERROR(__xludf.DUMMYFUNCTION("""COMPUTED_VALUE"""),52.0)</f>
        <v>52</v>
      </c>
      <c r="E36" s="2">
        <f>IFERROR(__xludf.DUMMYFUNCTION("""COMPUTED_VALUE"""),156.0)</f>
        <v>156</v>
      </c>
      <c r="F36" s="6">
        <f>IFERROR(__xludf.DUMMYFUNCTION("""COMPUTED_VALUE"""),208.0)</f>
        <v>208</v>
      </c>
      <c r="G36" s="2">
        <f>IFERROR(__xludf.DUMMYFUNCTION("""COMPUTED_VALUE"""),5.11)</f>
        <v>5.11</v>
      </c>
      <c r="H36" s="7">
        <f>IFERROR(__xludf.DUMMYFUNCTION("""COMPUTED_VALUE"""),16.06)</f>
        <v>16.06</v>
      </c>
      <c r="I36" s="2">
        <f>IFERROR(__xludf.DUMMYFUNCTION("""COMPUTED_VALUE"""),10.46)</f>
        <v>10.46</v>
      </c>
      <c r="J36" s="8">
        <f>IFERROR(__xludf.DUMMYFUNCTION("""COMPUTED_VALUE"""),-0.0188)</f>
        <v>-0.0188</v>
      </c>
    </row>
    <row r="37" ht="15.75" customHeight="1">
      <c r="C37" s="2" t="str">
        <f>IFERROR(__xludf.DUMMYFUNCTION("""COMPUTED_VALUE"""),"Bielorrusia [+]")</f>
        <v>Bielorrusia [+]</v>
      </c>
      <c r="D37" s="2">
        <f>IFERROR(__xludf.DUMMYFUNCTION("""COMPUTED_VALUE"""),444.0)</f>
        <v>444</v>
      </c>
      <c r="E37" s="6">
        <f>IFERROR(__xludf.DUMMYFUNCTION("""COMPUTED_VALUE"""),2201.0)</f>
        <v>2201</v>
      </c>
      <c r="F37" s="6">
        <f>IFERROR(__xludf.DUMMYFUNCTION("""COMPUTED_VALUE"""),2645.0)</f>
        <v>2645</v>
      </c>
      <c r="G37" s="2">
        <f>IFERROR(__xludf.DUMMYFUNCTION("""COMPUTED_VALUE"""),8.76)</f>
        <v>8.76</v>
      </c>
      <c r="H37" s="7">
        <f>IFERROR(__xludf.DUMMYFUNCTION("""COMPUTED_VALUE"""),49.93)</f>
        <v>49.93</v>
      </c>
      <c r="I37" s="2">
        <f>IFERROR(__xludf.DUMMYFUNCTION("""COMPUTED_VALUE"""),27.9)</f>
        <v>27.9</v>
      </c>
      <c r="J37" s="8">
        <f>IFERROR(__xludf.DUMMYFUNCTION("""COMPUTED_VALUE"""),-0.1055)</f>
        <v>-0.1055</v>
      </c>
    </row>
    <row r="38" ht="15.75" customHeight="1">
      <c r="C38" s="2" t="str">
        <f>IFERROR(__xludf.DUMMYFUNCTION("""COMPUTED_VALUE"""),"Belice [+]")</f>
        <v>Belice [+]</v>
      </c>
      <c r="D38" s="5">
        <f>IFERROR(__xludf.DUMMYFUNCTION("""COMPUTED_VALUE"""),4.0)</f>
        <v>4</v>
      </c>
      <c r="E38" s="2">
        <f>IFERROR(__xludf.DUMMYFUNCTION("""COMPUTED_VALUE"""),15.0)</f>
        <v>15</v>
      </c>
      <c r="F38" s="6">
        <f>IFERROR(__xludf.DUMMYFUNCTION("""COMPUTED_VALUE"""),19.0)</f>
        <v>19</v>
      </c>
      <c r="G38" s="2">
        <f>IFERROR(__xludf.DUMMYFUNCTION("""COMPUTED_VALUE"""),2.75)</f>
        <v>2.75</v>
      </c>
      <c r="H38" s="7">
        <f>IFERROR(__xludf.DUMMYFUNCTION("""COMPUTED_VALUE"""),9.33)</f>
        <v>9.33</v>
      </c>
      <c r="I38" s="2">
        <f>IFERROR(__xludf.DUMMYFUNCTION("""COMPUTED_VALUE"""),6.05)</f>
        <v>6.05</v>
      </c>
      <c r="J38" s="8">
        <f>IFERROR(__xludf.DUMMYFUNCTION("""COMPUTED_VALUE"""),-0.0351)</f>
        <v>-0.0351</v>
      </c>
    </row>
    <row r="39" ht="15.75" customHeight="1">
      <c r="C39" s="2" t="str">
        <f>IFERROR(__xludf.DUMMYFUNCTION("""COMPUTED_VALUE"""),"Canadá [+]")</f>
        <v>Canadá [+]</v>
      </c>
      <c r="D39" s="5">
        <f>IFERROR(__xludf.DUMMYFUNCTION("""COMPUTED_VALUE"""),968.0)</f>
        <v>968</v>
      </c>
      <c r="E39" s="6">
        <f>IFERROR(__xludf.DUMMYFUNCTION("""COMPUTED_VALUE"""),2980.0)</f>
        <v>2980</v>
      </c>
      <c r="F39" s="6">
        <f>IFERROR(__xludf.DUMMYFUNCTION("""COMPUTED_VALUE"""),3948.0)</f>
        <v>3948</v>
      </c>
      <c r="G39" s="2">
        <f>IFERROR(__xludf.DUMMYFUNCTION("""COMPUTED_VALUE"""),5.6)</f>
        <v>5.6</v>
      </c>
      <c r="H39" s="7">
        <f>IFERROR(__xludf.DUMMYFUNCTION("""COMPUTED_VALUE"""),17.7)</f>
        <v>17.7</v>
      </c>
      <c r="I39" s="2">
        <f>IFERROR(__xludf.DUMMYFUNCTION("""COMPUTED_VALUE"""),11.6)</f>
        <v>11.6</v>
      </c>
      <c r="J39" s="4">
        <f>IFERROR(__xludf.DUMMYFUNCTION("""COMPUTED_VALUE"""),0.0)</f>
        <v>0</v>
      </c>
    </row>
    <row r="40" ht="15.75" customHeight="1">
      <c r="C40" s="2" t="str">
        <f>IFERROR(__xludf.DUMMYFUNCTION("""COMPUTED_VALUE"""),"República Democrática del Congo [+]")</f>
        <v>República Democrática del Congo [+]</v>
      </c>
      <c r="D40" s="5">
        <f>IFERROR(__xludf.DUMMYFUNCTION("""COMPUTED_VALUE"""),1893.0)</f>
        <v>1893</v>
      </c>
      <c r="E40" s="6">
        <f>IFERROR(__xludf.DUMMYFUNCTION("""COMPUTED_VALUE"""),4368.0)</f>
        <v>4368</v>
      </c>
      <c r="F40" s="6">
        <f>IFERROR(__xludf.DUMMYFUNCTION("""COMPUTED_VALUE"""),6261.0)</f>
        <v>6261</v>
      </c>
      <c r="G40" s="2">
        <f>IFERROR(__xludf.DUMMYFUNCTION("""COMPUTED_VALUE"""),5.84)</f>
        <v>5.84</v>
      </c>
      <c r="H40" s="7">
        <f>IFERROR(__xludf.DUMMYFUNCTION("""COMPUTED_VALUE"""),13.59)</f>
        <v>13.59</v>
      </c>
      <c r="I40" s="2">
        <f>IFERROR(__xludf.DUMMYFUNCTION("""COMPUTED_VALUE"""),9.49)</f>
        <v>9.49</v>
      </c>
      <c r="J40" s="8">
        <f>IFERROR(__xludf.DUMMYFUNCTION("""COMPUTED_VALUE"""),0.0128)</f>
        <v>0.0128</v>
      </c>
    </row>
    <row r="41" ht="15.75" customHeight="1">
      <c r="C41" s="2" t="str">
        <f>IFERROR(__xludf.DUMMYFUNCTION("""COMPUTED_VALUE"""),"República Centroafricana [+]")</f>
        <v>República Centroafricana [+]</v>
      </c>
      <c r="D41" s="2">
        <f>IFERROR(__xludf.DUMMYFUNCTION("""COMPUTED_VALUE"""),198.0)</f>
        <v>198</v>
      </c>
      <c r="E41" s="2">
        <f>IFERROR(__xludf.DUMMYFUNCTION("""COMPUTED_VALUE"""),610.0)</f>
        <v>610</v>
      </c>
      <c r="F41" s="2">
        <f>IFERROR(__xludf.DUMMYFUNCTION("""COMPUTED_VALUE"""),808.0)</f>
        <v>808</v>
      </c>
      <c r="G41" s="2">
        <f>IFERROR(__xludf.DUMMYFUNCTION("""COMPUTED_VALUE"""),8.93)</f>
        <v>8.93</v>
      </c>
      <c r="H41" s="7">
        <f>IFERROR(__xludf.DUMMYFUNCTION("""COMPUTED_VALUE"""),28.1)</f>
        <v>28.1</v>
      </c>
      <c r="I41" s="2">
        <f>IFERROR(__xludf.DUMMYFUNCTION("""COMPUTED_VALUE"""),18.42)</f>
        <v>18.42</v>
      </c>
      <c r="J41" s="8">
        <f>IFERROR(__xludf.DUMMYFUNCTION("""COMPUTED_VALUE"""),0.0691)</f>
        <v>0.0691</v>
      </c>
    </row>
    <row r="42" ht="15.75" customHeight="1">
      <c r="C42" s="2" t="str">
        <f>IFERROR(__xludf.DUMMYFUNCTION("""COMPUTED_VALUE"""),"República del Congo [+]")</f>
        <v>República del Congo [+]</v>
      </c>
      <c r="D42" s="2">
        <f>IFERROR(__xludf.DUMMYFUNCTION("""COMPUTED_VALUE"""),116.0)</f>
        <v>116</v>
      </c>
      <c r="E42" s="2">
        <f>IFERROR(__xludf.DUMMYFUNCTION("""COMPUTED_VALUE"""),342.0)</f>
        <v>342</v>
      </c>
      <c r="F42" s="2">
        <f>IFERROR(__xludf.DUMMYFUNCTION("""COMPUTED_VALUE"""),458.0)</f>
        <v>458</v>
      </c>
      <c r="G42" s="2">
        <f>IFERROR(__xludf.DUMMYFUNCTION("""COMPUTED_VALUE"""),5.4)</f>
        <v>5.4</v>
      </c>
      <c r="H42" s="7">
        <f>IFERROR(__xludf.DUMMYFUNCTION("""COMPUTED_VALUE"""),16.09)</f>
        <v>16.09</v>
      </c>
      <c r="I42" s="2">
        <f>IFERROR(__xludf.DUMMYFUNCTION("""COMPUTED_VALUE"""),12.53)</f>
        <v>12.53</v>
      </c>
      <c r="J42" s="8">
        <f>IFERROR(__xludf.DUMMYFUNCTION("""COMPUTED_VALUE"""),-0.0586)</f>
        <v>-0.0586</v>
      </c>
    </row>
    <row r="43" ht="15.75" customHeight="1">
      <c r="C43" s="2" t="str">
        <f>IFERROR(__xludf.DUMMYFUNCTION("""COMPUTED_VALUE"""),"Suiza [+]")</f>
        <v>Suiza [+]</v>
      </c>
      <c r="D43" s="5">
        <f>IFERROR(__xludf.DUMMYFUNCTION("""COMPUTED_VALUE"""),282.0)</f>
        <v>282</v>
      </c>
      <c r="E43" s="2">
        <f>IFERROR(__xludf.DUMMYFUNCTION("""COMPUTED_VALUE"""),724.0)</f>
        <v>724</v>
      </c>
      <c r="F43" s="6">
        <f>IFERROR(__xludf.DUMMYFUNCTION("""COMPUTED_VALUE"""),1006.0)</f>
        <v>1006</v>
      </c>
      <c r="G43" s="2">
        <f>IFERROR(__xludf.DUMMYFUNCTION("""COMPUTED_VALUE"""),7.1)</f>
        <v>7.1</v>
      </c>
      <c r="H43" s="7">
        <f>IFERROR(__xludf.DUMMYFUNCTION("""COMPUTED_VALUE"""),18.8)</f>
        <v>18.8</v>
      </c>
      <c r="I43" s="2">
        <f>IFERROR(__xludf.DUMMYFUNCTION("""COMPUTED_VALUE"""),12.9)</f>
        <v>12.9</v>
      </c>
      <c r="J43" s="8">
        <f>IFERROR(__xludf.DUMMYFUNCTION("""COMPUTED_VALUE"""),-0.0979)</f>
        <v>-0.0979</v>
      </c>
    </row>
    <row r="44" ht="15.75" customHeight="1">
      <c r="C44" s="2" t="str">
        <f>IFERROR(__xludf.DUMMYFUNCTION("""COMPUTED_VALUE"""),"Costa de Marfil [+]")</f>
        <v>Costa de Marfil [+]</v>
      </c>
      <c r="D44" s="2">
        <f>IFERROR(__xludf.DUMMYFUNCTION("""COMPUTED_VALUE"""),866.0)</f>
        <v>866</v>
      </c>
      <c r="E44" s="6">
        <f>IFERROR(__xludf.DUMMYFUNCTION("""COMPUTED_VALUE"""),2597.0)</f>
        <v>2597</v>
      </c>
      <c r="F44" s="6">
        <f>IFERROR(__xludf.DUMMYFUNCTION("""COMPUTED_VALUE"""),3463.0)</f>
        <v>3463</v>
      </c>
      <c r="G44" s="2">
        <f>IFERROR(__xludf.DUMMYFUNCTION("""COMPUTED_VALUE"""),8.56)</f>
        <v>8.56</v>
      </c>
      <c r="H44" s="7">
        <f>IFERROR(__xludf.DUMMYFUNCTION("""COMPUTED_VALUE"""),24.91)</f>
        <v>24.91</v>
      </c>
      <c r="I44" s="2">
        <f>IFERROR(__xludf.DUMMYFUNCTION("""COMPUTED_VALUE"""),16.6)</f>
        <v>16.6</v>
      </c>
      <c r="J44" s="8">
        <f>IFERROR(__xludf.DUMMYFUNCTION("""COMPUTED_VALUE"""),-0.0018)</f>
        <v>-0.0018</v>
      </c>
    </row>
    <row r="45" ht="15.75" customHeight="1">
      <c r="C45" s="2" t="str">
        <f>IFERROR(__xludf.DUMMYFUNCTION("""COMPUTED_VALUE"""),"Chile [+]")</f>
        <v>Chile [+]</v>
      </c>
      <c r="D45" s="5">
        <f>IFERROR(__xludf.DUMMYFUNCTION("""COMPUTED_VALUE"""),383.0)</f>
        <v>383</v>
      </c>
      <c r="E45" s="6">
        <f>IFERROR(__xludf.DUMMYFUNCTION("""COMPUTED_VALUE"""),1618.0)</f>
        <v>1618</v>
      </c>
      <c r="F45" s="6">
        <f>IFERROR(__xludf.DUMMYFUNCTION("""COMPUTED_VALUE"""),2001.0)</f>
        <v>2001</v>
      </c>
      <c r="G45" s="2">
        <f>IFERROR(__xludf.DUMMYFUNCTION("""COMPUTED_VALUE"""),4.4)</f>
        <v>4.4</v>
      </c>
      <c r="H45" s="7">
        <f>IFERROR(__xludf.DUMMYFUNCTION("""COMPUTED_VALUE"""),19.3)</f>
        <v>19.3</v>
      </c>
      <c r="I45" s="2">
        <f>IFERROR(__xludf.DUMMYFUNCTION("""COMPUTED_VALUE"""),11.7)</f>
        <v>11.7</v>
      </c>
      <c r="J45" s="8">
        <f>IFERROR(__xludf.DUMMYFUNCTION("""COMPUTED_VALUE"""),-0.0787)</f>
        <v>-0.0787</v>
      </c>
    </row>
    <row r="46" ht="15.75" customHeight="1">
      <c r="C46" s="2" t="str">
        <f>IFERROR(__xludf.DUMMYFUNCTION("""COMPUTED_VALUE"""),"Camerún [+]")</f>
        <v>Camerún [+]</v>
      </c>
      <c r="D46" s="2">
        <f>IFERROR(__xludf.DUMMYFUNCTION("""COMPUTED_VALUE"""),575.0)</f>
        <v>575</v>
      </c>
      <c r="E46" s="6">
        <f>IFERROR(__xludf.DUMMYFUNCTION("""COMPUTED_VALUE"""),1892.0)</f>
        <v>1892</v>
      </c>
      <c r="F46" s="6">
        <f>IFERROR(__xludf.DUMMYFUNCTION("""COMPUTED_VALUE"""),2467.0)</f>
        <v>2467</v>
      </c>
      <c r="G46" s="2">
        <f>IFERROR(__xludf.DUMMYFUNCTION("""COMPUTED_VALUE"""),5.64)</f>
        <v>5.64</v>
      </c>
      <c r="H46" s="7">
        <f>IFERROR(__xludf.DUMMYFUNCTION("""COMPUTED_VALUE"""),18.63)</f>
        <v>18.63</v>
      </c>
      <c r="I46" s="2">
        <f>IFERROR(__xludf.DUMMYFUNCTION("""COMPUTED_VALUE"""),12.13)</f>
        <v>12.13</v>
      </c>
      <c r="J46" s="8">
        <f>IFERROR(__xludf.DUMMYFUNCTION("""COMPUTED_VALUE"""),-0.0016)</f>
        <v>-0.0016</v>
      </c>
    </row>
    <row r="47" ht="15.75" customHeight="1">
      <c r="C47" s="2" t="str">
        <f>IFERROR(__xludf.DUMMYFUNCTION("""COMPUTED_VALUE"""),"Colombia [+]")</f>
        <v>Colombia [+]</v>
      </c>
      <c r="D47" s="2">
        <f>IFERROR(__xludf.DUMMYFUNCTION("""COMPUTED_VALUE"""),398.0)</f>
        <v>398</v>
      </c>
      <c r="E47" s="6">
        <f>IFERROR(__xludf.DUMMYFUNCTION("""COMPUTED_VALUE"""),1720.0)</f>
        <v>1720</v>
      </c>
      <c r="F47" s="6">
        <f>IFERROR(__xludf.DUMMYFUNCTION("""COMPUTED_VALUE"""),2118.0)</f>
        <v>2118</v>
      </c>
      <c r="G47" s="2">
        <f>IFERROR(__xludf.DUMMYFUNCTION("""COMPUTED_VALUE"""),1.7)</f>
        <v>1.7</v>
      </c>
      <c r="H47" s="7">
        <f>IFERROR(__xludf.DUMMYFUNCTION("""COMPUTED_VALUE"""),7.7)</f>
        <v>7.7</v>
      </c>
      <c r="I47" s="2">
        <f>IFERROR(__xludf.DUMMYFUNCTION("""COMPUTED_VALUE"""),4.7)</f>
        <v>4.7</v>
      </c>
      <c r="J47" s="8">
        <f>IFERROR(__xludf.DUMMYFUNCTION("""COMPUTED_VALUE"""),-0.06)</f>
        <v>-0.06</v>
      </c>
    </row>
    <row r="48" ht="15.75" customHeight="1">
      <c r="C48" s="2" t="str">
        <f>IFERROR(__xludf.DUMMYFUNCTION("""COMPUTED_VALUE"""),"Costa Rica [+]")</f>
        <v>Costa Rica [+]</v>
      </c>
      <c r="D48" s="2">
        <f>IFERROR(__xludf.DUMMYFUNCTION("""COMPUTED_VALUE"""),43.0)</f>
        <v>43</v>
      </c>
      <c r="E48" s="2">
        <f>IFERROR(__xludf.DUMMYFUNCTION("""COMPUTED_VALUE"""),268.0)</f>
        <v>268</v>
      </c>
      <c r="F48" s="2">
        <f>IFERROR(__xludf.DUMMYFUNCTION("""COMPUTED_VALUE"""),311.0)</f>
        <v>311</v>
      </c>
      <c r="G48" s="2">
        <f>IFERROR(__xludf.DUMMYFUNCTION("""COMPUTED_VALUE"""),1.9)</f>
        <v>1.9</v>
      </c>
      <c r="H48" s="7">
        <f>IFERROR(__xludf.DUMMYFUNCTION("""COMPUTED_VALUE"""),11.7)</f>
        <v>11.7</v>
      </c>
      <c r="I48" s="2">
        <f>IFERROR(__xludf.DUMMYFUNCTION("""COMPUTED_VALUE"""),6.9)</f>
        <v>6.9</v>
      </c>
      <c r="J48" s="8">
        <f>IFERROR(__xludf.DUMMYFUNCTION("""COMPUTED_VALUE"""),0.0952)</f>
        <v>0.0952</v>
      </c>
    </row>
    <row r="49" ht="15.75" customHeight="1">
      <c r="C49" s="2" t="str">
        <f>IFERROR(__xludf.DUMMYFUNCTION("""COMPUTED_VALUE"""),"Cuba [+]")</f>
        <v>Cuba [+]</v>
      </c>
      <c r="D49" s="5">
        <f>IFERROR(__xludf.DUMMYFUNCTION("""COMPUTED_VALUE"""),346.0)</f>
        <v>346</v>
      </c>
      <c r="E49" s="6">
        <f>IFERROR(__xludf.DUMMYFUNCTION("""COMPUTED_VALUE"""),1301.0)</f>
        <v>1301</v>
      </c>
      <c r="F49" s="6">
        <f>IFERROR(__xludf.DUMMYFUNCTION("""COMPUTED_VALUE"""),1647.0)</f>
        <v>1647</v>
      </c>
      <c r="G49" s="2">
        <f>IFERROR(__xludf.DUMMYFUNCTION("""COMPUTED_VALUE"""),6.14)</f>
        <v>6.14</v>
      </c>
      <c r="H49" s="7">
        <f>IFERROR(__xludf.DUMMYFUNCTION("""COMPUTED_VALUE"""),23.3)</f>
        <v>23.3</v>
      </c>
      <c r="I49" s="2">
        <f>IFERROR(__xludf.DUMMYFUNCTION("""COMPUTED_VALUE"""),14.67)</f>
        <v>14.67</v>
      </c>
      <c r="J49" s="8">
        <f>IFERROR(__xludf.DUMMYFUNCTION("""COMPUTED_VALUE"""),0.039)</f>
        <v>0.039</v>
      </c>
    </row>
    <row r="50" ht="15.75" customHeight="1">
      <c r="C50" s="2" t="str">
        <f>IFERROR(__xludf.DUMMYFUNCTION("""COMPUTED_VALUE"""),"Cabo Verde [+]")</f>
        <v>Cabo Verde [+]</v>
      </c>
      <c r="D50" s="5">
        <f>IFERROR(__xludf.DUMMYFUNCTION("""COMPUTED_VALUE"""),15.0)</f>
        <v>15</v>
      </c>
      <c r="E50" s="2">
        <f>IFERROR(__xludf.DUMMYFUNCTION("""COMPUTED_VALUE"""),28.0)</f>
        <v>28</v>
      </c>
      <c r="F50" s="2">
        <f>IFERROR(__xludf.DUMMYFUNCTION("""COMPUTED_VALUE"""),43.0)</f>
        <v>43</v>
      </c>
      <c r="G50" s="2">
        <f>IFERROR(__xludf.DUMMYFUNCTION("""COMPUTED_VALUE"""),6.06)</f>
        <v>6.06</v>
      </c>
      <c r="H50" s="7">
        <f>IFERROR(__xludf.DUMMYFUNCTION("""COMPUTED_VALUE"""),11.48)</f>
        <v>11.48</v>
      </c>
      <c r="I50" s="2">
        <f>IFERROR(__xludf.DUMMYFUNCTION("""COMPUTED_VALUE"""),8.6)</f>
        <v>8.6</v>
      </c>
      <c r="J50" s="8">
        <f>IFERROR(__xludf.DUMMYFUNCTION("""COMPUTED_VALUE"""),0.0023)</f>
        <v>0.0023</v>
      </c>
    </row>
    <row r="51" ht="15.75" customHeight="1">
      <c r="C51" s="2" t="str">
        <f>IFERROR(__xludf.DUMMYFUNCTION("""COMPUTED_VALUE"""),"Chipre [+]")</f>
        <v>Chipre [+]</v>
      </c>
      <c r="D51" s="2">
        <f>IFERROR(__xludf.DUMMYFUNCTION("""COMPUTED_VALUE"""),8.0)</f>
        <v>8</v>
      </c>
      <c r="E51" s="2">
        <f>IFERROR(__xludf.DUMMYFUNCTION("""COMPUTED_VALUE"""),30.0)</f>
        <v>30</v>
      </c>
      <c r="F51" s="2">
        <f>IFERROR(__xludf.DUMMYFUNCTION("""COMPUTED_VALUE"""),38.0)</f>
        <v>38</v>
      </c>
      <c r="G51" s="2">
        <f>IFERROR(__xludf.DUMMYFUNCTION("""COMPUTED_VALUE"""),1.9)</f>
        <v>1.9</v>
      </c>
      <c r="H51" s="7">
        <f>IFERROR(__xludf.DUMMYFUNCTION("""COMPUTED_VALUE"""),7.4)</f>
        <v>7.4</v>
      </c>
      <c r="I51" s="2">
        <f>IFERROR(__xludf.DUMMYFUNCTION("""COMPUTED_VALUE"""),4.6)</f>
        <v>4.6</v>
      </c>
      <c r="J51" s="8">
        <f>IFERROR(__xludf.DUMMYFUNCTION("""COMPUTED_VALUE"""),0.122)</f>
        <v>0.122</v>
      </c>
    </row>
    <row r="52" ht="15.75" customHeight="1">
      <c r="C52" s="2" t="str">
        <f>IFERROR(__xludf.DUMMYFUNCTION("""COMPUTED_VALUE"""),"Chequia [+]")</f>
        <v>Chequia [+]</v>
      </c>
      <c r="D52" s="5">
        <f>IFERROR(__xludf.DUMMYFUNCTION("""COMPUTED_VALUE"""),257.0)</f>
        <v>257</v>
      </c>
      <c r="E52" s="6">
        <f>IFERROR(__xludf.DUMMYFUNCTION("""COMPUTED_VALUE"""),1245.0)</f>
        <v>1245</v>
      </c>
      <c r="F52" s="6">
        <f>IFERROR(__xludf.DUMMYFUNCTION("""COMPUTED_VALUE"""),1502.0)</f>
        <v>1502</v>
      </c>
      <c r="G52" s="2">
        <f>IFERROR(__xludf.DUMMYFUNCTION("""COMPUTED_VALUE"""),4.8)</f>
        <v>4.8</v>
      </c>
      <c r="H52" s="7">
        <f>IFERROR(__xludf.DUMMYFUNCTION("""COMPUTED_VALUE"""),24.2)</f>
        <v>24.2</v>
      </c>
      <c r="I52" s="2">
        <f>IFERROR(__xludf.DUMMYFUNCTION("""COMPUTED_VALUE"""),14.3)</f>
        <v>14.3</v>
      </c>
      <c r="J52" s="8">
        <f>IFERROR(__xludf.DUMMYFUNCTION("""COMPUTED_VALUE"""),0.0214)</f>
        <v>0.0214</v>
      </c>
    </row>
    <row r="53" ht="15.75" customHeight="1">
      <c r="C53" s="2" t="str">
        <f>IFERROR(__xludf.DUMMYFUNCTION("""COMPUTED_VALUE"""),"Yibuti [+]")</f>
        <v>Yibuti [+]</v>
      </c>
      <c r="D53" s="5">
        <f>IFERROR(__xludf.DUMMYFUNCTION("""COMPUTED_VALUE"""),21.0)</f>
        <v>21</v>
      </c>
      <c r="E53" s="2">
        <f>IFERROR(__xludf.DUMMYFUNCTION("""COMPUTED_VALUE"""),44.0)</f>
        <v>44</v>
      </c>
      <c r="F53" s="6">
        <f>IFERROR(__xludf.DUMMYFUNCTION("""COMPUTED_VALUE"""),65.0)</f>
        <v>65</v>
      </c>
      <c r="G53" s="2">
        <f>IFERROR(__xludf.DUMMYFUNCTION("""COMPUTED_VALUE"""),5.35)</f>
        <v>5.35</v>
      </c>
      <c r="H53" s="7">
        <f>IFERROR(__xludf.DUMMYFUNCTION("""COMPUTED_VALUE"""),9.82)</f>
        <v>9.82</v>
      </c>
      <c r="I53" s="2">
        <f>IFERROR(__xludf.DUMMYFUNCTION("""COMPUTED_VALUE"""),7.73)</f>
        <v>7.73</v>
      </c>
      <c r="J53" s="8">
        <f>IFERROR(__xludf.DUMMYFUNCTION("""COMPUTED_VALUE"""),-0.019)</f>
        <v>-0.019</v>
      </c>
    </row>
    <row r="54" ht="15.75" customHeight="1">
      <c r="C54" s="2" t="str">
        <f>IFERROR(__xludf.DUMMYFUNCTION("""COMPUTED_VALUE"""),"Dinamarca [+]")</f>
        <v>Dinamarca [+]</v>
      </c>
      <c r="D54" s="5">
        <f>IFERROR(__xludf.DUMMYFUNCTION("""COMPUTED_VALUE"""),158.0)</f>
        <v>158</v>
      </c>
      <c r="E54" s="2">
        <f>IFERROR(__xludf.DUMMYFUNCTION("""COMPUTED_VALUE"""),405.0)</f>
        <v>405</v>
      </c>
      <c r="F54" s="6">
        <f>IFERROR(__xludf.DUMMYFUNCTION("""COMPUTED_VALUE"""),563.0)</f>
        <v>563</v>
      </c>
      <c r="G54" s="2">
        <f>IFERROR(__xludf.DUMMYFUNCTION("""COMPUTED_VALUE"""),5.6)</f>
        <v>5.6</v>
      </c>
      <c r="H54" s="7">
        <f>IFERROR(__xludf.DUMMYFUNCTION("""COMPUTED_VALUE"""),14.7)</f>
        <v>14.7</v>
      </c>
      <c r="I54" s="2">
        <f>IFERROR(__xludf.DUMMYFUNCTION("""COMPUTED_VALUE"""),10.1)</f>
        <v>10.1</v>
      </c>
      <c r="J54" s="8">
        <f>IFERROR(__xludf.DUMMYFUNCTION("""COMPUTED_VALUE"""),-0.1062)</f>
        <v>-0.1062</v>
      </c>
    </row>
    <row r="55" ht="15.75" customHeight="1">
      <c r="C55" s="2" t="str">
        <f>IFERROR(__xludf.DUMMYFUNCTION("""COMPUTED_VALUE"""),"República Dominicana [+]")</f>
        <v>República Dominicana [+]</v>
      </c>
      <c r="D55" s="2">
        <f>IFERROR(__xludf.DUMMYFUNCTION("""COMPUTED_VALUE"""),110.0)</f>
        <v>110</v>
      </c>
      <c r="E55" s="2">
        <f>IFERROR(__xludf.DUMMYFUNCTION("""COMPUTED_VALUE"""),545.0)</f>
        <v>545</v>
      </c>
      <c r="F55" s="2">
        <f>IFERROR(__xludf.DUMMYFUNCTION("""COMPUTED_VALUE"""),655.0)</f>
        <v>655</v>
      </c>
      <c r="G55" s="2">
        <f>IFERROR(__xludf.DUMMYFUNCTION("""COMPUTED_VALUE"""),2.28)</f>
        <v>2.28</v>
      </c>
      <c r="H55" s="7">
        <f>IFERROR(__xludf.DUMMYFUNCTION("""COMPUTED_VALUE"""),11.2)</f>
        <v>11.2</v>
      </c>
      <c r="I55" s="2">
        <f>IFERROR(__xludf.DUMMYFUNCTION("""COMPUTED_VALUE"""),6.91)</f>
        <v>6.91</v>
      </c>
      <c r="J55" s="8">
        <f>IFERROR(__xludf.DUMMYFUNCTION("""COMPUTED_VALUE"""),0.1218)</f>
        <v>0.1218</v>
      </c>
    </row>
    <row r="56" ht="15.75" customHeight="1">
      <c r="C56" s="2" t="str">
        <f>IFERROR(__xludf.DUMMYFUNCTION("""COMPUTED_VALUE"""),"Argelia [+]")</f>
        <v>Argelia [+]</v>
      </c>
      <c r="D56" s="5">
        <f>IFERROR(__xludf.DUMMYFUNCTION("""COMPUTED_VALUE"""),246.0)</f>
        <v>246</v>
      </c>
      <c r="E56" s="2">
        <f>IFERROR(__xludf.DUMMYFUNCTION("""COMPUTED_VALUE"""),977.0)</f>
        <v>977</v>
      </c>
      <c r="F56" s="6">
        <f>IFERROR(__xludf.DUMMYFUNCTION("""COMPUTED_VALUE"""),1223.0)</f>
        <v>1223</v>
      </c>
      <c r="G56" s="2">
        <f>IFERROR(__xludf.DUMMYFUNCTION("""COMPUTED_VALUE"""),1.38)</f>
        <v>1.38</v>
      </c>
      <c r="H56" s="7">
        <f>IFERROR(__xludf.DUMMYFUNCTION("""COMPUTED_VALUE"""),5.38)</f>
        <v>5.38</v>
      </c>
      <c r="I56" s="2">
        <f>IFERROR(__xludf.DUMMYFUNCTION("""COMPUTED_VALUE"""),3.4)</f>
        <v>3.4</v>
      </c>
      <c r="J56" s="8">
        <f>IFERROR(__xludf.DUMMYFUNCTION("""COMPUTED_VALUE"""),-0.0449)</f>
        <v>-0.0449</v>
      </c>
    </row>
    <row r="57" ht="15.75" customHeight="1">
      <c r="C57" s="2" t="str">
        <f>IFERROR(__xludf.DUMMYFUNCTION("""COMPUTED_VALUE"""),"Ecuador [+]")</f>
        <v>Ecuador [+]</v>
      </c>
      <c r="D57" s="2">
        <f>IFERROR(__xludf.DUMMYFUNCTION("""COMPUTED_VALUE"""),341.0)</f>
        <v>341</v>
      </c>
      <c r="E57" s="2">
        <f>IFERROR(__xludf.DUMMYFUNCTION("""COMPUTED_VALUE"""),994.0)</f>
        <v>994</v>
      </c>
      <c r="F57" s="6">
        <f>IFERROR(__xludf.DUMMYFUNCTION("""COMPUTED_VALUE"""),1335.0)</f>
        <v>1335</v>
      </c>
      <c r="G57" s="2">
        <f>IFERROR(__xludf.DUMMYFUNCTION("""COMPUTED_VALUE"""),4.55)</f>
        <v>4.55</v>
      </c>
      <c r="H57" s="7">
        <f>IFERROR(__xludf.DUMMYFUNCTION("""COMPUTED_VALUE"""),13.22)</f>
        <v>13.22</v>
      </c>
      <c r="I57" s="2">
        <f>IFERROR(__xludf.DUMMYFUNCTION("""COMPUTED_VALUE"""),8.89)</f>
        <v>8.89</v>
      </c>
      <c r="J57" s="8">
        <f>IFERROR(__xludf.DUMMYFUNCTION("""COMPUTED_VALUE"""),-0.0358)</f>
        <v>-0.0358</v>
      </c>
    </row>
    <row r="58" ht="15.75" customHeight="1">
      <c r="C58" s="2" t="str">
        <f>IFERROR(__xludf.DUMMYFUNCTION("""COMPUTED_VALUE"""),"Estonia [+]")</f>
        <v>Estonia [+]</v>
      </c>
      <c r="D58" s="5">
        <f>IFERROR(__xludf.DUMMYFUNCTION("""COMPUTED_VALUE"""),42.0)</f>
        <v>42</v>
      </c>
      <c r="E58" s="2">
        <f>IFERROR(__xludf.DUMMYFUNCTION("""COMPUTED_VALUE"""),181.0)</f>
        <v>181</v>
      </c>
      <c r="F58" s="6">
        <f>IFERROR(__xludf.DUMMYFUNCTION("""COMPUTED_VALUE"""),223.0)</f>
        <v>223</v>
      </c>
      <c r="G58" s="2">
        <f>IFERROR(__xludf.DUMMYFUNCTION("""COMPUTED_VALUE"""),5.9)</f>
        <v>5.9</v>
      </c>
      <c r="H58" s="7">
        <f>IFERROR(__xludf.DUMMYFUNCTION("""COMPUTED_VALUE"""),29.1)</f>
        <v>29.1</v>
      </c>
      <c r="I58" s="2">
        <f>IFERROR(__xludf.DUMMYFUNCTION("""COMPUTED_VALUE"""),16.7)</f>
        <v>16.7</v>
      </c>
      <c r="J58" s="8">
        <f>IFERROR(__xludf.DUMMYFUNCTION("""COMPUTED_VALUE"""),-0.1692)</f>
        <v>-0.1692</v>
      </c>
    </row>
    <row r="59" ht="15.75" customHeight="1">
      <c r="C59" s="2" t="str">
        <f>IFERROR(__xludf.DUMMYFUNCTION("""COMPUTED_VALUE"""),"Egipto [+]")</f>
        <v>Egipto [+]</v>
      </c>
      <c r="D59" s="5">
        <f>IFERROR(__xludf.DUMMYFUNCTION("""COMPUTED_VALUE"""),628.0)</f>
        <v>628</v>
      </c>
      <c r="E59" s="6">
        <f>IFERROR(__xludf.DUMMYFUNCTION("""COMPUTED_VALUE"""),1399.0)</f>
        <v>1399</v>
      </c>
      <c r="F59" s="6">
        <f>IFERROR(__xludf.DUMMYFUNCTION("""COMPUTED_VALUE"""),2027.0)</f>
        <v>2027</v>
      </c>
      <c r="G59" s="2">
        <f>IFERROR(__xludf.DUMMYFUNCTION("""COMPUTED_VALUE"""),1.53)</f>
        <v>1.53</v>
      </c>
      <c r="H59" s="7">
        <f>IFERROR(__xludf.DUMMYFUNCTION("""COMPUTED_VALUE"""),3.35)</f>
        <v>3.35</v>
      </c>
      <c r="I59" s="2">
        <f>IFERROR(__xludf.DUMMYFUNCTION("""COMPUTED_VALUE"""),2.58)</f>
        <v>2.58</v>
      </c>
      <c r="J59" s="8">
        <f>IFERROR(__xludf.DUMMYFUNCTION("""COMPUTED_VALUE"""),0.0039)</f>
        <v>0.0039</v>
      </c>
    </row>
    <row r="60" ht="15.75" customHeight="1">
      <c r="C60" s="2" t="str">
        <f>IFERROR(__xludf.DUMMYFUNCTION("""COMPUTED_VALUE"""),"Eritrea [+]")</f>
        <v>Eritrea [+]</v>
      </c>
      <c r="D60" s="2">
        <f>IFERROR(__xludf.DUMMYFUNCTION("""COMPUTED_VALUE"""),78.0)</f>
        <v>78</v>
      </c>
      <c r="E60" s="2">
        <f>IFERROR(__xludf.DUMMYFUNCTION("""COMPUTED_VALUE"""),288.0)</f>
        <v>288</v>
      </c>
      <c r="F60" s="2">
        <f>IFERROR(__xludf.DUMMYFUNCTION("""COMPUTED_VALUE"""),366.0)</f>
        <v>366</v>
      </c>
      <c r="G60" s="2">
        <f>IFERROR(__xludf.DUMMYFUNCTION("""COMPUTED_VALUE"""),4.94)</f>
        <v>4.94</v>
      </c>
      <c r="H60" s="7">
        <f>IFERROR(__xludf.DUMMYFUNCTION("""COMPUTED_VALUE"""),18.17)</f>
        <v>18.17</v>
      </c>
      <c r="I60" s="2">
        <f>IFERROR(__xludf.DUMMYFUNCTION("""COMPUTED_VALUE"""),11.55)</f>
        <v>11.55</v>
      </c>
      <c r="J60" s="8">
        <f>IFERROR(__xludf.DUMMYFUNCTION("""COMPUTED_VALUE"""),-0.07)</f>
        <v>-0.07</v>
      </c>
    </row>
    <row r="61" ht="15.75" customHeight="1">
      <c r="C61" s="2" t="str">
        <f>IFERROR(__xludf.DUMMYFUNCTION("""COMPUTED_VALUE"""),"Etiopía [+]")</f>
        <v>Etiopía [+]</v>
      </c>
      <c r="D61" s="6">
        <f>IFERROR(__xludf.DUMMYFUNCTION("""COMPUTED_VALUE"""),1563.0)</f>
        <v>1563</v>
      </c>
      <c r="E61" s="6">
        <f>IFERROR(__xludf.DUMMYFUNCTION("""COMPUTED_VALUE"""),5477.0)</f>
        <v>5477</v>
      </c>
      <c r="F61" s="6">
        <f>IFERROR(__xludf.DUMMYFUNCTION("""COMPUTED_VALUE"""),7041.0)</f>
        <v>7041</v>
      </c>
      <c r="G61" s="2">
        <f>IFERROR(__xludf.DUMMYFUNCTION("""COMPUTED_VALUE"""),3.56)</f>
        <v>3.56</v>
      </c>
      <c r="H61" s="7">
        <f>IFERROR(__xludf.DUMMYFUNCTION("""COMPUTED_VALUE"""),12.53)</f>
        <v>12.53</v>
      </c>
      <c r="I61" s="2">
        <f>IFERROR(__xludf.DUMMYFUNCTION("""COMPUTED_VALUE"""),8.49)</f>
        <v>8.49</v>
      </c>
      <c r="J61" s="8">
        <f>IFERROR(__xludf.DUMMYFUNCTION("""COMPUTED_VALUE"""),0.0217)</f>
        <v>0.0217</v>
      </c>
    </row>
    <row r="62" ht="15.75" customHeight="1">
      <c r="C62" s="2" t="str">
        <f>IFERROR(__xludf.DUMMYFUNCTION("""COMPUTED_VALUE"""),"Finlandia [+]")</f>
        <v>Finlandia [+]</v>
      </c>
      <c r="D62" s="2">
        <f>IFERROR(__xludf.DUMMYFUNCTION("""COMPUTED_VALUE"""),236.0)</f>
        <v>236</v>
      </c>
      <c r="E62" s="2">
        <f>IFERROR(__xludf.DUMMYFUNCTION("""COMPUTED_VALUE"""),718.0)</f>
        <v>718</v>
      </c>
      <c r="F62" s="2">
        <f>IFERROR(__xludf.DUMMYFUNCTION("""COMPUTED_VALUE"""),954.0)</f>
        <v>954</v>
      </c>
      <c r="G62" s="2">
        <f>IFERROR(__xludf.DUMMYFUNCTION("""COMPUTED_VALUE"""),8.6)</f>
        <v>8.6</v>
      </c>
      <c r="H62" s="7">
        <f>IFERROR(__xludf.DUMMYFUNCTION("""COMPUTED_VALUE"""),27.3)</f>
        <v>27.3</v>
      </c>
      <c r="I62" s="2">
        <f>IFERROR(__xludf.DUMMYFUNCTION("""COMPUTED_VALUE"""),17.8)</f>
        <v>17.8</v>
      </c>
      <c r="J62" s="8">
        <f>IFERROR(__xludf.DUMMYFUNCTION("""COMPUTED_VALUE"""),-0.0825)</f>
        <v>-0.0825</v>
      </c>
    </row>
    <row r="63" ht="15.75" customHeight="1">
      <c r="C63" s="2" t="str">
        <f>IFERROR(__xludf.DUMMYFUNCTION("""COMPUTED_VALUE"""),"Fiyi [+]")</f>
        <v>Fiyi [+]</v>
      </c>
      <c r="D63" s="2">
        <f>IFERROR(__xludf.DUMMYFUNCTION("""COMPUTED_VALUE"""),19.0)</f>
        <v>19</v>
      </c>
      <c r="E63" s="2">
        <f>IFERROR(__xludf.DUMMYFUNCTION("""COMPUTED_VALUE"""),61.0)</f>
        <v>61</v>
      </c>
      <c r="F63" s="2">
        <f>IFERROR(__xludf.DUMMYFUNCTION("""COMPUTED_VALUE"""),81.0)</f>
        <v>81</v>
      </c>
      <c r="G63" s="2">
        <f>IFERROR(__xludf.DUMMYFUNCTION("""COMPUTED_VALUE"""),4.62)</f>
        <v>4.62</v>
      </c>
      <c r="H63" s="7">
        <f>IFERROR(__xludf.DUMMYFUNCTION("""COMPUTED_VALUE"""),13.92)</f>
        <v>13.92</v>
      </c>
      <c r="I63" s="2">
        <f>IFERROR(__xludf.DUMMYFUNCTION("""COMPUTED_VALUE"""),9.49)</f>
        <v>9.49</v>
      </c>
      <c r="J63" s="8">
        <f>IFERROR(__xludf.DUMMYFUNCTION("""COMPUTED_VALUE"""),-0.0104)</f>
        <v>-0.0104</v>
      </c>
    </row>
    <row r="64" ht="15.75" customHeight="1">
      <c r="C64" s="2" t="str">
        <f>IFERROR(__xludf.DUMMYFUNCTION("""COMPUTED_VALUE"""),"Estados Federados de Micronesia [+]")</f>
        <v>Estados Federados de Micronesia [+]</v>
      </c>
      <c r="D64" s="2">
        <f>IFERROR(__xludf.DUMMYFUNCTION("""COMPUTED_VALUE"""),4.0)</f>
        <v>4</v>
      </c>
      <c r="E64" s="2">
        <f>IFERROR(__xludf.DUMMYFUNCTION("""COMPUTED_VALUE"""),8.0)</f>
        <v>8</v>
      </c>
      <c r="F64" s="2">
        <f>IFERROR(__xludf.DUMMYFUNCTION("""COMPUTED_VALUE"""),12.0)</f>
        <v>12</v>
      </c>
      <c r="G64" s="2">
        <f>IFERROR(__xludf.DUMMYFUNCTION("""COMPUTED_VALUE"""),7.19)</f>
        <v>7.19</v>
      </c>
      <c r="H64" s="7">
        <f>IFERROR(__xludf.DUMMYFUNCTION("""COMPUTED_VALUE"""),15.13)</f>
        <v>15.13</v>
      </c>
      <c r="I64" s="2">
        <f>IFERROR(__xludf.DUMMYFUNCTION("""COMPUTED_VALUE"""),11.21)</f>
        <v>11.21</v>
      </c>
      <c r="J64" s="4">
        <f>IFERROR(__xludf.DUMMYFUNCTION("""COMPUTED_VALUE"""),0.0)</f>
        <v>0</v>
      </c>
    </row>
    <row r="65" ht="15.75" customHeight="1">
      <c r="C65" s="2" t="str">
        <f>IFERROR(__xludf.DUMMYFUNCTION("""COMPUTED_VALUE"""),"Gabón [+]")</f>
        <v>Gabón [+]</v>
      </c>
      <c r="D65" s="2">
        <f>IFERROR(__xludf.DUMMYFUNCTION("""COMPUTED_VALUE"""),48.0)</f>
        <v>48</v>
      </c>
      <c r="E65" s="2">
        <f>IFERROR(__xludf.DUMMYFUNCTION("""COMPUTED_VALUE"""),123.0)</f>
        <v>123</v>
      </c>
      <c r="F65" s="2">
        <f>IFERROR(__xludf.DUMMYFUNCTION("""COMPUTED_VALUE"""),172.0)</f>
        <v>172</v>
      </c>
      <c r="G65" s="2">
        <f>IFERROR(__xludf.DUMMYFUNCTION("""COMPUTED_VALUE"""),6.01)</f>
        <v>6.01</v>
      </c>
      <c r="H65" s="7">
        <f>IFERROR(__xludf.DUMMYFUNCTION("""COMPUTED_VALUE"""),15.01)</f>
        <v>15.01</v>
      </c>
      <c r="I65" s="2">
        <f>IFERROR(__xludf.DUMMYFUNCTION("""COMPUTED_VALUE"""),10.65)</f>
        <v>10.65</v>
      </c>
      <c r="J65" s="8">
        <f>IFERROR(__xludf.DUMMYFUNCTION("""COMPUTED_VALUE"""),0.0114)</f>
        <v>0.0114</v>
      </c>
    </row>
    <row r="66" ht="15.75" customHeight="1">
      <c r="C66" s="2" t="str">
        <f>IFERROR(__xludf.DUMMYFUNCTION("""COMPUTED_VALUE"""),"Granada [+]")</f>
        <v>Granada [+]</v>
      </c>
      <c r="D66" s="2">
        <f>IFERROR(__xludf.DUMMYFUNCTION("""COMPUTED_VALUE"""),0.0)</f>
        <v>0</v>
      </c>
      <c r="E66" s="2">
        <f>IFERROR(__xludf.DUMMYFUNCTION("""COMPUTED_VALUE"""),1.0)</f>
        <v>1</v>
      </c>
      <c r="F66" s="6">
        <f>IFERROR(__xludf.DUMMYFUNCTION("""COMPUTED_VALUE"""),1.0)</f>
        <v>1</v>
      </c>
      <c r="G66" s="2">
        <f>IFERROR(__xludf.DUMMYFUNCTION("""COMPUTED_VALUE"""),0.0)</f>
        <v>0</v>
      </c>
      <c r="H66" s="7">
        <f>IFERROR(__xludf.DUMMYFUNCTION("""COMPUTED_VALUE"""),1.19)</f>
        <v>1.19</v>
      </c>
      <c r="I66" s="2">
        <f>IFERROR(__xludf.DUMMYFUNCTION("""COMPUTED_VALUE"""),0.6)</f>
        <v>0.6</v>
      </c>
      <c r="J66" s="8">
        <f>IFERROR(__xludf.DUMMYFUNCTION("""COMPUTED_VALUE"""),0.8182)</f>
        <v>0.8182</v>
      </c>
    </row>
    <row r="67" ht="15.75" customHeight="1">
      <c r="C67" s="2" t="str">
        <f>IFERROR(__xludf.DUMMYFUNCTION("""COMPUTED_VALUE"""),"Georgia [+]")</f>
        <v>Georgia [+]</v>
      </c>
      <c r="D67" s="2">
        <f>IFERROR(__xludf.DUMMYFUNCTION("""COMPUTED_VALUE"""),48.0)</f>
        <v>48</v>
      </c>
      <c r="E67" s="2">
        <f>IFERROR(__xludf.DUMMYFUNCTION("""COMPUTED_VALUE"""),217.0)</f>
        <v>217</v>
      </c>
      <c r="F67" s="2">
        <f>IFERROR(__xludf.DUMMYFUNCTION("""COMPUTED_VALUE"""),265.0)</f>
        <v>265</v>
      </c>
      <c r="G67" s="2">
        <f>IFERROR(__xludf.DUMMYFUNCTION("""COMPUTED_VALUE"""),2.06)</f>
        <v>2.06</v>
      </c>
      <c r="H67" s="7">
        <f>IFERROR(__xludf.DUMMYFUNCTION("""COMPUTED_VALUE"""),10.2)</f>
        <v>10.2</v>
      </c>
      <c r="I67" s="2">
        <f>IFERROR(__xludf.DUMMYFUNCTION("""COMPUTED_VALUE"""),5.94)</f>
        <v>5.94</v>
      </c>
      <c r="J67" s="8">
        <f>IFERROR(__xludf.DUMMYFUNCTION("""COMPUTED_VALUE"""),-0.0917)</f>
        <v>-0.0917</v>
      </c>
    </row>
    <row r="68" ht="15.75" customHeight="1">
      <c r="C68" s="2" t="str">
        <f>IFERROR(__xludf.DUMMYFUNCTION("""COMPUTED_VALUE"""),"Ghana [+]")</f>
        <v>Ghana [+]</v>
      </c>
      <c r="D68" s="2">
        <f>IFERROR(__xludf.DUMMYFUNCTION("""COMPUTED_VALUE"""),351.0)</f>
        <v>351</v>
      </c>
      <c r="E68" s="6">
        <f>IFERROR(__xludf.DUMMYFUNCTION("""COMPUTED_VALUE"""),1200.0)</f>
        <v>1200</v>
      </c>
      <c r="F68" s="6">
        <f>IFERROR(__xludf.DUMMYFUNCTION("""COMPUTED_VALUE"""),1551.0)</f>
        <v>1551</v>
      </c>
      <c r="G68" s="2">
        <f>IFERROR(__xludf.DUMMYFUNCTION("""COMPUTED_VALUE"""),2.87)</f>
        <v>2.87</v>
      </c>
      <c r="H68" s="7">
        <f>IFERROR(__xludf.DUMMYFUNCTION("""COMPUTED_VALUE"""),9.57)</f>
        <v>9.57</v>
      </c>
      <c r="I68" s="2">
        <f>IFERROR(__xludf.DUMMYFUNCTION("""COMPUTED_VALUE"""),6.29)</f>
        <v>6.29</v>
      </c>
      <c r="J68" s="8">
        <f>IFERROR(__xludf.DUMMYFUNCTION("""COMPUTED_VALUE"""),0.0032)</f>
        <v>0.0032</v>
      </c>
    </row>
    <row r="69" ht="15.75" customHeight="1">
      <c r="C69" s="2" t="str">
        <f>IFERROR(__xludf.DUMMYFUNCTION("""COMPUTED_VALUE"""),"Gambia [+]")</f>
        <v>Gambia [+]</v>
      </c>
      <c r="D69" s="5">
        <f>IFERROR(__xludf.DUMMYFUNCTION("""COMPUTED_VALUE"""),34.0)</f>
        <v>34</v>
      </c>
      <c r="E69" s="2">
        <f>IFERROR(__xludf.DUMMYFUNCTION("""COMPUTED_VALUE"""),72.0)</f>
        <v>72</v>
      </c>
      <c r="F69" s="6">
        <f>IFERROR(__xludf.DUMMYFUNCTION("""COMPUTED_VALUE"""),107.0)</f>
        <v>107</v>
      </c>
      <c r="G69" s="2">
        <f>IFERROR(__xludf.DUMMYFUNCTION("""COMPUTED_VALUE"""),3.81)</f>
        <v>3.81</v>
      </c>
      <c r="H69" s="7">
        <f>IFERROR(__xludf.DUMMYFUNCTION("""COMPUTED_VALUE"""),8.12)</f>
        <v>8.12</v>
      </c>
      <c r="I69" s="2">
        <f>IFERROR(__xludf.DUMMYFUNCTION("""COMPUTED_VALUE"""),5.95)</f>
        <v>5.95</v>
      </c>
      <c r="J69" s="8">
        <f>IFERROR(__xludf.DUMMYFUNCTION("""COMPUTED_VALUE"""),-0.01)</f>
        <v>-0.01</v>
      </c>
    </row>
    <row r="70" ht="15.75" customHeight="1">
      <c r="C70" s="2" t="str">
        <f>IFERROR(__xludf.DUMMYFUNCTION("""COMPUTED_VALUE"""),"Guinea [+]")</f>
        <v>Guinea [+]</v>
      </c>
      <c r="D70" s="5">
        <f>IFERROR(__xludf.DUMMYFUNCTION("""COMPUTED_VALUE"""),251.0)</f>
        <v>251</v>
      </c>
      <c r="E70" s="2">
        <f>IFERROR(__xludf.DUMMYFUNCTION("""COMPUTED_VALUE"""),604.0)</f>
        <v>604</v>
      </c>
      <c r="F70" s="6">
        <f>IFERROR(__xludf.DUMMYFUNCTION("""COMPUTED_VALUE"""),855.0)</f>
        <v>855</v>
      </c>
      <c r="G70" s="2">
        <f>IFERROR(__xludf.DUMMYFUNCTION("""COMPUTED_VALUE"""),4.71)</f>
        <v>4.71</v>
      </c>
      <c r="H70" s="7">
        <f>IFERROR(__xludf.DUMMYFUNCTION("""COMPUTED_VALUE"""),12.43)</f>
        <v>12.43</v>
      </c>
      <c r="I70" s="2">
        <f>IFERROR(__xludf.DUMMYFUNCTION("""COMPUTED_VALUE"""),7.87)</f>
        <v>7.87</v>
      </c>
      <c r="J70" s="8">
        <f>IFERROR(__xludf.DUMMYFUNCTION("""COMPUTED_VALUE"""),0.0328)</f>
        <v>0.0328</v>
      </c>
    </row>
    <row r="71" ht="15.75" customHeight="1">
      <c r="C71" s="2" t="str">
        <f>IFERROR(__xludf.DUMMYFUNCTION("""COMPUTED_VALUE"""),"Guinea Ecuatorial [+]")</f>
        <v>Guinea Ecuatorial [+]</v>
      </c>
      <c r="D71" s="5">
        <f>IFERROR(__xludf.DUMMYFUNCTION("""COMPUTED_VALUE"""),41.0)</f>
        <v>41</v>
      </c>
      <c r="E71" s="2">
        <f>IFERROR(__xludf.DUMMYFUNCTION("""COMPUTED_VALUE"""),129.0)</f>
        <v>129</v>
      </c>
      <c r="F71" s="6">
        <f>IFERROR(__xludf.DUMMYFUNCTION("""COMPUTED_VALUE"""),170.0)</f>
        <v>170</v>
      </c>
      <c r="G71" s="2">
        <f>IFERROR(__xludf.DUMMYFUNCTION("""COMPUTED_VALUE"""),9.56)</f>
        <v>9.56</v>
      </c>
      <c r="H71" s="7">
        <f>IFERROR(__xludf.DUMMYFUNCTION("""COMPUTED_VALUE"""),25.09)</f>
        <v>25.09</v>
      </c>
      <c r="I71" s="2">
        <f>IFERROR(__xludf.DUMMYFUNCTION("""COMPUTED_VALUE"""),17.87)</f>
        <v>17.87</v>
      </c>
      <c r="J71" s="8">
        <f>IFERROR(__xludf.DUMMYFUNCTION("""COMPUTED_VALUE"""),-0.0197)</f>
        <v>-0.0197</v>
      </c>
    </row>
    <row r="72" ht="15.75" customHeight="1">
      <c r="C72" s="2" t="str">
        <f>IFERROR(__xludf.DUMMYFUNCTION("""COMPUTED_VALUE"""),"Grecia [+]")</f>
        <v>Grecia [+]</v>
      </c>
      <c r="D72" s="2">
        <f>IFERROR(__xludf.DUMMYFUNCTION("""COMPUTED_VALUE"""),41.0)</f>
        <v>41</v>
      </c>
      <c r="E72" s="2">
        <f>IFERROR(__xludf.DUMMYFUNCTION("""COMPUTED_VALUE"""),336.0)</f>
        <v>336</v>
      </c>
      <c r="F72" s="2">
        <f>IFERROR(__xludf.DUMMYFUNCTION("""COMPUTED_VALUE"""),377.0)</f>
        <v>377</v>
      </c>
      <c r="G72" s="2">
        <f>IFERROR(__xludf.DUMMYFUNCTION("""COMPUTED_VALUE"""),0.7)</f>
        <v>0.7</v>
      </c>
      <c r="H72" s="7">
        <f>IFERROR(__xludf.DUMMYFUNCTION("""COMPUTED_VALUE"""),6.1)</f>
        <v>6.1</v>
      </c>
      <c r="I72" s="2">
        <f>IFERROR(__xludf.DUMMYFUNCTION("""COMPUTED_VALUE"""),3.4)</f>
        <v>3.4</v>
      </c>
      <c r="J72" s="8">
        <f>IFERROR(__xludf.DUMMYFUNCTION("""COMPUTED_VALUE"""),-0.0286)</f>
        <v>-0.0286</v>
      </c>
    </row>
    <row r="73" ht="15.75" customHeight="1">
      <c r="C73" s="2" t="str">
        <f>IFERROR(__xludf.DUMMYFUNCTION("""COMPUTED_VALUE"""),"Guatemala [+]")</f>
        <v>Guatemala [+]</v>
      </c>
      <c r="D73" s="2">
        <f>IFERROR(__xludf.DUMMYFUNCTION("""COMPUTED_VALUE"""),114.0)</f>
        <v>114</v>
      </c>
      <c r="E73" s="2">
        <f>IFERROR(__xludf.DUMMYFUNCTION("""COMPUTED_VALUE"""),340.0)</f>
        <v>340</v>
      </c>
      <c r="F73" s="2">
        <f>IFERROR(__xludf.DUMMYFUNCTION("""COMPUTED_VALUE"""),454.0)</f>
        <v>454</v>
      </c>
      <c r="G73" s="2">
        <f>IFERROR(__xludf.DUMMYFUNCTION("""COMPUTED_VALUE"""),1.57)</f>
        <v>1.57</v>
      </c>
      <c r="H73" s="7">
        <f>IFERROR(__xludf.DUMMYFUNCTION("""COMPUTED_VALUE"""),4.86)</f>
        <v>4.86</v>
      </c>
      <c r="I73" s="2">
        <f>IFERROR(__xludf.DUMMYFUNCTION("""COMPUTED_VALUE"""),3.1)</f>
        <v>3.1</v>
      </c>
      <c r="J73" s="8">
        <f>IFERROR(__xludf.DUMMYFUNCTION("""COMPUTED_VALUE"""),-0.1927)</f>
        <v>-0.1927</v>
      </c>
    </row>
    <row r="74" ht="15.75" customHeight="1">
      <c r="C74" s="2" t="str">
        <f>IFERROR(__xludf.DUMMYFUNCTION("""COMPUTED_VALUE"""),"Guinea-Bisáu [+]")</f>
        <v>Guinea-Bisáu [+]</v>
      </c>
      <c r="D74" s="2">
        <f>IFERROR(__xludf.DUMMYFUNCTION("""COMPUTED_VALUE"""),32.0)</f>
        <v>32</v>
      </c>
      <c r="E74" s="2">
        <f>IFERROR(__xludf.DUMMYFUNCTION("""COMPUTED_VALUE"""),77.0)</f>
        <v>77</v>
      </c>
      <c r="F74" s="2">
        <f>IFERROR(__xludf.DUMMYFUNCTION("""COMPUTED_VALUE"""),109.0)</f>
        <v>109</v>
      </c>
      <c r="G74" s="2">
        <f>IFERROR(__xludf.DUMMYFUNCTION("""COMPUTED_VALUE"""),4.14)</f>
        <v>4.14</v>
      </c>
      <c r="H74" s="7">
        <f>IFERROR(__xludf.DUMMYFUNCTION("""COMPUTED_VALUE"""),10.38)</f>
        <v>10.38</v>
      </c>
      <c r="I74" s="2">
        <f>IFERROR(__xludf.DUMMYFUNCTION("""COMPUTED_VALUE"""),7.47)</f>
        <v>7.47</v>
      </c>
      <c r="J74" s="8">
        <f>IFERROR(__xludf.DUMMYFUNCTION("""COMPUTED_VALUE"""),0.0275)</f>
        <v>0.0275</v>
      </c>
    </row>
    <row r="75" ht="15.75" customHeight="1">
      <c r="C75" s="2" t="str">
        <f>IFERROR(__xludf.DUMMYFUNCTION("""COMPUTED_VALUE"""),"Guyana [+]")</f>
        <v>Guyana [+]</v>
      </c>
      <c r="D75" s="5">
        <f>IFERROR(__xludf.DUMMYFUNCTION("""COMPUTED_VALUE"""),50.0)</f>
        <v>50</v>
      </c>
      <c r="E75" s="2">
        <f>IFERROR(__xludf.DUMMYFUNCTION("""COMPUTED_VALUE"""),144.0)</f>
        <v>144</v>
      </c>
      <c r="F75" s="2">
        <f>IFERROR(__xludf.DUMMYFUNCTION("""COMPUTED_VALUE"""),194.0)</f>
        <v>194</v>
      </c>
      <c r="G75" s="2">
        <f>IFERROR(__xludf.DUMMYFUNCTION("""COMPUTED_VALUE"""),13.14)</f>
        <v>13.14</v>
      </c>
      <c r="H75" s="7">
        <f>IFERROR(__xludf.DUMMYFUNCTION("""COMPUTED_VALUE"""),38.83)</f>
        <v>38.83</v>
      </c>
      <c r="I75" s="2">
        <f>IFERROR(__xludf.DUMMYFUNCTION("""COMPUTED_VALUE"""),25.77)</f>
        <v>25.77</v>
      </c>
      <c r="J75" s="8">
        <f>IFERROR(__xludf.DUMMYFUNCTION("""COMPUTED_VALUE"""),-0.0327)</f>
        <v>-0.0327</v>
      </c>
    </row>
    <row r="76" ht="15.75" customHeight="1">
      <c r="C76" s="2" t="str">
        <f>IFERROR(__xludf.DUMMYFUNCTION("""COMPUTED_VALUE"""),"Honduras [+]")</f>
        <v>Honduras [+]</v>
      </c>
      <c r="D76" s="2">
        <f>IFERROR(__xludf.DUMMYFUNCTION("""COMPUTED_VALUE"""),101.0)</f>
        <v>101</v>
      </c>
      <c r="E76" s="2">
        <f>IFERROR(__xludf.DUMMYFUNCTION("""COMPUTED_VALUE"""),185.0)</f>
        <v>185</v>
      </c>
      <c r="F76" s="2">
        <f>IFERROR(__xludf.DUMMYFUNCTION("""COMPUTED_VALUE"""),286.0)</f>
        <v>286</v>
      </c>
      <c r="G76" s="2">
        <f>IFERROR(__xludf.DUMMYFUNCTION("""COMPUTED_VALUE"""),2.42)</f>
        <v>2.42</v>
      </c>
      <c r="H76" s="7">
        <f>IFERROR(__xludf.DUMMYFUNCTION("""COMPUTED_VALUE"""),4.45)</f>
        <v>4.45</v>
      </c>
      <c r="I76" s="2">
        <f>IFERROR(__xludf.DUMMYFUNCTION("""COMPUTED_VALUE"""),3.43)</f>
        <v>3.43</v>
      </c>
      <c r="J76" s="8">
        <f>IFERROR(__xludf.DUMMYFUNCTION("""COMPUTED_VALUE"""),-0.0525)</f>
        <v>-0.0525</v>
      </c>
    </row>
    <row r="77" ht="15.75" customHeight="1">
      <c r="C77" s="2" t="str">
        <f>IFERROR(__xludf.DUMMYFUNCTION("""COMPUTED_VALUE"""),"Croacia [+]")</f>
        <v>Croacia [+]</v>
      </c>
      <c r="D77" s="5">
        <f>IFERROR(__xludf.DUMMYFUNCTION("""COMPUTED_VALUE"""),192.0)</f>
        <v>192</v>
      </c>
      <c r="E77" s="2">
        <f>IFERROR(__xludf.DUMMYFUNCTION("""COMPUTED_VALUE"""),585.0)</f>
        <v>585</v>
      </c>
      <c r="F77" s="6">
        <f>IFERROR(__xludf.DUMMYFUNCTION("""COMPUTED_VALUE"""),777.0)</f>
        <v>777</v>
      </c>
      <c r="G77" s="2">
        <f>IFERROR(__xludf.DUMMYFUNCTION("""COMPUTED_VALUE"""),8.4)</f>
        <v>8.4</v>
      </c>
      <c r="H77" s="7">
        <f>IFERROR(__xludf.DUMMYFUNCTION("""COMPUTED_VALUE"""),27.4)</f>
        <v>27.4</v>
      </c>
      <c r="I77" s="2">
        <f>IFERROR(__xludf.DUMMYFUNCTION("""COMPUTED_VALUE"""),17.6)</f>
        <v>17.6</v>
      </c>
      <c r="J77" s="8">
        <f>IFERROR(__xludf.DUMMYFUNCTION("""COMPUTED_VALUE"""),-0.0112)</f>
        <v>-0.0112</v>
      </c>
    </row>
    <row r="78" ht="15.75" customHeight="1">
      <c r="C78" s="2" t="str">
        <f>IFERROR(__xludf.DUMMYFUNCTION("""COMPUTED_VALUE"""),"Haití [+]")</f>
        <v>Haití [+]</v>
      </c>
      <c r="D78" s="2">
        <f>IFERROR(__xludf.DUMMYFUNCTION("""COMPUTED_VALUE"""),255.0)</f>
        <v>255</v>
      </c>
      <c r="E78" s="2">
        <f>IFERROR(__xludf.DUMMYFUNCTION("""COMPUTED_VALUE"""),708.0)</f>
        <v>708</v>
      </c>
      <c r="F78" s="2">
        <f>IFERROR(__xludf.DUMMYFUNCTION("""COMPUTED_VALUE"""),963.0)</f>
        <v>963</v>
      </c>
      <c r="G78" s="2">
        <f>IFERROR(__xludf.DUMMYFUNCTION("""COMPUTED_VALUE"""),5.05)</f>
        <v>5.05</v>
      </c>
      <c r="H78" s="7">
        <f>IFERROR(__xludf.DUMMYFUNCTION("""COMPUTED_VALUE"""),14.43)</f>
        <v>14.43</v>
      </c>
      <c r="I78" s="2">
        <f>IFERROR(__xludf.DUMMYFUNCTION("""COMPUTED_VALUE"""),9.68)</f>
        <v>9.68</v>
      </c>
      <c r="J78" s="8">
        <f>IFERROR(__xludf.DUMMYFUNCTION("""COMPUTED_VALUE"""),0.0364)</f>
        <v>0.0364</v>
      </c>
    </row>
    <row r="79" ht="15.75" customHeight="1">
      <c r="C79" s="2" t="str">
        <f>IFERROR(__xludf.DUMMYFUNCTION("""COMPUTED_VALUE"""),"Hungría [+]")</f>
        <v>Hungría [+]</v>
      </c>
      <c r="D79" s="2">
        <f>IFERROR(__xludf.DUMMYFUNCTION("""COMPUTED_VALUE"""),547.0)</f>
        <v>547</v>
      </c>
      <c r="E79" s="6">
        <f>IFERROR(__xludf.DUMMYFUNCTION("""COMPUTED_VALUE"""),1945.0)</f>
        <v>1945</v>
      </c>
      <c r="F79" s="6">
        <f>IFERROR(__xludf.DUMMYFUNCTION("""COMPUTED_VALUE"""),2492.0)</f>
        <v>2492</v>
      </c>
      <c r="G79" s="2">
        <f>IFERROR(__xludf.DUMMYFUNCTION("""COMPUTED_VALUE"""),10.4)</f>
        <v>10.4</v>
      </c>
      <c r="H79" s="7">
        <f>IFERROR(__xludf.DUMMYFUNCTION("""COMPUTED_VALUE"""),40.9)</f>
        <v>40.9</v>
      </c>
      <c r="I79" s="2">
        <f>IFERROR(__xludf.DUMMYFUNCTION("""COMPUTED_VALUE"""),24.9)</f>
        <v>24.9</v>
      </c>
      <c r="J79" s="8">
        <f>IFERROR(__xludf.DUMMYFUNCTION("""COMPUTED_VALUE"""),0.0122)</f>
        <v>0.0122</v>
      </c>
    </row>
    <row r="80" ht="15.75" customHeight="1">
      <c r="C80" s="2" t="str">
        <f>IFERROR(__xludf.DUMMYFUNCTION("""COMPUTED_VALUE"""),"Indonesia [+]")</f>
        <v>Indonesia [+]</v>
      </c>
      <c r="D80" s="6">
        <f>IFERROR(__xludf.DUMMYFUNCTION("""COMPUTED_VALUE"""),2134.0)</f>
        <v>2134</v>
      </c>
      <c r="E80" s="6">
        <f>IFERROR(__xludf.DUMMYFUNCTION("""COMPUTED_VALUE"""),5414.0)</f>
        <v>5414</v>
      </c>
      <c r="F80" s="6">
        <f>IFERROR(__xludf.DUMMYFUNCTION("""COMPUTED_VALUE"""),7548.0)</f>
        <v>7548</v>
      </c>
      <c r="G80" s="2">
        <f>IFERROR(__xludf.DUMMYFUNCTION("""COMPUTED_VALUE"""),1.78)</f>
        <v>1.78</v>
      </c>
      <c r="H80" s="7">
        <f>IFERROR(__xludf.DUMMYFUNCTION("""COMPUTED_VALUE"""),4.44)</f>
        <v>4.44</v>
      </c>
      <c r="I80" s="2">
        <f>IFERROR(__xludf.DUMMYFUNCTION("""COMPUTED_VALUE"""),3.18)</f>
        <v>3.18</v>
      </c>
      <c r="J80" s="8">
        <f>IFERROR(__xludf.DUMMYFUNCTION("""COMPUTED_VALUE"""),-0.0422)</f>
        <v>-0.0422</v>
      </c>
    </row>
    <row r="81" ht="15.75" customHeight="1">
      <c r="C81" s="2" t="str">
        <f>IFERROR(__xludf.DUMMYFUNCTION("""COMPUTED_VALUE"""),"Irlanda [+]")</f>
        <v>Irlanda [+]</v>
      </c>
      <c r="D81" s="2">
        <f>IFERROR(__xludf.DUMMYFUNCTION("""COMPUTED_VALUE"""),101.0)</f>
        <v>101</v>
      </c>
      <c r="E81" s="2">
        <f>IFERROR(__xludf.DUMMYFUNCTION("""COMPUTED_VALUE"""),389.0)</f>
        <v>389</v>
      </c>
      <c r="F81" s="2">
        <f>IFERROR(__xludf.DUMMYFUNCTION("""COMPUTED_VALUE"""),490.0)</f>
        <v>490</v>
      </c>
      <c r="G81" s="2">
        <f>IFERROR(__xludf.DUMMYFUNCTION("""COMPUTED_VALUE"""),4.4)</f>
        <v>4.4</v>
      </c>
      <c r="H81" s="7">
        <f>IFERROR(__xludf.DUMMYFUNCTION("""COMPUTED_VALUE"""),17.2)</f>
        <v>17.2</v>
      </c>
      <c r="I81" s="2">
        <f>IFERROR(__xludf.DUMMYFUNCTION("""COMPUTED_VALUE"""),10.7)</f>
        <v>10.7</v>
      </c>
      <c r="J81" s="8">
        <f>IFERROR(__xludf.DUMMYFUNCTION("""COMPUTED_VALUE"""),-0.123)</f>
        <v>-0.123</v>
      </c>
    </row>
    <row r="82" ht="15.75" customHeight="1">
      <c r="C82" s="2" t="str">
        <f>IFERROR(__xludf.DUMMYFUNCTION("""COMPUTED_VALUE"""),"Israel [+]")</f>
        <v>Israel [+]</v>
      </c>
      <c r="D82" s="2">
        <f>IFERROR(__xludf.DUMMYFUNCTION("""COMPUTED_VALUE"""),84.0)</f>
        <v>84</v>
      </c>
      <c r="E82" s="2">
        <f>IFERROR(__xludf.DUMMYFUNCTION("""COMPUTED_VALUE"""),393.0)</f>
        <v>393</v>
      </c>
      <c r="F82" s="2">
        <f>IFERROR(__xludf.DUMMYFUNCTION("""COMPUTED_VALUE"""),477.0)</f>
        <v>477</v>
      </c>
      <c r="G82" s="2">
        <f>IFERROR(__xludf.DUMMYFUNCTION("""COMPUTED_VALUE"""),2.2)</f>
        <v>2.2</v>
      </c>
      <c r="H82" s="7">
        <f>IFERROR(__xludf.DUMMYFUNCTION("""COMPUTED_VALUE"""),10.4)</f>
        <v>10.4</v>
      </c>
      <c r="I82" s="2">
        <f>IFERROR(__xludf.DUMMYFUNCTION("""COMPUTED_VALUE"""),6.3)</f>
        <v>6.3</v>
      </c>
      <c r="J82" s="8">
        <f>IFERROR(__xludf.DUMMYFUNCTION("""COMPUTED_VALUE"""),0.1667)</f>
        <v>0.1667</v>
      </c>
    </row>
    <row r="83" ht="15.75" customHeight="1">
      <c r="C83" s="2" t="str">
        <f>IFERROR(__xludf.DUMMYFUNCTION("""COMPUTED_VALUE"""),"India [+]")</f>
        <v>India [+]</v>
      </c>
      <c r="D83" s="6">
        <f>IFERROR(__xludf.DUMMYFUNCTION("""COMPUTED_VALUE"""),95001.0)</f>
        <v>95001</v>
      </c>
      <c r="E83" s="6">
        <f>IFERROR(__xludf.DUMMYFUNCTION("""COMPUTED_VALUE"""),115097.0)</f>
        <v>115097</v>
      </c>
      <c r="F83" s="6">
        <f>IFERROR(__xludf.DUMMYFUNCTION("""COMPUTED_VALUE"""),210098.0)</f>
        <v>210098</v>
      </c>
      <c r="G83" s="2">
        <f>IFERROR(__xludf.DUMMYFUNCTION("""COMPUTED_VALUE"""),16.04)</f>
        <v>16.04</v>
      </c>
      <c r="H83" s="7">
        <f>IFERROR(__xludf.DUMMYFUNCTION("""COMPUTED_VALUE"""),17.92)</f>
        <v>17.92</v>
      </c>
      <c r="I83" s="2">
        <f>IFERROR(__xludf.DUMMYFUNCTION("""COMPUTED_VALUE"""),17.02)</f>
        <v>17.02</v>
      </c>
      <c r="J83" s="8">
        <f>IFERROR(__xludf.DUMMYFUNCTION("""COMPUTED_VALUE"""),-0.0133)</f>
        <v>-0.0133</v>
      </c>
    </row>
    <row r="84" ht="15.75" customHeight="1">
      <c r="C84" s="2" t="str">
        <f>IFERROR(__xludf.DUMMYFUNCTION("""COMPUTED_VALUE"""),"Irak [+]")</f>
        <v>Irak [+]</v>
      </c>
      <c r="D84" s="2">
        <f>IFERROR(__xludf.DUMMYFUNCTION("""COMPUTED_VALUE"""),349.0)</f>
        <v>349</v>
      </c>
      <c r="E84" s="2">
        <f>IFERROR(__xludf.DUMMYFUNCTION("""COMPUTED_VALUE"""),460.0)</f>
        <v>460</v>
      </c>
      <c r="F84" s="2">
        <f>IFERROR(__xludf.DUMMYFUNCTION("""COMPUTED_VALUE"""),809.0)</f>
        <v>809</v>
      </c>
      <c r="G84" s="2">
        <f>IFERROR(__xludf.DUMMYFUNCTION("""COMPUTED_VALUE"""),2.37)</f>
        <v>2.37</v>
      </c>
      <c r="H84" s="7">
        <f>IFERROR(__xludf.DUMMYFUNCTION("""COMPUTED_VALUE"""),3.06)</f>
        <v>3.06</v>
      </c>
      <c r="I84" s="2">
        <f>IFERROR(__xludf.DUMMYFUNCTION("""COMPUTED_VALUE"""),2.61)</f>
        <v>2.61</v>
      </c>
      <c r="J84" s="8">
        <f>IFERROR(__xludf.DUMMYFUNCTION("""COMPUTED_VALUE"""),0.0195)</f>
        <v>0.0195</v>
      </c>
    </row>
    <row r="85" ht="15.75" customHeight="1">
      <c r="C85" s="2" t="str">
        <f>IFERROR(__xludf.DUMMYFUNCTION("""COMPUTED_VALUE"""),"Irán [+]")</f>
        <v>Irán [+]</v>
      </c>
      <c r="D85" s="6">
        <f>IFERROR(__xludf.DUMMYFUNCTION("""COMPUTED_VALUE"""),1619.0)</f>
        <v>1619</v>
      </c>
      <c r="E85" s="6">
        <f>IFERROR(__xludf.DUMMYFUNCTION("""COMPUTED_VALUE"""),2903.0)</f>
        <v>2903</v>
      </c>
      <c r="F85" s="6">
        <f>IFERROR(__xludf.DUMMYFUNCTION("""COMPUTED_VALUE"""),4522.0)</f>
        <v>4522</v>
      </c>
      <c r="G85" s="2">
        <f>IFERROR(__xludf.DUMMYFUNCTION("""COMPUTED_VALUE"""),4.43)</f>
        <v>4.43</v>
      </c>
      <c r="H85" s="7">
        <f>IFERROR(__xludf.DUMMYFUNCTION("""COMPUTED_VALUE"""),7.81)</f>
        <v>7.81</v>
      </c>
      <c r="I85" s="2">
        <f>IFERROR(__xludf.DUMMYFUNCTION("""COMPUTED_VALUE"""),6.1)</f>
        <v>6.1</v>
      </c>
      <c r="J85" s="8">
        <f>IFERROR(__xludf.DUMMYFUNCTION("""COMPUTED_VALUE"""),-0.2668)</f>
        <v>-0.2668</v>
      </c>
    </row>
    <row r="86" ht="15.75" customHeight="1">
      <c r="C86" s="2" t="str">
        <f>IFERROR(__xludf.DUMMYFUNCTION("""COMPUTED_VALUE"""),"Islandia [+]")</f>
        <v>Islandia [+]</v>
      </c>
      <c r="D86" s="5">
        <f>IFERROR(__xludf.DUMMYFUNCTION("""COMPUTED_VALUE"""),10.0)</f>
        <v>10</v>
      </c>
      <c r="E86" s="2">
        <f>IFERROR(__xludf.DUMMYFUNCTION("""COMPUTED_VALUE"""),36.0)</f>
        <v>36</v>
      </c>
      <c r="F86" s="2">
        <f>IFERROR(__xludf.DUMMYFUNCTION("""COMPUTED_VALUE"""),46.0)</f>
        <v>46</v>
      </c>
      <c r="G86" s="2">
        <f>IFERROR(__xludf.DUMMYFUNCTION("""COMPUTED_VALUE"""),6.3)</f>
        <v>6.3</v>
      </c>
      <c r="H86" s="7">
        <f>IFERROR(__xludf.DUMMYFUNCTION("""COMPUTED_VALUE"""),22.5)</f>
        <v>22.5</v>
      </c>
      <c r="I86" s="2">
        <f>IFERROR(__xludf.DUMMYFUNCTION("""COMPUTED_VALUE"""),14.5)</f>
        <v>14.5</v>
      </c>
      <c r="J86" s="8">
        <f>IFERROR(__xludf.DUMMYFUNCTION("""COMPUTED_VALUE"""),0.2832)</f>
        <v>0.2832</v>
      </c>
    </row>
    <row r="87" ht="15.75" customHeight="1">
      <c r="C87" s="2" t="str">
        <f>IFERROR(__xludf.DUMMYFUNCTION("""COMPUTED_VALUE"""),"Jamaica [+]")</f>
        <v>Jamaica [+]</v>
      </c>
      <c r="D87" s="5">
        <f>IFERROR(__xludf.DUMMYFUNCTION("""COMPUTED_VALUE"""),2.0)</f>
        <v>2</v>
      </c>
      <c r="E87" s="2">
        <f>IFERROR(__xludf.DUMMYFUNCTION("""COMPUTED_VALUE"""),12.0)</f>
        <v>12</v>
      </c>
      <c r="F87" s="6">
        <f>IFERROR(__xludf.DUMMYFUNCTION("""COMPUTED_VALUE"""),14.0)</f>
        <v>14</v>
      </c>
      <c r="G87" s="2">
        <f>IFERROR(__xludf.DUMMYFUNCTION("""COMPUTED_VALUE"""),0.15)</f>
        <v>0.15</v>
      </c>
      <c r="H87" s="7">
        <f>IFERROR(__xludf.DUMMYFUNCTION("""COMPUTED_VALUE"""),0.83)</f>
        <v>0.83</v>
      </c>
      <c r="I87" s="2">
        <f>IFERROR(__xludf.DUMMYFUNCTION("""COMPUTED_VALUE"""),0.51)</f>
        <v>0.51</v>
      </c>
      <c r="J87" s="8">
        <f>IFERROR(__xludf.DUMMYFUNCTION("""COMPUTED_VALUE"""),-0.5278)</f>
        <v>-0.5278</v>
      </c>
    </row>
    <row r="88" ht="15.75" customHeight="1">
      <c r="C88" s="2" t="str">
        <f>IFERROR(__xludf.DUMMYFUNCTION("""COMPUTED_VALUE"""),"Jordania [+]")</f>
        <v>Jordania [+]</v>
      </c>
      <c r="D88" s="5">
        <f>IFERROR(__xludf.DUMMYFUNCTION("""COMPUTED_VALUE"""),64.0)</f>
        <v>64</v>
      </c>
      <c r="E88" s="2">
        <f>IFERROR(__xludf.DUMMYFUNCTION("""COMPUTED_VALUE"""),150.0)</f>
        <v>150</v>
      </c>
      <c r="F88" s="6">
        <f>IFERROR(__xludf.DUMMYFUNCTION("""COMPUTED_VALUE"""),214.0)</f>
        <v>214</v>
      </c>
      <c r="G88" s="2">
        <f>IFERROR(__xludf.DUMMYFUNCTION("""COMPUTED_VALUE"""),1.79)</f>
        <v>1.79</v>
      </c>
      <c r="H88" s="7">
        <f>IFERROR(__xludf.DUMMYFUNCTION("""COMPUTED_VALUE"""),4.05)</f>
        <v>4.05</v>
      </c>
      <c r="I88" s="2">
        <f>IFERROR(__xludf.DUMMYFUNCTION("""COMPUTED_VALUE"""),2.94)</f>
        <v>2.94</v>
      </c>
      <c r="J88" s="8">
        <f>IFERROR(__xludf.DUMMYFUNCTION("""COMPUTED_VALUE"""),-0.02)</f>
        <v>-0.02</v>
      </c>
    </row>
    <row r="89" ht="15.75" customHeight="1">
      <c r="C89" s="2" t="str">
        <f>IFERROR(__xludf.DUMMYFUNCTION("""COMPUTED_VALUE"""),"Kenia [+]")</f>
        <v>Kenia [+]</v>
      </c>
      <c r="D89" s="2">
        <f>IFERROR(__xludf.DUMMYFUNCTION("""COMPUTED_VALUE"""),559.0)</f>
        <v>559</v>
      </c>
      <c r="E89" s="6">
        <f>IFERROR(__xludf.DUMMYFUNCTION("""COMPUTED_VALUE"""),2147.0)</f>
        <v>2147</v>
      </c>
      <c r="F89" s="6">
        <f>IFERROR(__xludf.DUMMYFUNCTION("""COMPUTED_VALUE"""),2706.0)</f>
        <v>2706</v>
      </c>
      <c r="G89" s="2">
        <f>IFERROR(__xludf.DUMMYFUNCTION("""COMPUTED_VALUE"""),2.64)</f>
        <v>2.64</v>
      </c>
      <c r="H89" s="7">
        <f>IFERROR(__xludf.DUMMYFUNCTION("""COMPUTED_VALUE"""),10.29)</f>
        <v>10.29</v>
      </c>
      <c r="I89" s="2">
        <f>IFERROR(__xludf.DUMMYFUNCTION("""COMPUTED_VALUE"""),7.01)</f>
        <v>7.01</v>
      </c>
      <c r="J89" s="8">
        <f>IFERROR(__xludf.DUMMYFUNCTION("""COMPUTED_VALUE"""),-0.0071)</f>
        <v>-0.0071</v>
      </c>
    </row>
    <row r="90" ht="15.75" customHeight="1">
      <c r="C90" s="2" t="str">
        <f>IFERROR(__xludf.DUMMYFUNCTION("""COMPUTED_VALUE"""),"Kirguistán [+]")</f>
        <v>Kirguistán [+]</v>
      </c>
      <c r="D90" s="2">
        <f>IFERROR(__xludf.DUMMYFUNCTION("""COMPUTED_VALUE"""),109.0)</f>
        <v>109</v>
      </c>
      <c r="E90" s="2">
        <f>IFERROR(__xludf.DUMMYFUNCTION("""COMPUTED_VALUE"""),365.0)</f>
        <v>365</v>
      </c>
      <c r="F90" s="2">
        <f>IFERROR(__xludf.DUMMYFUNCTION("""COMPUTED_VALUE"""),474.0)</f>
        <v>474</v>
      </c>
      <c r="G90" s="2">
        <f>IFERROR(__xludf.DUMMYFUNCTION("""COMPUTED_VALUE"""),3.97)</f>
        <v>3.97</v>
      </c>
      <c r="H90" s="7">
        <f>IFERROR(__xludf.DUMMYFUNCTION("""COMPUTED_VALUE"""),13.56)</f>
        <v>13.56</v>
      </c>
      <c r="I90" s="2">
        <f>IFERROR(__xludf.DUMMYFUNCTION("""COMPUTED_VALUE"""),8.76)</f>
        <v>8.76</v>
      </c>
      <c r="J90" s="8">
        <f>IFERROR(__xludf.DUMMYFUNCTION("""COMPUTED_VALUE"""),-0.0798)</f>
        <v>-0.0798</v>
      </c>
    </row>
    <row r="91" ht="15.75" customHeight="1">
      <c r="C91" s="2" t="str">
        <f>IFERROR(__xludf.DUMMYFUNCTION("""COMPUTED_VALUE"""),"Camboya [+]")</f>
        <v>Camboya [+]</v>
      </c>
      <c r="D91" s="5">
        <f>IFERROR(__xludf.DUMMYFUNCTION("""COMPUTED_VALUE"""),610.0)</f>
        <v>610</v>
      </c>
      <c r="E91" s="6">
        <f>IFERROR(__xludf.DUMMYFUNCTION("""COMPUTED_VALUE"""),1004.0)</f>
        <v>1004</v>
      </c>
      <c r="F91" s="6">
        <f>IFERROR(__xludf.DUMMYFUNCTION("""COMPUTED_VALUE"""),1614.0)</f>
        <v>1614</v>
      </c>
      <c r="G91" s="2">
        <f>IFERROR(__xludf.DUMMYFUNCTION("""COMPUTED_VALUE"""),8.3)</f>
        <v>8.3</v>
      </c>
      <c r="H91" s="7">
        <f>IFERROR(__xludf.DUMMYFUNCTION("""COMPUTED_VALUE"""),14.41)</f>
        <v>14.41</v>
      </c>
      <c r="I91" s="2">
        <f>IFERROR(__xludf.DUMMYFUNCTION("""COMPUTED_VALUE"""),11.33)</f>
        <v>11.33</v>
      </c>
      <c r="J91" s="8">
        <f>IFERROR(__xludf.DUMMYFUNCTION("""COMPUTED_VALUE"""),0.0098)</f>
        <v>0.0098</v>
      </c>
    </row>
    <row r="92" ht="15.75" customHeight="1">
      <c r="C92" s="2" t="str">
        <f>IFERROR(__xludf.DUMMYFUNCTION("""COMPUTED_VALUE"""),"Kiribati [+]")</f>
        <v>Kiribati [+]</v>
      </c>
      <c r="D92" s="5">
        <f>IFERROR(__xludf.DUMMYFUNCTION("""COMPUTED_VALUE"""),4.0)</f>
        <v>4</v>
      </c>
      <c r="E92" s="2">
        <f>IFERROR(__xludf.DUMMYFUNCTION("""COMPUTED_VALUE"""),12.0)</f>
        <v>12</v>
      </c>
      <c r="F92" s="2">
        <f>IFERROR(__xludf.DUMMYFUNCTION("""COMPUTED_VALUE"""),15.0)</f>
        <v>15</v>
      </c>
      <c r="G92" s="2">
        <f>IFERROR(__xludf.DUMMYFUNCTION("""COMPUTED_VALUE"""),6.86)</f>
        <v>6.86</v>
      </c>
      <c r="H92" s="7">
        <f>IFERROR(__xludf.DUMMYFUNCTION("""COMPUTED_VALUE"""),23.49)</f>
        <v>23.49</v>
      </c>
      <c r="I92" s="2">
        <f>IFERROR(__xludf.DUMMYFUNCTION("""COMPUTED_VALUE"""),15.04)</f>
        <v>15.04</v>
      </c>
      <c r="J92" s="8">
        <f>IFERROR(__xludf.DUMMYFUNCTION("""COMPUTED_VALUE"""),0.019)</f>
        <v>0.019</v>
      </c>
    </row>
    <row r="93" ht="15.75" customHeight="1">
      <c r="C93" s="2" t="str">
        <f>IFERROR(__xludf.DUMMYFUNCTION("""COMPUTED_VALUE"""),"Comoras [+]")</f>
        <v>Comoras [+]</v>
      </c>
      <c r="D93" s="2">
        <f>IFERROR(__xludf.DUMMYFUNCTION("""COMPUTED_VALUE"""),19.0)</f>
        <v>19</v>
      </c>
      <c r="E93" s="2">
        <f>IFERROR(__xludf.DUMMYFUNCTION("""COMPUTED_VALUE"""),35.0)</f>
        <v>35</v>
      </c>
      <c r="F93" s="2">
        <f>IFERROR(__xludf.DUMMYFUNCTION("""COMPUTED_VALUE"""),54.0)</f>
        <v>54</v>
      </c>
      <c r="G93" s="2">
        <f>IFERROR(__xludf.DUMMYFUNCTION("""COMPUTED_VALUE"""),5.56)</f>
        <v>5.56</v>
      </c>
      <c r="H93" s="7">
        <f>IFERROR(__xludf.DUMMYFUNCTION("""COMPUTED_VALUE"""),10.07)</f>
        <v>10.07</v>
      </c>
      <c r="I93" s="2">
        <f>IFERROR(__xludf.DUMMYFUNCTION("""COMPUTED_VALUE"""),7.86)</f>
        <v>7.86</v>
      </c>
      <c r="J93" s="8">
        <f>IFERROR(__xludf.DUMMYFUNCTION("""COMPUTED_VALUE"""),0.1491)</f>
        <v>0.1491</v>
      </c>
    </row>
    <row r="94" ht="15.75" customHeight="1">
      <c r="C94" s="2" t="str">
        <f>IFERROR(__xludf.DUMMYFUNCTION("""COMPUTED_VALUE"""),"Corea del Norte [+]")</f>
        <v>Corea del Norte [+]</v>
      </c>
      <c r="D94" s="5">
        <f>IFERROR(__xludf.DUMMYFUNCTION("""COMPUTED_VALUE"""),2359.0)</f>
        <v>2359</v>
      </c>
      <c r="E94" s="6">
        <f>IFERROR(__xludf.DUMMYFUNCTION("""COMPUTED_VALUE"""),2301.0)</f>
        <v>2301</v>
      </c>
      <c r="F94" s="6">
        <f>IFERROR(__xludf.DUMMYFUNCTION("""COMPUTED_VALUE"""),4660.0)</f>
        <v>4660</v>
      </c>
      <c r="G94" s="2">
        <f>IFERROR(__xludf.DUMMYFUNCTION("""COMPUTED_VALUE"""),18.79)</f>
        <v>18.79</v>
      </c>
      <c r="H94" s="7">
        <f>IFERROR(__xludf.DUMMYFUNCTION("""COMPUTED_VALUE"""),19.18)</f>
        <v>19.18</v>
      </c>
      <c r="I94" s="2">
        <f>IFERROR(__xludf.DUMMYFUNCTION("""COMPUTED_VALUE"""),18.98)</f>
        <v>18.98</v>
      </c>
      <c r="J94" s="8">
        <f>IFERROR(__xludf.DUMMYFUNCTION("""COMPUTED_VALUE"""),-0.0472)</f>
        <v>-0.0472</v>
      </c>
    </row>
    <row r="95" ht="15.75" customHeight="1">
      <c r="C95" s="2" t="str">
        <f>IFERROR(__xludf.DUMMYFUNCTION("""COMPUTED_VALUE"""),"Corea del Sur [+]")</f>
        <v>Corea del Sur [+]</v>
      </c>
      <c r="D95" s="6">
        <f>IFERROR(__xludf.DUMMYFUNCTION("""COMPUTED_VALUE"""),5237.0)</f>
        <v>5237</v>
      </c>
      <c r="E95" s="6">
        <f>IFERROR(__xludf.DUMMYFUNCTION("""COMPUTED_VALUE"""),10329.0)</f>
        <v>10329</v>
      </c>
      <c r="F95" s="6">
        <f>IFERROR(__xludf.DUMMYFUNCTION("""COMPUTED_VALUE"""),15566.0)</f>
        <v>15566</v>
      </c>
      <c r="G95" s="2">
        <f>IFERROR(__xludf.DUMMYFUNCTION("""COMPUTED_VALUE"""),21.2)</f>
        <v>21.2</v>
      </c>
      <c r="H95" s="7">
        <f>IFERROR(__xludf.DUMMYFUNCTION("""COMPUTED_VALUE"""),41.5)</f>
        <v>41.5</v>
      </c>
      <c r="I95" s="2">
        <f>IFERROR(__xludf.DUMMYFUNCTION("""COMPUTED_VALUE"""),31.4)</f>
        <v>31.4</v>
      </c>
      <c r="J95" s="8">
        <f>IFERROR(__xludf.DUMMYFUNCTION("""COMPUTED_VALUE"""),0.0032)</f>
        <v>0.0032</v>
      </c>
    </row>
    <row r="96" ht="15.75" customHeight="1">
      <c r="C96" s="2" t="str">
        <f>IFERROR(__xludf.DUMMYFUNCTION("""COMPUTED_VALUE"""),"Kuwait [+]")</f>
        <v>Kuwait [+]</v>
      </c>
      <c r="D96" s="5">
        <f>IFERROR(__xludf.DUMMYFUNCTION("""COMPUTED_VALUE"""),26.0)</f>
        <v>26</v>
      </c>
      <c r="E96" s="2">
        <f>IFERROR(__xludf.DUMMYFUNCTION("""COMPUTED_VALUE"""),80.0)</f>
        <v>80</v>
      </c>
      <c r="F96" s="6">
        <f>IFERROR(__xludf.DUMMYFUNCTION("""COMPUTED_VALUE"""),106.0)</f>
        <v>106</v>
      </c>
      <c r="G96" s="2">
        <f>IFERROR(__xludf.DUMMYFUNCTION("""COMPUTED_VALUE"""),2.05)</f>
        <v>2.05</v>
      </c>
      <c r="H96" s="7">
        <f>IFERROR(__xludf.DUMMYFUNCTION("""COMPUTED_VALUE"""),4.63)</f>
        <v>4.63</v>
      </c>
      <c r="I96" s="2">
        <f>IFERROR(__xludf.DUMMYFUNCTION("""COMPUTED_VALUE"""),2.96)</f>
        <v>2.96</v>
      </c>
      <c r="J96" s="8">
        <f>IFERROR(__xludf.DUMMYFUNCTION("""COMPUTED_VALUE"""),0.1654)</f>
        <v>0.1654</v>
      </c>
    </row>
    <row r="97" ht="15.75" customHeight="1">
      <c r="C97" s="2" t="str">
        <f>IFERROR(__xludf.DUMMYFUNCTION("""COMPUTED_VALUE"""),"Kazajistán [+]")</f>
        <v>Kazajistán [+]</v>
      </c>
      <c r="D97" s="5">
        <f>IFERROR(__xludf.DUMMYFUNCTION("""COMPUTED_VALUE"""),786.0)</f>
        <v>786</v>
      </c>
      <c r="E97" s="6">
        <f>IFERROR(__xludf.DUMMYFUNCTION("""COMPUTED_VALUE"""),3560.0)</f>
        <v>3560</v>
      </c>
      <c r="F97" s="6">
        <f>IFERROR(__xludf.DUMMYFUNCTION("""COMPUTED_VALUE"""),4346.0)</f>
        <v>4346</v>
      </c>
      <c r="G97" s="2">
        <f>IFERROR(__xludf.DUMMYFUNCTION("""COMPUTED_VALUE"""),9.32)</f>
        <v>9.32</v>
      </c>
      <c r="H97" s="7">
        <f>IFERROR(__xludf.DUMMYFUNCTION("""COMPUTED_VALUE"""),45.12)</f>
        <v>45.12</v>
      </c>
      <c r="I97" s="2">
        <f>IFERROR(__xludf.DUMMYFUNCTION("""COMPUTED_VALUE"""),26.43)</f>
        <v>26.43</v>
      </c>
      <c r="J97" s="8">
        <f>IFERROR(__xludf.DUMMYFUNCTION("""COMPUTED_VALUE"""),-0.0561)</f>
        <v>-0.0561</v>
      </c>
    </row>
    <row r="98" ht="15.75" customHeight="1">
      <c r="C98" s="2" t="str">
        <f>IFERROR(__xludf.DUMMYFUNCTION("""COMPUTED_VALUE"""),"Laos [+]")</f>
        <v>Laos [+]</v>
      </c>
      <c r="D98" s="2">
        <f>IFERROR(__xludf.DUMMYFUNCTION("""COMPUTED_VALUE"""),317.0)</f>
        <v>317</v>
      </c>
      <c r="E98" s="2">
        <f>IFERROR(__xludf.DUMMYFUNCTION("""COMPUTED_VALUE"""),492.0)</f>
        <v>492</v>
      </c>
      <c r="F98" s="2">
        <f>IFERROR(__xludf.DUMMYFUNCTION("""COMPUTED_VALUE"""),810.0)</f>
        <v>810</v>
      </c>
      <c r="G98" s="2">
        <f>IFERROR(__xludf.DUMMYFUNCTION("""COMPUTED_VALUE"""),10.08)</f>
        <v>10.08</v>
      </c>
      <c r="H98" s="7">
        <f>IFERROR(__xludf.DUMMYFUNCTION("""COMPUTED_VALUE"""),15.88)</f>
        <v>15.88</v>
      </c>
      <c r="I98" s="2">
        <f>IFERROR(__xludf.DUMMYFUNCTION("""COMPUTED_VALUE"""),12.96)</f>
        <v>12.96</v>
      </c>
      <c r="J98" s="8">
        <f>IFERROR(__xludf.DUMMYFUNCTION("""COMPUTED_VALUE"""),-0.0061)</f>
        <v>-0.0061</v>
      </c>
    </row>
    <row r="99" ht="15.75" customHeight="1">
      <c r="C99" s="2" t="str">
        <f>IFERROR(__xludf.DUMMYFUNCTION("""COMPUTED_VALUE"""),"Líbano [+]")</f>
        <v>Líbano [+]</v>
      </c>
      <c r="D99" s="2">
        <f>IFERROR(__xludf.DUMMYFUNCTION("""COMPUTED_VALUE"""),43.0)</f>
        <v>43</v>
      </c>
      <c r="E99" s="2">
        <f>IFERROR(__xludf.DUMMYFUNCTION("""COMPUTED_VALUE"""),80.0)</f>
        <v>80</v>
      </c>
      <c r="F99" s="2">
        <f>IFERROR(__xludf.DUMMYFUNCTION("""COMPUTED_VALUE"""),122.0)</f>
        <v>122</v>
      </c>
      <c r="G99" s="2">
        <f>IFERROR(__xludf.DUMMYFUNCTION("""COMPUTED_VALUE"""),1.76)</f>
        <v>1.76</v>
      </c>
      <c r="H99" s="7">
        <f>IFERROR(__xludf.DUMMYFUNCTION("""COMPUTED_VALUE"""),3.16)</f>
        <v>3.16</v>
      </c>
      <c r="I99" s="2">
        <f>IFERROR(__xludf.DUMMYFUNCTION("""COMPUTED_VALUE"""),2.47)</f>
        <v>2.47</v>
      </c>
      <c r="J99" s="4">
        <f>IFERROR(__xludf.DUMMYFUNCTION("""COMPUTED_VALUE"""),0.0)</f>
        <v>0</v>
      </c>
    </row>
    <row r="100" ht="15.75" customHeight="1">
      <c r="C100" s="2" t="str">
        <f>IFERROR(__xludf.DUMMYFUNCTION("""COMPUTED_VALUE"""),"Santa Lucía [+]")</f>
        <v>Santa Lucía [+]</v>
      </c>
      <c r="D100" s="2">
        <f>IFERROR(__xludf.DUMMYFUNCTION("""COMPUTED_VALUE"""),2.0)</f>
        <v>2</v>
      </c>
      <c r="E100" s="2">
        <f>IFERROR(__xludf.DUMMYFUNCTION("""COMPUTED_VALUE"""),9.0)</f>
        <v>9</v>
      </c>
      <c r="F100" s="2">
        <f>IFERROR(__xludf.DUMMYFUNCTION("""COMPUTED_VALUE"""),11.0)</f>
        <v>11</v>
      </c>
      <c r="G100" s="2">
        <f>IFERROR(__xludf.DUMMYFUNCTION("""COMPUTED_VALUE"""),2.13)</f>
        <v>2.13</v>
      </c>
      <c r="H100" s="7">
        <f>IFERROR(__xludf.DUMMYFUNCTION("""COMPUTED_VALUE"""),11.04)</f>
        <v>11.04</v>
      </c>
      <c r="I100" s="2">
        <f>IFERROR(__xludf.DUMMYFUNCTION("""COMPUTED_VALUE"""),6.83)</f>
        <v>6.83</v>
      </c>
      <c r="J100" s="8">
        <f>IFERROR(__xludf.DUMMYFUNCTION("""COMPUTED_VALUE"""),1.0147)</f>
        <v>1.0147</v>
      </c>
    </row>
    <row r="101" ht="15.75" customHeight="1">
      <c r="C101" s="2" t="str">
        <f>IFERROR(__xludf.DUMMYFUNCTION("""COMPUTED_VALUE"""),"Sri Lanka [+]")</f>
        <v>Sri Lanka [+]</v>
      </c>
      <c r="D101" s="5">
        <f>IFERROR(__xludf.DUMMYFUNCTION("""COMPUTED_VALUE"""),1215.0)</f>
        <v>1215</v>
      </c>
      <c r="E101" s="6">
        <f>IFERROR(__xludf.DUMMYFUNCTION("""COMPUTED_VALUE"""),4570.0)</f>
        <v>4570</v>
      </c>
      <c r="F101" s="6">
        <f>IFERROR(__xludf.DUMMYFUNCTION("""COMPUTED_VALUE"""),5786.0)</f>
        <v>5786</v>
      </c>
      <c r="G101" s="2">
        <f>IFERROR(__xludf.DUMMYFUNCTION("""COMPUTED_VALUE"""),11.69)</f>
        <v>11.69</v>
      </c>
      <c r="H101" s="7">
        <f>IFERROR(__xludf.DUMMYFUNCTION("""COMPUTED_VALUE"""),46.32)</f>
        <v>46.32</v>
      </c>
      <c r="I101" s="2">
        <f>IFERROR(__xludf.DUMMYFUNCTION("""COMPUTED_VALUE"""),28.56)</f>
        <v>28.56</v>
      </c>
      <c r="J101" s="8">
        <f>IFERROR(__xludf.DUMMYFUNCTION("""COMPUTED_VALUE"""),0.031)</f>
        <v>0.031</v>
      </c>
    </row>
    <row r="102" ht="15.75" customHeight="1">
      <c r="C102" s="2" t="str">
        <f>IFERROR(__xludf.DUMMYFUNCTION("""COMPUTED_VALUE"""),"Liberia [+]")</f>
        <v>Liberia [+]</v>
      </c>
      <c r="D102" s="2">
        <f>IFERROR(__xludf.DUMMYFUNCTION("""COMPUTED_VALUE"""),52.0)</f>
        <v>52</v>
      </c>
      <c r="E102" s="2">
        <f>IFERROR(__xludf.DUMMYFUNCTION("""COMPUTED_VALUE"""),198.0)</f>
        <v>198</v>
      </c>
      <c r="F102" s="2">
        <f>IFERROR(__xludf.DUMMYFUNCTION("""COMPUTED_VALUE"""),250.0)</f>
        <v>250</v>
      </c>
      <c r="G102" s="2">
        <f>IFERROR(__xludf.DUMMYFUNCTION("""COMPUTED_VALUE"""),2.66)</f>
        <v>2.66</v>
      </c>
      <c r="H102" s="7">
        <f>IFERROR(__xludf.DUMMYFUNCTION("""COMPUTED_VALUE"""),10.18)</f>
        <v>10.18</v>
      </c>
      <c r="I102" s="2">
        <f>IFERROR(__xludf.DUMMYFUNCTION("""COMPUTED_VALUE"""),6.42)</f>
        <v>6.42</v>
      </c>
      <c r="J102" s="8">
        <f>IFERROR(__xludf.DUMMYFUNCTION("""COMPUTED_VALUE"""),0.0158)</f>
        <v>0.0158</v>
      </c>
    </row>
    <row r="103" ht="15.75" customHeight="1">
      <c r="C103" s="2" t="str">
        <f>IFERROR(__xludf.DUMMYFUNCTION("""COMPUTED_VALUE"""),"Lesoto [+]")</f>
        <v>Lesoto [+]</v>
      </c>
      <c r="D103" s="5">
        <f>IFERROR(__xludf.DUMMYFUNCTION("""COMPUTED_VALUE"""),66.0)</f>
        <v>66</v>
      </c>
      <c r="E103" s="2">
        <f>IFERROR(__xludf.DUMMYFUNCTION("""COMPUTED_VALUE"""),157.0)</f>
        <v>157</v>
      </c>
      <c r="F103" s="6">
        <f>IFERROR(__xludf.DUMMYFUNCTION("""COMPUTED_VALUE"""),223.0)</f>
        <v>223</v>
      </c>
      <c r="G103" s="2">
        <f>IFERROR(__xludf.DUMMYFUNCTION("""COMPUTED_VALUE"""),6.46)</f>
        <v>6.46</v>
      </c>
      <c r="H103" s="7">
        <f>IFERROR(__xludf.DUMMYFUNCTION("""COMPUTED_VALUE"""),16.2)</f>
        <v>16.2</v>
      </c>
      <c r="I103" s="2">
        <f>IFERROR(__xludf.DUMMYFUNCTION("""COMPUTED_VALUE"""),11.59)</f>
        <v>11.59</v>
      </c>
      <c r="J103" s="8">
        <f>IFERROR(__xludf.DUMMYFUNCTION("""COMPUTED_VALUE"""),-0.0043)</f>
        <v>-0.0043</v>
      </c>
    </row>
    <row r="104" ht="15.75" customHeight="1">
      <c r="C104" s="2" t="str">
        <f>IFERROR(__xludf.DUMMYFUNCTION("""COMPUTED_VALUE"""),"Lituania [+]")</f>
        <v>Lituania [+]</v>
      </c>
      <c r="D104" s="5">
        <f>IFERROR(__xludf.DUMMYFUNCTION("""COMPUTED_VALUE"""),189.0)</f>
        <v>189</v>
      </c>
      <c r="E104" s="2">
        <f>IFERROR(__xludf.DUMMYFUNCTION("""COMPUTED_VALUE"""),829.0)</f>
        <v>829</v>
      </c>
      <c r="F104" s="6">
        <f>IFERROR(__xludf.DUMMYFUNCTION("""COMPUTED_VALUE"""),1018.0)</f>
        <v>1018</v>
      </c>
      <c r="G104" s="2">
        <f>IFERROR(__xludf.DUMMYFUNCTION("""COMPUTED_VALUE"""),11.3)</f>
        <v>11.3</v>
      </c>
      <c r="H104" s="7">
        <f>IFERROR(__xludf.DUMMYFUNCTION("""COMPUTED_VALUE"""),58.0)</f>
        <v>58</v>
      </c>
      <c r="I104" s="2">
        <f>IFERROR(__xludf.DUMMYFUNCTION("""COMPUTED_VALUE"""),32.9)</f>
        <v>32.9</v>
      </c>
      <c r="J104" s="8">
        <f>IFERROR(__xludf.DUMMYFUNCTION("""COMPUTED_VALUE"""),-0.0861)</f>
        <v>-0.0861</v>
      </c>
    </row>
    <row r="105" ht="15.75" customHeight="1">
      <c r="C105" s="2" t="str">
        <f>IFERROR(__xludf.DUMMYFUNCTION("""COMPUTED_VALUE"""),"Luxemburgo [+]")</f>
        <v>Luxemburgo [+]</v>
      </c>
      <c r="D105" s="2">
        <f>IFERROR(__xludf.DUMMYFUNCTION("""COMPUTED_VALUE"""),11.0)</f>
        <v>11</v>
      </c>
      <c r="E105" s="2">
        <f>IFERROR(__xludf.DUMMYFUNCTION("""COMPUTED_VALUE"""),43.0)</f>
        <v>43</v>
      </c>
      <c r="F105" s="2">
        <f>IFERROR(__xludf.DUMMYFUNCTION("""COMPUTED_VALUE"""),54.0)</f>
        <v>54</v>
      </c>
      <c r="G105" s="2">
        <f>IFERROR(__xludf.DUMMYFUNCTION("""COMPUTED_VALUE"""),4.3)</f>
        <v>4.3</v>
      </c>
      <c r="H105" s="7">
        <f>IFERROR(__xludf.DUMMYFUNCTION("""COMPUTED_VALUE"""),17.1)</f>
        <v>17.1</v>
      </c>
      <c r="I105" s="2">
        <f>IFERROR(__xludf.DUMMYFUNCTION("""COMPUTED_VALUE"""),10.7)</f>
        <v>10.7</v>
      </c>
      <c r="J105" s="8">
        <f>IFERROR(__xludf.DUMMYFUNCTION("""COMPUTED_VALUE"""),0.1146)</f>
        <v>0.1146</v>
      </c>
    </row>
    <row r="106" ht="15.75" customHeight="1">
      <c r="C106" s="2" t="str">
        <f>IFERROR(__xludf.DUMMYFUNCTION("""COMPUTED_VALUE"""),"Letonia [+]")</f>
        <v>Letonia [+]</v>
      </c>
      <c r="D106" s="2">
        <f>IFERROR(__xludf.DUMMYFUNCTION("""COMPUTED_VALUE"""),62.0)</f>
        <v>62</v>
      </c>
      <c r="E106" s="2">
        <f>IFERROR(__xludf.DUMMYFUNCTION("""COMPUTED_VALUE"""),376.0)</f>
        <v>376</v>
      </c>
      <c r="F106" s="2">
        <f>IFERROR(__xludf.DUMMYFUNCTION("""COMPUTED_VALUE"""),438.0)</f>
        <v>438</v>
      </c>
      <c r="G106" s="2">
        <f>IFERROR(__xludf.DUMMYFUNCTION("""COMPUTED_VALUE"""),5.4)</f>
        <v>5.4</v>
      </c>
      <c r="H106" s="7">
        <f>IFERROR(__xludf.DUMMYFUNCTION("""COMPUTED_VALUE"""),39.2)</f>
        <v>39.2</v>
      </c>
      <c r="I106" s="2">
        <f>IFERROR(__xludf.DUMMYFUNCTION("""COMPUTED_VALUE"""),20.9)</f>
        <v>20.9</v>
      </c>
      <c r="J106" s="8">
        <f>IFERROR(__xludf.DUMMYFUNCTION("""COMPUTED_VALUE"""),-0.1328)</f>
        <v>-0.1328</v>
      </c>
    </row>
    <row r="107" ht="15.75" customHeight="1">
      <c r="C107" s="2" t="str">
        <f>IFERROR(__xludf.DUMMYFUNCTION("""COMPUTED_VALUE"""),"Libia [+]")</f>
        <v>Libia [+]</v>
      </c>
      <c r="D107" s="2">
        <f>IFERROR(__xludf.DUMMYFUNCTION("""COMPUTED_VALUE"""),94.0)</f>
        <v>94</v>
      </c>
      <c r="E107" s="2">
        <f>IFERROR(__xludf.DUMMYFUNCTION("""COMPUTED_VALUE"""),287.0)</f>
        <v>287</v>
      </c>
      <c r="F107" s="2">
        <f>IFERROR(__xludf.DUMMYFUNCTION("""COMPUTED_VALUE"""),381.0)</f>
        <v>381</v>
      </c>
      <c r="G107" s="2">
        <f>IFERROR(__xludf.DUMMYFUNCTION("""COMPUTED_VALUE"""),3.1)</f>
        <v>3.1</v>
      </c>
      <c r="H107" s="7">
        <f>IFERROR(__xludf.DUMMYFUNCTION("""COMPUTED_VALUE"""),9.08)</f>
        <v>9.08</v>
      </c>
      <c r="I107" s="2">
        <f>IFERROR(__xludf.DUMMYFUNCTION("""COMPUTED_VALUE"""),6.31)</f>
        <v>6.31</v>
      </c>
      <c r="J107" s="8">
        <f>IFERROR(__xludf.DUMMYFUNCTION("""COMPUTED_VALUE"""),0.0605)</f>
        <v>0.0605</v>
      </c>
    </row>
    <row r="108" ht="15.75" customHeight="1">
      <c r="C108" s="2" t="str">
        <f>IFERROR(__xludf.DUMMYFUNCTION("""COMPUTED_VALUE"""),"Marruecos [+]")</f>
        <v>Marruecos [+]</v>
      </c>
      <c r="D108" s="2">
        <f>IFERROR(__xludf.DUMMYFUNCTION("""COMPUTED_VALUE"""),598.0)</f>
        <v>598</v>
      </c>
      <c r="E108" s="6">
        <f>IFERROR(__xludf.DUMMYFUNCTION("""COMPUTED_VALUE"""),1113.0)</f>
        <v>1113</v>
      </c>
      <c r="F108" s="6">
        <f>IFERROR(__xludf.DUMMYFUNCTION("""COMPUTED_VALUE"""),1711.0)</f>
        <v>1711</v>
      </c>
      <c r="G108" s="2">
        <f>IFERROR(__xludf.DUMMYFUNCTION("""COMPUTED_VALUE"""),3.65)</f>
        <v>3.65</v>
      </c>
      <c r="H108" s="7">
        <f>IFERROR(__xludf.DUMMYFUNCTION("""COMPUTED_VALUE"""),6.98)</f>
        <v>6.98</v>
      </c>
      <c r="I108" s="2">
        <f>IFERROR(__xludf.DUMMYFUNCTION("""COMPUTED_VALUE"""),5.32)</f>
        <v>5.32</v>
      </c>
      <c r="J108" s="8">
        <f>IFERROR(__xludf.DUMMYFUNCTION("""COMPUTED_VALUE"""),-0.089)</f>
        <v>-0.089</v>
      </c>
    </row>
    <row r="109" ht="15.75" customHeight="1">
      <c r="C109" s="2" t="str">
        <f>IFERROR(__xludf.DUMMYFUNCTION("""COMPUTED_VALUE"""),"Moldavia [+]")</f>
        <v>Moldavia [+]</v>
      </c>
      <c r="D109" s="2">
        <f>IFERROR(__xludf.DUMMYFUNCTION("""COMPUTED_VALUE"""),130.0)</f>
        <v>130</v>
      </c>
      <c r="E109" s="2">
        <f>IFERROR(__xludf.DUMMYFUNCTION("""COMPUTED_VALUE"""),704.0)</f>
        <v>704</v>
      </c>
      <c r="F109" s="2">
        <f>IFERROR(__xludf.DUMMYFUNCTION("""COMPUTED_VALUE"""),834.0)</f>
        <v>834</v>
      </c>
      <c r="G109" s="2">
        <f>IFERROR(__xludf.DUMMYFUNCTION("""COMPUTED_VALUE"""),7.04)</f>
        <v>7.04</v>
      </c>
      <c r="H109" s="7">
        <f>IFERROR(__xludf.DUMMYFUNCTION("""COMPUTED_VALUE"""),41.11)</f>
        <v>41.11</v>
      </c>
      <c r="I109" s="2">
        <f>IFERROR(__xludf.DUMMYFUNCTION("""COMPUTED_VALUE"""),23.42)</f>
        <v>23.42</v>
      </c>
      <c r="J109" s="8">
        <f>IFERROR(__xludf.DUMMYFUNCTION("""COMPUTED_VALUE"""),0.0308)</f>
        <v>0.0308</v>
      </c>
    </row>
    <row r="110" ht="15.75" customHeight="1">
      <c r="C110" s="2" t="str">
        <f>IFERROR(__xludf.DUMMYFUNCTION("""COMPUTED_VALUE"""),"Montenegro [+]")</f>
        <v>Montenegro [+]</v>
      </c>
      <c r="D110" s="2">
        <f>IFERROR(__xludf.DUMMYFUNCTION("""COMPUTED_VALUE"""),22.0)</f>
        <v>22</v>
      </c>
      <c r="E110" s="2">
        <f>IFERROR(__xludf.DUMMYFUNCTION("""COMPUTED_VALUE"""),47.0)</f>
        <v>47</v>
      </c>
      <c r="F110" s="2">
        <f>IFERROR(__xludf.DUMMYFUNCTION("""COMPUTED_VALUE"""),68.0)</f>
        <v>68</v>
      </c>
      <c r="G110" s="2">
        <f>IFERROR(__xludf.DUMMYFUNCTION("""COMPUTED_VALUE"""),6.88)</f>
        <v>6.88</v>
      </c>
      <c r="H110" s="7">
        <f>IFERROR(__xludf.DUMMYFUNCTION("""COMPUTED_VALUE"""),15.28)</f>
        <v>15.28</v>
      </c>
      <c r="I110" s="2">
        <f>IFERROR(__xludf.DUMMYFUNCTION("""COMPUTED_VALUE"""),11.03)</f>
        <v>11.03</v>
      </c>
      <c r="J110" s="8">
        <f>IFERROR(__xludf.DUMMYFUNCTION("""COMPUTED_VALUE"""),-0.0325)</f>
        <v>-0.0325</v>
      </c>
    </row>
    <row r="111" ht="15.75" customHeight="1">
      <c r="C111" s="2" t="str">
        <f>IFERROR(__xludf.DUMMYFUNCTION("""COMPUTED_VALUE"""),"Madagascar [+]")</f>
        <v>Madagascar [+]</v>
      </c>
      <c r="D111" s="2">
        <f>IFERROR(__xludf.DUMMYFUNCTION("""COMPUTED_VALUE"""),305.0)</f>
        <v>305</v>
      </c>
      <c r="E111" s="2">
        <f>IFERROR(__xludf.DUMMYFUNCTION("""COMPUTED_VALUE"""),807.0)</f>
        <v>807</v>
      </c>
      <c r="F111" s="6">
        <f>IFERROR(__xludf.DUMMYFUNCTION("""COMPUTED_VALUE"""),1112.0)</f>
        <v>1112</v>
      </c>
      <c r="G111" s="2">
        <f>IFERROR(__xludf.DUMMYFUNCTION("""COMPUTED_VALUE"""),2.87)</f>
        <v>2.87</v>
      </c>
      <c r="H111" s="7">
        <f>IFERROR(__xludf.DUMMYFUNCTION("""COMPUTED_VALUE"""),7.66)</f>
        <v>7.66</v>
      </c>
      <c r="I111" s="2">
        <f>IFERROR(__xludf.DUMMYFUNCTION("""COMPUTED_VALUE"""),5.49)</f>
        <v>5.49</v>
      </c>
      <c r="J111" s="8">
        <f>IFERROR(__xludf.DUMMYFUNCTION("""COMPUTED_VALUE"""),-0.0266)</f>
        <v>-0.0266</v>
      </c>
    </row>
    <row r="112" ht="15.75" customHeight="1">
      <c r="C112" s="2" t="str">
        <f>IFERROR(__xludf.DUMMYFUNCTION("""COMPUTED_VALUE"""),"Macedonia del Norte [+]")</f>
        <v>Macedonia del Norte [+]</v>
      </c>
      <c r="D112" s="2">
        <f>IFERROR(__xludf.DUMMYFUNCTION("""COMPUTED_VALUE"""),35.0)</f>
        <v>35</v>
      </c>
      <c r="E112" s="2">
        <f>IFERROR(__xludf.DUMMYFUNCTION("""COMPUTED_VALUE"""),87.0)</f>
        <v>87</v>
      </c>
      <c r="F112" s="2">
        <f>IFERROR(__xludf.DUMMYFUNCTION("""COMPUTED_VALUE"""),122.0)</f>
        <v>122</v>
      </c>
      <c r="G112" s="2">
        <f>IFERROR(__xludf.DUMMYFUNCTION("""COMPUTED_VALUE"""),3.4)</f>
        <v>3.4</v>
      </c>
      <c r="H112" s="7">
        <f>IFERROR(__xludf.DUMMYFUNCTION("""COMPUTED_VALUE"""),8.4)</f>
        <v>8.4</v>
      </c>
      <c r="I112" s="2">
        <f>IFERROR(__xludf.DUMMYFUNCTION("""COMPUTED_VALUE"""),5.9)</f>
        <v>5.9</v>
      </c>
      <c r="J112" s="8">
        <f>IFERROR(__xludf.DUMMYFUNCTION("""COMPUTED_VALUE"""),-0.2716)</f>
        <v>-0.2716</v>
      </c>
    </row>
    <row r="113" ht="15.75" customHeight="1">
      <c r="C113" s="2" t="str">
        <f>IFERROR(__xludf.DUMMYFUNCTION("""COMPUTED_VALUE"""),"Malí [+]")</f>
        <v>Malí [+]</v>
      </c>
      <c r="D113" s="2">
        <f>IFERROR(__xludf.DUMMYFUNCTION("""COMPUTED_VALUE"""),285.0)</f>
        <v>285</v>
      </c>
      <c r="E113" s="2">
        <f>IFERROR(__xludf.DUMMYFUNCTION("""COMPUTED_VALUE"""),607.0)</f>
        <v>607</v>
      </c>
      <c r="F113" s="2">
        <f>IFERROR(__xludf.DUMMYFUNCTION("""COMPUTED_VALUE"""),892.0)</f>
        <v>892</v>
      </c>
      <c r="G113" s="2">
        <f>IFERROR(__xludf.DUMMYFUNCTION("""COMPUTED_VALUE"""),3.79)</f>
        <v>3.79</v>
      </c>
      <c r="H113" s="7">
        <f>IFERROR(__xludf.DUMMYFUNCTION("""COMPUTED_VALUE"""),8.08)</f>
        <v>8.08</v>
      </c>
      <c r="I113" s="2">
        <f>IFERROR(__xludf.DUMMYFUNCTION("""COMPUTED_VALUE"""),5.93)</f>
        <v>5.93</v>
      </c>
      <c r="J113" s="8">
        <f>IFERROR(__xludf.DUMMYFUNCTION("""COMPUTED_VALUE"""),-0.0084)</f>
        <v>-0.0084</v>
      </c>
    </row>
    <row r="114" ht="15.75" customHeight="1">
      <c r="C114" s="2" t="str">
        <f>IFERROR(__xludf.DUMMYFUNCTION("""COMPUTED_VALUE"""),"Myanmar [+]")</f>
        <v>Myanmar [+]</v>
      </c>
      <c r="D114" s="2">
        <f>IFERROR(__xludf.DUMMYFUNCTION("""COMPUTED_VALUE"""),774.0)</f>
        <v>774</v>
      </c>
      <c r="E114" s="6">
        <f>IFERROR(__xludf.DUMMYFUNCTION("""COMPUTED_VALUE"""),1127.0)</f>
        <v>1127</v>
      </c>
      <c r="F114" s="6">
        <f>IFERROR(__xludf.DUMMYFUNCTION("""COMPUTED_VALUE"""),1901.0)</f>
        <v>1901</v>
      </c>
      <c r="G114" s="2">
        <f>IFERROR(__xludf.DUMMYFUNCTION("""COMPUTED_VALUE"""),2.95)</f>
        <v>2.95</v>
      </c>
      <c r="H114" s="7">
        <f>IFERROR(__xludf.DUMMYFUNCTION("""COMPUTED_VALUE"""),4.62)</f>
        <v>4.62</v>
      </c>
      <c r="I114" s="2">
        <f>IFERROR(__xludf.DUMMYFUNCTION("""COMPUTED_VALUE"""),3.87)</f>
        <v>3.87</v>
      </c>
      <c r="J114" s="8">
        <f>IFERROR(__xludf.DUMMYFUNCTION("""COMPUTED_VALUE"""),0.0157)</f>
        <v>0.0157</v>
      </c>
    </row>
    <row r="115" ht="15.75" customHeight="1">
      <c r="C115" s="2" t="str">
        <f>IFERROR(__xludf.DUMMYFUNCTION("""COMPUTED_VALUE"""),"Mongolia [+]")</f>
        <v>Mongolia [+]</v>
      </c>
      <c r="D115" s="2">
        <f>IFERROR(__xludf.DUMMYFUNCTION("""COMPUTED_VALUE"""),155.0)</f>
        <v>155</v>
      </c>
      <c r="E115" s="2">
        <f>IFERROR(__xludf.DUMMYFUNCTION("""COMPUTED_VALUE"""),737.0)</f>
        <v>737</v>
      </c>
      <c r="F115" s="2">
        <f>IFERROR(__xludf.DUMMYFUNCTION("""COMPUTED_VALUE"""),893.0)</f>
        <v>893</v>
      </c>
      <c r="G115" s="2">
        <f>IFERROR(__xludf.DUMMYFUNCTION("""COMPUTED_VALUE"""),11.34)</f>
        <v>11.34</v>
      </c>
      <c r="H115" s="7">
        <f>IFERROR(__xludf.DUMMYFUNCTION("""COMPUTED_VALUE"""),54.64)</f>
        <v>54.64</v>
      </c>
      <c r="I115" s="2">
        <f>IFERROR(__xludf.DUMMYFUNCTION("""COMPUTED_VALUE"""),32.33)</f>
        <v>32.33</v>
      </c>
      <c r="J115" s="8">
        <f>IFERROR(__xludf.DUMMYFUNCTION("""COMPUTED_VALUE"""),0.2321)</f>
        <v>0.2321</v>
      </c>
    </row>
    <row r="116" ht="15.75" customHeight="1">
      <c r="C116" s="2" t="str">
        <f>IFERROR(__xludf.DUMMYFUNCTION("""COMPUTED_VALUE"""),"Mauritania [+]")</f>
        <v>Mauritania [+]</v>
      </c>
      <c r="D116" s="5">
        <f>IFERROR(__xludf.DUMMYFUNCTION("""COMPUTED_VALUE"""),59.0)</f>
        <v>59</v>
      </c>
      <c r="E116" s="2">
        <f>IFERROR(__xludf.DUMMYFUNCTION("""COMPUTED_VALUE"""),139.0)</f>
        <v>139</v>
      </c>
      <c r="F116" s="2">
        <f>IFERROR(__xludf.DUMMYFUNCTION("""COMPUTED_VALUE"""),199.0)</f>
        <v>199</v>
      </c>
      <c r="G116" s="2">
        <f>IFERROR(__xludf.DUMMYFUNCTION("""COMPUTED_VALUE"""),3.4)</f>
        <v>3.4</v>
      </c>
      <c r="H116" s="7">
        <f>IFERROR(__xludf.DUMMYFUNCTION("""COMPUTED_VALUE"""),7.97)</f>
        <v>7.97</v>
      </c>
      <c r="I116" s="2">
        <f>IFERROR(__xludf.DUMMYFUNCTION("""COMPUTED_VALUE"""),6.05)</f>
        <v>6.05</v>
      </c>
      <c r="J116" s="8">
        <f>IFERROR(__xludf.DUMMYFUNCTION("""COMPUTED_VALUE"""),0.0017)</f>
        <v>0.0017</v>
      </c>
    </row>
    <row r="117" ht="15.75" customHeight="1">
      <c r="C117" s="2" t="str">
        <f>IFERROR(__xludf.DUMMYFUNCTION("""COMPUTED_VALUE"""),"Malta [+]")</f>
        <v>Malta [+]</v>
      </c>
      <c r="D117" s="5">
        <f>IFERROR(__xludf.DUMMYFUNCTION("""COMPUTED_VALUE"""),2.0)</f>
        <v>2</v>
      </c>
      <c r="E117" s="2">
        <f>IFERROR(__xludf.DUMMYFUNCTION("""COMPUTED_VALUE"""),29.0)</f>
        <v>29</v>
      </c>
      <c r="F117" s="2">
        <f>IFERROR(__xludf.DUMMYFUNCTION("""COMPUTED_VALUE"""),31.0)</f>
        <v>31</v>
      </c>
      <c r="G117" s="2">
        <f>IFERROR(__xludf.DUMMYFUNCTION("""COMPUTED_VALUE"""),1.0)</f>
        <v>1</v>
      </c>
      <c r="H117" s="7">
        <f>IFERROR(__xludf.DUMMYFUNCTION("""COMPUTED_VALUE"""),14.1)</f>
        <v>14.1</v>
      </c>
      <c r="I117" s="2">
        <f>IFERROR(__xludf.DUMMYFUNCTION("""COMPUTED_VALUE"""),7.5)</f>
        <v>7.5</v>
      </c>
      <c r="J117" s="8">
        <f>IFERROR(__xludf.DUMMYFUNCTION("""COMPUTED_VALUE"""),-0.1379)</f>
        <v>-0.1379</v>
      </c>
    </row>
    <row r="118" ht="15.75" customHeight="1">
      <c r="C118" s="2" t="str">
        <f>IFERROR(__xludf.DUMMYFUNCTION("""COMPUTED_VALUE"""),"Mauricio [+]")</f>
        <v>Mauricio [+]</v>
      </c>
      <c r="D118" s="2">
        <f>IFERROR(__xludf.DUMMYFUNCTION("""COMPUTED_VALUE"""),23.0)</f>
        <v>23</v>
      </c>
      <c r="E118" s="2">
        <f>IFERROR(__xludf.DUMMYFUNCTION("""COMPUTED_VALUE"""),81.0)</f>
        <v>81</v>
      </c>
      <c r="F118" s="2">
        <f>IFERROR(__xludf.DUMMYFUNCTION("""COMPUTED_VALUE"""),104.0)</f>
        <v>104</v>
      </c>
      <c r="G118" s="2">
        <f>IFERROR(__xludf.DUMMYFUNCTION("""COMPUTED_VALUE"""),3.67)</f>
        <v>3.67</v>
      </c>
      <c r="H118" s="7">
        <f>IFERROR(__xludf.DUMMYFUNCTION("""COMPUTED_VALUE"""),13.03)</f>
        <v>13.03</v>
      </c>
      <c r="I118" s="2">
        <f>IFERROR(__xludf.DUMMYFUNCTION("""COMPUTED_VALUE"""),8.31)</f>
        <v>8.31</v>
      </c>
      <c r="J118" s="8">
        <f>IFERROR(__xludf.DUMMYFUNCTION("""COMPUTED_VALUE"""),-0.1581)</f>
        <v>-0.1581</v>
      </c>
    </row>
    <row r="119" ht="15.75" customHeight="1">
      <c r="C119" s="2" t="str">
        <f>IFERROR(__xludf.DUMMYFUNCTION("""COMPUTED_VALUE"""),"Maldivas [+]")</f>
        <v>Maldivas [+]</v>
      </c>
      <c r="D119" s="2">
        <f>IFERROR(__xludf.DUMMYFUNCTION("""COMPUTED_VALUE"""),13.0)</f>
        <v>13</v>
      </c>
      <c r="E119" s="2">
        <f>IFERROR(__xludf.DUMMYFUNCTION("""COMPUTED_VALUE"""),19.0)</f>
        <v>19</v>
      </c>
      <c r="F119" s="2">
        <f>IFERROR(__xludf.DUMMYFUNCTION("""COMPUTED_VALUE"""),33.0)</f>
        <v>33</v>
      </c>
      <c r="G119" s="2">
        <f>IFERROR(__xludf.DUMMYFUNCTION("""COMPUTED_VALUE"""),7.99)</f>
        <v>7.99</v>
      </c>
      <c r="H119" s="7">
        <f>IFERROR(__xludf.DUMMYFUNCTION("""COMPUTED_VALUE"""),9.7)</f>
        <v>9.7</v>
      </c>
      <c r="I119" s="2">
        <f>IFERROR(__xludf.DUMMYFUNCTION("""COMPUTED_VALUE"""),10.19)</f>
        <v>10.19</v>
      </c>
      <c r="J119" s="8">
        <f>IFERROR(__xludf.DUMMYFUNCTION("""COMPUTED_VALUE"""),-0.0136)</f>
        <v>-0.0136</v>
      </c>
    </row>
    <row r="120" ht="15.75" customHeight="1">
      <c r="C120" s="2" t="str">
        <f>IFERROR(__xludf.DUMMYFUNCTION("""COMPUTED_VALUE"""),"Malaui [+]")</f>
        <v>Malaui [+]</v>
      </c>
      <c r="D120" s="2">
        <f>IFERROR(__xludf.DUMMYFUNCTION("""COMPUTED_VALUE"""),167.0)</f>
        <v>167</v>
      </c>
      <c r="E120" s="2">
        <f>IFERROR(__xludf.DUMMYFUNCTION("""COMPUTED_VALUE"""),619.0)</f>
        <v>619</v>
      </c>
      <c r="F120" s="2">
        <f>IFERROR(__xludf.DUMMYFUNCTION("""COMPUTED_VALUE"""),786.0)</f>
        <v>786</v>
      </c>
      <c r="G120" s="2">
        <f>IFERROR(__xludf.DUMMYFUNCTION("""COMPUTED_VALUE"""),2.25)</f>
        <v>2.25</v>
      </c>
      <c r="H120" s="7">
        <f>IFERROR(__xludf.DUMMYFUNCTION("""COMPUTED_VALUE"""),8.66)</f>
        <v>8.66</v>
      </c>
      <c r="I120" s="2">
        <f>IFERROR(__xludf.DUMMYFUNCTION("""COMPUTED_VALUE"""),5.0)</f>
        <v>5</v>
      </c>
      <c r="J120" s="8">
        <f>IFERROR(__xludf.DUMMYFUNCTION("""COMPUTED_VALUE"""),-0.002)</f>
        <v>-0.002</v>
      </c>
    </row>
    <row r="121" ht="15.75" customHeight="1">
      <c r="C121" s="4" t="str">
        <f>IFERROR(__xludf.DUMMYFUNCTION("""COMPUTED_VALUE"""),"México [+]")</f>
        <v>México [+]</v>
      </c>
      <c r="D121" s="4">
        <f>IFERROR(__xludf.DUMMYFUNCTION("""COMPUTED_VALUE"""),903.0)</f>
        <v>903</v>
      </c>
      <c r="E121" s="9">
        <f>IFERROR(__xludf.DUMMYFUNCTION("""COMPUTED_VALUE"""),3996.0)</f>
        <v>3996</v>
      </c>
      <c r="F121" s="9">
        <f>IFERROR(__xludf.DUMMYFUNCTION("""COMPUTED_VALUE"""),5012.0)</f>
        <v>5012</v>
      </c>
      <c r="G121" s="4">
        <f>IFERROR(__xludf.DUMMYFUNCTION("""COMPUTED_VALUE"""),1.6)</f>
        <v>1.6</v>
      </c>
      <c r="H121" s="4">
        <f>IFERROR(__xludf.DUMMYFUNCTION("""COMPUTED_VALUE"""),7.2)</f>
        <v>7.2</v>
      </c>
      <c r="I121" s="4">
        <f>IFERROR(__xludf.DUMMYFUNCTION("""COMPUTED_VALUE"""),4.3)</f>
        <v>4.3</v>
      </c>
      <c r="J121" s="8">
        <f>IFERROR(__xludf.DUMMYFUNCTION("""COMPUTED_VALUE"""),-0.0444)</f>
        <v>-0.0444</v>
      </c>
    </row>
    <row r="122" ht="15.75" customHeight="1">
      <c r="C122" s="4" t="str">
        <f>IFERROR(__xludf.DUMMYFUNCTION("""COMPUTED_VALUE"""),"Malasia [+]")</f>
        <v>Malasia [+]</v>
      </c>
      <c r="D122" s="4">
        <f>IFERROR(__xludf.DUMMYFUNCTION("""COMPUTED_VALUE"""),400.0)</f>
        <v>400</v>
      </c>
      <c r="E122" s="9">
        <f>IFERROR(__xludf.DUMMYFUNCTION("""COMPUTED_VALUE"""),1107.0)</f>
        <v>1107</v>
      </c>
      <c r="F122" s="9">
        <f>IFERROR(__xludf.DUMMYFUNCTION("""COMPUTED_VALUE"""),1507.0)</f>
        <v>1507</v>
      </c>
      <c r="G122" s="4">
        <f>IFERROR(__xludf.DUMMYFUNCTION("""COMPUTED_VALUE"""),2.93)</f>
        <v>2.93</v>
      </c>
      <c r="H122" s="4">
        <f>IFERROR(__xludf.DUMMYFUNCTION("""COMPUTED_VALUE"""),7.61)</f>
        <v>7.61</v>
      </c>
      <c r="I122" s="4">
        <f>IFERROR(__xludf.DUMMYFUNCTION("""COMPUTED_VALUE"""),5.27)</f>
        <v>5.27</v>
      </c>
      <c r="J122" s="8">
        <f>IFERROR(__xludf.DUMMYFUNCTION("""COMPUTED_VALUE"""),0.0057)</f>
        <v>0.0057</v>
      </c>
    </row>
    <row r="123" ht="15.75" customHeight="1">
      <c r="C123" s="4" t="str">
        <f>IFERROR(__xludf.DUMMYFUNCTION("""COMPUTED_VALUE"""),"Mozambique [+]")</f>
        <v>Mozambique [+]</v>
      </c>
      <c r="D123" s="4">
        <f>IFERROR(__xludf.DUMMYFUNCTION("""COMPUTED_VALUE"""),568.0)</f>
        <v>568</v>
      </c>
      <c r="E123" s="9">
        <f>IFERROR(__xludf.DUMMYFUNCTION("""COMPUTED_VALUE"""),1566.0)</f>
        <v>1566</v>
      </c>
      <c r="F123" s="9">
        <f>IFERROR(__xludf.DUMMYFUNCTION("""COMPUTED_VALUE"""),2134.0)</f>
        <v>2134</v>
      </c>
      <c r="G123" s="4">
        <f>IFERROR(__xludf.DUMMYFUNCTION("""COMPUTED_VALUE"""),4.66)</f>
        <v>4.66</v>
      </c>
      <c r="H123" s="4">
        <f>IFERROR(__xludf.DUMMYFUNCTION("""COMPUTED_VALUE"""),13.8)</f>
        <v>13.8</v>
      </c>
      <c r="I123" s="4">
        <f>IFERROR(__xludf.DUMMYFUNCTION("""COMPUTED_VALUE"""),9.07)</f>
        <v>9.07</v>
      </c>
      <c r="J123" s="8">
        <f>IFERROR(__xludf.DUMMYFUNCTION("""COMPUTED_VALUE"""),-0.0195)</f>
        <v>-0.0195</v>
      </c>
    </row>
    <row r="124" ht="15.75" customHeight="1">
      <c r="C124" s="4" t="str">
        <f>IFERROR(__xludf.DUMMYFUNCTION("""COMPUTED_VALUE"""),"Namibia [+]")</f>
        <v>Namibia [+]</v>
      </c>
      <c r="D124" s="4">
        <f>IFERROR(__xludf.DUMMYFUNCTION("""COMPUTED_VALUE"""),45.0)</f>
        <v>45</v>
      </c>
      <c r="E124" s="4">
        <f>IFERROR(__xludf.DUMMYFUNCTION("""COMPUTED_VALUE"""),146.0)</f>
        <v>146</v>
      </c>
      <c r="F124" s="4">
        <f>IFERROR(__xludf.DUMMYFUNCTION("""COMPUTED_VALUE"""),191.0)</f>
        <v>191</v>
      </c>
      <c r="G124" s="4">
        <f>IFERROR(__xludf.DUMMYFUNCTION("""COMPUTED_VALUE"""),4.11)</f>
        <v>4.11</v>
      </c>
      <c r="H124" s="4">
        <f>IFERROR(__xludf.DUMMYFUNCTION("""COMPUTED_VALUE"""),14.28)</f>
        <v>14.28</v>
      </c>
      <c r="I124" s="4">
        <f>IFERROR(__xludf.DUMMYFUNCTION("""COMPUTED_VALUE"""),9.17)</f>
        <v>9.17</v>
      </c>
      <c r="J124" s="8">
        <f>IFERROR(__xludf.DUMMYFUNCTION("""COMPUTED_VALUE"""),0.0327)</f>
        <v>0.0327</v>
      </c>
    </row>
    <row r="125" ht="15.75" customHeight="1">
      <c r="C125" s="4" t="str">
        <f>IFERROR(__xludf.DUMMYFUNCTION("""COMPUTED_VALUE"""),"Níger [+]")</f>
        <v>Níger [+]</v>
      </c>
      <c r="D125" s="4">
        <f>IFERROR(__xludf.DUMMYFUNCTION("""COMPUTED_VALUE"""),263.0)</f>
        <v>263</v>
      </c>
      <c r="E125" s="4">
        <f>IFERROR(__xludf.DUMMYFUNCTION("""COMPUTED_VALUE"""),498.0)</f>
        <v>498</v>
      </c>
      <c r="F125" s="4">
        <f>IFERROR(__xludf.DUMMYFUNCTION("""COMPUTED_VALUE"""),761.0)</f>
        <v>761</v>
      </c>
      <c r="G125" s="4">
        <f>IFERROR(__xludf.DUMMYFUNCTION("""COMPUTED_VALUE"""),3.2)</f>
        <v>3.2</v>
      </c>
      <c r="H125" s="4">
        <f>IFERROR(__xludf.DUMMYFUNCTION("""COMPUTED_VALUE"""),6.05)</f>
        <v>6.05</v>
      </c>
      <c r="I125" s="4">
        <f>IFERROR(__xludf.DUMMYFUNCTION("""COMPUTED_VALUE"""),4.62)</f>
        <v>4.62</v>
      </c>
      <c r="J125" s="8">
        <f>IFERROR(__xludf.DUMMYFUNCTION("""COMPUTED_VALUE"""),-0.0335)</f>
        <v>-0.0335</v>
      </c>
    </row>
    <row r="126" ht="15.75" customHeight="1">
      <c r="C126" s="4" t="str">
        <f>IFERROR(__xludf.DUMMYFUNCTION("""COMPUTED_VALUE"""),"Nigeria [+]")</f>
        <v>Nigeria [+]</v>
      </c>
      <c r="D126" s="9">
        <f>IFERROR(__xludf.DUMMYFUNCTION("""COMPUTED_VALUE"""),4503.0)</f>
        <v>4503</v>
      </c>
      <c r="E126" s="9">
        <f>IFERROR(__xludf.DUMMYFUNCTION("""COMPUTED_VALUE"""),11056.0)</f>
        <v>11056</v>
      </c>
      <c r="F126" s="9">
        <f>IFERROR(__xludf.DUMMYFUNCTION("""COMPUTED_VALUE"""),15559.0)</f>
        <v>15559</v>
      </c>
      <c r="G126" s="4">
        <f>IFERROR(__xludf.DUMMYFUNCTION("""COMPUTED_VALUE"""),5.75)</f>
        <v>5.75</v>
      </c>
      <c r="H126" s="4">
        <f>IFERROR(__xludf.DUMMYFUNCTION("""COMPUTED_VALUE"""),13.79)</f>
        <v>13.79</v>
      </c>
      <c r="I126" s="4">
        <f>IFERROR(__xludf.DUMMYFUNCTION("""COMPUTED_VALUE"""),9.82)</f>
        <v>9.82</v>
      </c>
      <c r="J126" s="8">
        <f>IFERROR(__xludf.DUMMYFUNCTION("""COMPUTED_VALUE"""),0.0051)</f>
        <v>0.0051</v>
      </c>
    </row>
    <row r="127" ht="15.75" customHeight="1">
      <c r="C127" s="4" t="str">
        <f>IFERROR(__xludf.DUMMYFUNCTION("""COMPUTED_VALUE"""),"Nicaragua [+]")</f>
        <v>Nicaragua [+]</v>
      </c>
      <c r="D127" s="4">
        <f>IFERROR(__xludf.DUMMYFUNCTION("""COMPUTED_VALUE"""),141.0)</f>
        <v>141</v>
      </c>
      <c r="E127" s="4">
        <f>IFERROR(__xludf.DUMMYFUNCTION("""COMPUTED_VALUE"""),443.0)</f>
        <v>443</v>
      </c>
      <c r="F127" s="4">
        <f>IFERROR(__xludf.DUMMYFUNCTION("""COMPUTED_VALUE"""),584.0)</f>
        <v>584</v>
      </c>
      <c r="G127" s="4">
        <f>IFERROR(__xludf.DUMMYFUNCTION("""COMPUTED_VALUE"""),4.76)</f>
        <v>4.76</v>
      </c>
      <c r="H127" s="4">
        <f>IFERROR(__xludf.DUMMYFUNCTION("""COMPUTED_VALUE"""),15.45)</f>
        <v>15.45</v>
      </c>
      <c r="I127" s="4">
        <f>IFERROR(__xludf.DUMMYFUNCTION("""COMPUTED_VALUE"""),10.0)</f>
        <v>10</v>
      </c>
      <c r="J127" s="8">
        <f>IFERROR(__xludf.DUMMYFUNCTION("""COMPUTED_VALUE"""),-0.1251)</f>
        <v>-0.1251</v>
      </c>
    </row>
    <row r="128" ht="15.75" customHeight="1">
      <c r="C128" s="4" t="str">
        <f>IFERROR(__xludf.DUMMYFUNCTION("""COMPUTED_VALUE"""),"Países Bajos [+]")</f>
        <v>Países Bajos [+]</v>
      </c>
      <c r="D128" s="4">
        <f>IFERROR(__xludf.DUMMYFUNCTION("""COMPUTED_VALUE"""),477.0)</f>
        <v>477</v>
      </c>
      <c r="E128" s="9">
        <f>IFERROR(__xludf.DUMMYFUNCTION("""COMPUTED_VALUE"""),1127.0)</f>
        <v>1127</v>
      </c>
      <c r="F128" s="9">
        <f>IFERROR(__xludf.DUMMYFUNCTION("""COMPUTED_VALUE"""),1604.0)</f>
        <v>1604</v>
      </c>
      <c r="G128" s="4">
        <f>IFERROR(__xludf.DUMMYFUNCTION("""COMPUTED_VALUE"""),5.7)</f>
        <v>5.7</v>
      </c>
      <c r="H128" s="4">
        <f>IFERROR(__xludf.DUMMYFUNCTION("""COMPUTED_VALUE"""),13.7)</f>
        <v>13.7</v>
      </c>
      <c r="I128" s="4">
        <f>IFERROR(__xludf.DUMMYFUNCTION("""COMPUTED_VALUE"""),9.7)</f>
        <v>9.7</v>
      </c>
      <c r="J128" s="8">
        <f>IFERROR(__xludf.DUMMYFUNCTION("""COMPUTED_VALUE"""),0.043)</f>
        <v>0.043</v>
      </c>
    </row>
    <row r="129" ht="15.75" customHeight="1">
      <c r="C129" s="4" t="str">
        <f>IFERROR(__xludf.DUMMYFUNCTION("""COMPUTED_VALUE"""),"Noruega [+]")</f>
        <v>Noruega [+]</v>
      </c>
      <c r="D129" s="4">
        <f>IFERROR(__xludf.DUMMYFUNCTION("""COMPUTED_VALUE"""),164.0)</f>
        <v>164</v>
      </c>
      <c r="E129" s="4">
        <f>IFERROR(__xludf.DUMMYFUNCTION("""COMPUTED_VALUE"""),384.0)</f>
        <v>384</v>
      </c>
      <c r="F129" s="4">
        <f>IFERROR(__xludf.DUMMYFUNCTION("""COMPUTED_VALUE"""),548.0)</f>
        <v>548</v>
      </c>
      <c r="G129" s="4">
        <f>IFERROR(__xludf.DUMMYFUNCTION("""COMPUTED_VALUE"""),6.7)</f>
        <v>6.7</v>
      </c>
      <c r="H129" s="4">
        <f>IFERROR(__xludf.DUMMYFUNCTION("""COMPUTED_VALUE"""),15.7)</f>
        <v>15.7</v>
      </c>
      <c r="I129" s="4">
        <f>IFERROR(__xludf.DUMMYFUNCTION("""COMPUTED_VALUE"""),11.2)</f>
        <v>11.2</v>
      </c>
      <c r="J129" s="8">
        <f>IFERROR(__xludf.DUMMYFUNCTION("""COMPUTED_VALUE"""),-0.0588)</f>
        <v>-0.0588</v>
      </c>
    </row>
    <row r="130" ht="15.75" customHeight="1">
      <c r="C130" s="4" t="str">
        <f>IFERROR(__xludf.DUMMYFUNCTION("""COMPUTED_VALUE"""),"Nepal [+]")</f>
        <v>Nepal [+]</v>
      </c>
      <c r="D130" s="4">
        <f>IFERROR(__xludf.DUMMYFUNCTION("""COMPUTED_VALUE"""),851.0)</f>
        <v>851</v>
      </c>
      <c r="E130" s="4">
        <f>IFERROR(__xludf.DUMMYFUNCTION("""COMPUTED_VALUE"""),921.0)</f>
        <v>921</v>
      </c>
      <c r="F130" s="9">
        <f>IFERROR(__xludf.DUMMYFUNCTION("""COMPUTED_VALUE"""),1772.0)</f>
        <v>1772</v>
      </c>
      <c r="G130" s="4">
        <f>IFERROR(__xludf.DUMMYFUNCTION("""COMPUTED_VALUE"""),6.2)</f>
        <v>6.2</v>
      </c>
      <c r="H130" s="4">
        <f>IFERROR(__xludf.DUMMYFUNCTION("""COMPUTED_VALUE"""),6.93)</f>
        <v>6.93</v>
      </c>
      <c r="I130" s="4">
        <f>IFERROR(__xludf.DUMMYFUNCTION("""COMPUTED_VALUE"""),6.56)</f>
        <v>6.56</v>
      </c>
      <c r="J130" s="8">
        <f>IFERROR(__xludf.DUMMYFUNCTION("""COMPUTED_VALUE"""),-0.0296)</f>
        <v>-0.0296</v>
      </c>
    </row>
    <row r="131" ht="15.75" customHeight="1">
      <c r="C131" s="4" t="str">
        <f>IFERROR(__xludf.DUMMYFUNCTION("""COMPUTED_VALUE"""),"Nueva Zelanda [+]")</f>
        <v>Nueva Zelanda [+]</v>
      </c>
      <c r="D131" s="4">
        <f>IFERROR(__xludf.DUMMYFUNCTION("""COMPUTED_VALUE"""),148.0)</f>
        <v>148</v>
      </c>
      <c r="E131" s="4">
        <f>IFERROR(__xludf.DUMMYFUNCTION("""COMPUTED_VALUE"""),387.0)</f>
        <v>387</v>
      </c>
      <c r="F131" s="4">
        <f>IFERROR(__xludf.DUMMYFUNCTION("""COMPUTED_VALUE"""),535.0)</f>
        <v>535</v>
      </c>
      <c r="G131" s="4">
        <f>IFERROR(__xludf.DUMMYFUNCTION("""COMPUTED_VALUE"""),6.7)</f>
        <v>6.7</v>
      </c>
      <c r="H131" s="4">
        <f>IFERROR(__xludf.DUMMYFUNCTION("""COMPUTED_VALUE"""),18.2)</f>
        <v>18.2</v>
      </c>
      <c r="I131" s="4">
        <f>IFERROR(__xludf.DUMMYFUNCTION("""COMPUTED_VALUE"""),12.3)</f>
        <v>12.3</v>
      </c>
      <c r="J131" s="8">
        <f>IFERROR(__xludf.DUMMYFUNCTION("""COMPUTED_VALUE"""),0.0336)</f>
        <v>0.0336</v>
      </c>
    </row>
    <row r="132" ht="15.75" customHeight="1">
      <c r="C132" s="4" t="str">
        <f>IFERROR(__xludf.DUMMYFUNCTION("""COMPUTED_VALUE"""),"Omán [+]")</f>
        <v>Omán [+]</v>
      </c>
      <c r="D132" s="4">
        <f>IFERROR(__xludf.DUMMYFUNCTION("""COMPUTED_VALUE"""),13.0)</f>
        <v>13</v>
      </c>
      <c r="E132" s="4">
        <f>IFERROR(__xludf.DUMMYFUNCTION("""COMPUTED_VALUE"""),131.0)</f>
        <v>131</v>
      </c>
      <c r="F132" s="4">
        <f>IFERROR(__xludf.DUMMYFUNCTION("""COMPUTED_VALUE"""),144.0)</f>
        <v>144</v>
      </c>
      <c r="G132" s="4">
        <f>IFERROR(__xludf.DUMMYFUNCTION("""COMPUTED_VALUE"""),1.12)</f>
        <v>1.12</v>
      </c>
      <c r="H132" s="4">
        <f>IFERROR(__xludf.DUMMYFUNCTION("""COMPUTED_VALUE"""),7.11)</f>
        <v>7.11</v>
      </c>
      <c r="I132" s="4">
        <f>IFERROR(__xludf.DUMMYFUNCTION("""COMPUTED_VALUE"""),4.8)</f>
        <v>4.8</v>
      </c>
      <c r="J132" s="8">
        <f>IFERROR(__xludf.DUMMYFUNCTION("""COMPUTED_VALUE"""),0.2435)</f>
        <v>0.2435</v>
      </c>
    </row>
    <row r="133" ht="15.75" customHeight="1">
      <c r="C133" s="4" t="str">
        <f>IFERROR(__xludf.DUMMYFUNCTION("""COMPUTED_VALUE"""),"Panamá [+]")</f>
        <v>Panamá [+]</v>
      </c>
      <c r="D133" s="4">
        <f>IFERROR(__xludf.DUMMYFUNCTION("""COMPUTED_VALUE"""),27.0)</f>
        <v>27</v>
      </c>
      <c r="E133" s="4">
        <f>IFERROR(__xludf.DUMMYFUNCTION("""COMPUTED_VALUE"""),182.0)</f>
        <v>182</v>
      </c>
      <c r="F133" s="4">
        <f>IFERROR(__xludf.DUMMYFUNCTION("""COMPUTED_VALUE"""),209.0)</f>
        <v>209</v>
      </c>
      <c r="G133" s="4">
        <f>IFERROR(__xludf.DUMMYFUNCTION("""COMPUTED_VALUE"""),1.49)</f>
        <v>1.49</v>
      </c>
      <c r="H133" s="4">
        <f>IFERROR(__xludf.DUMMYFUNCTION("""COMPUTED_VALUE"""),9.96)</f>
        <v>9.96</v>
      </c>
      <c r="I133" s="4">
        <f>IFERROR(__xludf.DUMMYFUNCTION("""COMPUTED_VALUE"""),5.72)</f>
        <v>5.72</v>
      </c>
      <c r="J133" s="8">
        <f>IFERROR(__xludf.DUMMYFUNCTION("""COMPUTED_VALUE"""),-0.1921)</f>
        <v>-0.1921</v>
      </c>
    </row>
    <row r="134" ht="15.75" customHeight="1">
      <c r="C134" s="4" t="str">
        <f>IFERROR(__xludf.DUMMYFUNCTION("""COMPUTED_VALUE"""),"Perú [+]")</f>
        <v>Perú [+]</v>
      </c>
      <c r="D134" s="4">
        <f>IFERROR(__xludf.DUMMYFUNCTION("""COMPUTED_VALUE"""),74.0)</f>
        <v>74</v>
      </c>
      <c r="E134" s="4">
        <f>IFERROR(__xludf.DUMMYFUNCTION("""COMPUTED_VALUE"""),187.0)</f>
        <v>187</v>
      </c>
      <c r="F134" s="4">
        <f>IFERROR(__xludf.DUMMYFUNCTION("""COMPUTED_VALUE"""),261.0)</f>
        <v>261</v>
      </c>
      <c r="G134" s="4">
        <f>IFERROR(__xludf.DUMMYFUNCTION("""COMPUTED_VALUE"""),0.5)</f>
        <v>0.5</v>
      </c>
      <c r="H134" s="4">
        <f>IFERROR(__xludf.DUMMYFUNCTION("""COMPUTED_VALUE"""),1.3)</f>
        <v>1.3</v>
      </c>
      <c r="I134" s="4">
        <f>IFERROR(__xludf.DUMMYFUNCTION("""COMPUTED_VALUE"""),0.9)</f>
        <v>0.9</v>
      </c>
      <c r="J134" s="8">
        <f>IFERROR(__xludf.DUMMYFUNCTION("""COMPUTED_VALUE"""),0.8)</f>
        <v>0.8</v>
      </c>
    </row>
    <row r="135" ht="15.75" customHeight="1">
      <c r="C135" s="4" t="str">
        <f>IFERROR(__xludf.DUMMYFUNCTION("""COMPUTED_VALUE"""),"Papúa Nueva Guinea [+]")</f>
        <v>Papúa Nueva Guinea [+]</v>
      </c>
      <c r="D135" s="4">
        <f>IFERROR(__xludf.DUMMYFUNCTION("""COMPUTED_VALUE"""),135.0)</f>
        <v>135</v>
      </c>
      <c r="E135" s="4">
        <f>IFERROR(__xludf.DUMMYFUNCTION("""COMPUTED_VALUE"""),521.0)</f>
        <v>521</v>
      </c>
      <c r="F135" s="4">
        <f>IFERROR(__xludf.DUMMYFUNCTION("""COMPUTED_VALUE"""),656.0)</f>
        <v>656</v>
      </c>
      <c r="G135" s="4">
        <f>IFERROR(__xludf.DUMMYFUNCTION("""COMPUTED_VALUE"""),3.76)</f>
        <v>3.76</v>
      </c>
      <c r="H135" s="4">
        <f>IFERROR(__xludf.DUMMYFUNCTION("""COMPUTED_VALUE"""),14.0)</f>
        <v>14</v>
      </c>
      <c r="I135" s="4">
        <f>IFERROR(__xludf.DUMMYFUNCTION("""COMPUTED_VALUE"""),9.81)</f>
        <v>9.81</v>
      </c>
      <c r="J135" s="8">
        <f>IFERROR(__xludf.DUMMYFUNCTION("""COMPUTED_VALUE"""),-0.0151)</f>
        <v>-0.0151</v>
      </c>
    </row>
    <row r="136" ht="15.75" customHeight="1">
      <c r="C136" s="4" t="str">
        <f>IFERROR(__xludf.DUMMYFUNCTION("""COMPUTED_VALUE"""),"Filipinas [+]")</f>
        <v>Filipinas [+]</v>
      </c>
      <c r="D136" s="4">
        <f>IFERROR(__xludf.DUMMYFUNCTION("""COMPUTED_VALUE"""),819.0)</f>
        <v>819</v>
      </c>
      <c r="E136" s="9">
        <f>IFERROR(__xludf.DUMMYFUNCTION("""COMPUTED_VALUE"""),2730.0)</f>
        <v>2730</v>
      </c>
      <c r="F136" s="9">
        <f>IFERROR(__xludf.DUMMYFUNCTION("""COMPUTED_VALUE"""),3550.0)</f>
        <v>3550</v>
      </c>
      <c r="G136" s="4">
        <f>IFERROR(__xludf.DUMMYFUNCTION("""COMPUTED_VALUE"""),1.76)</f>
        <v>1.76</v>
      </c>
      <c r="H136" s="4">
        <f>IFERROR(__xludf.DUMMYFUNCTION("""COMPUTED_VALUE"""),5.76)</f>
        <v>5.76</v>
      </c>
      <c r="I136" s="4">
        <f>IFERROR(__xludf.DUMMYFUNCTION("""COMPUTED_VALUE"""),3.81)</f>
        <v>3.81</v>
      </c>
      <c r="J136" s="8">
        <f>IFERROR(__xludf.DUMMYFUNCTION("""COMPUTED_VALUE"""),0.0763)</f>
        <v>0.0763</v>
      </c>
    </row>
    <row r="137" ht="15.75" customHeight="1">
      <c r="C137" s="4" t="str">
        <f>IFERROR(__xludf.DUMMYFUNCTION("""COMPUTED_VALUE"""),"Pakistán [+]")</f>
        <v>Pakistán [+]</v>
      </c>
      <c r="D137" s="9">
        <f>IFERROR(__xludf.DUMMYFUNCTION("""COMPUTED_VALUE"""),1765.0)</f>
        <v>1765</v>
      </c>
      <c r="E137" s="9">
        <f>IFERROR(__xludf.DUMMYFUNCTION("""COMPUTED_VALUE"""),1841.0)</f>
        <v>1841</v>
      </c>
      <c r="F137" s="9">
        <f>IFERROR(__xludf.DUMMYFUNCTION("""COMPUTED_VALUE"""),3606.0)</f>
        <v>3606</v>
      </c>
      <c r="G137" s="4">
        <f>IFERROR(__xludf.DUMMYFUNCTION("""COMPUTED_VALUE"""),2.03)</f>
        <v>2.03</v>
      </c>
      <c r="H137" s="4">
        <f>IFERROR(__xludf.DUMMYFUNCTION("""COMPUTED_VALUE"""),1.99)</f>
        <v>1.99</v>
      </c>
      <c r="I137" s="4">
        <f>IFERROR(__xludf.DUMMYFUNCTION("""COMPUTED_VALUE"""),2.03)</f>
        <v>2.03</v>
      </c>
      <c r="J137" s="8">
        <f>IFERROR(__xludf.DUMMYFUNCTION("""COMPUTED_VALUE"""),-0.0287)</f>
        <v>-0.0287</v>
      </c>
    </row>
    <row r="138" ht="15.75" customHeight="1">
      <c r="C138" s="4" t="str">
        <f>IFERROR(__xludf.DUMMYFUNCTION("""COMPUTED_VALUE"""),"Polonia [+]")</f>
        <v>Polonia [+]</v>
      </c>
      <c r="D138" s="4">
        <f>IFERROR(__xludf.DUMMYFUNCTION("""COMPUTED_VALUE"""),840.0)</f>
        <v>840</v>
      </c>
      <c r="E138" s="9">
        <f>IFERROR(__xludf.DUMMYFUNCTION("""COMPUTED_VALUE"""),5517.0)</f>
        <v>5517</v>
      </c>
      <c r="F138" s="9">
        <f>IFERROR(__xludf.DUMMYFUNCTION("""COMPUTED_VALUE"""),6357.0)</f>
        <v>6357</v>
      </c>
      <c r="G138" s="4">
        <f>IFERROR(__xludf.DUMMYFUNCTION("""COMPUTED_VALUE"""),4.2)</f>
        <v>4.2</v>
      </c>
      <c r="H138" s="4">
        <f>IFERROR(__xludf.DUMMYFUNCTION("""COMPUTED_VALUE"""),29.8)</f>
        <v>29.8</v>
      </c>
      <c r="I138" s="4">
        <f>IFERROR(__xludf.DUMMYFUNCTION("""COMPUTED_VALUE"""),16.6)</f>
        <v>16.6</v>
      </c>
      <c r="J138" s="8">
        <f>IFERROR(__xludf.DUMMYFUNCTION("""COMPUTED_VALUE"""),-0.0235)</f>
        <v>-0.0235</v>
      </c>
    </row>
    <row r="139" ht="15.75" customHeight="1">
      <c r="C139" s="4" t="str">
        <f>IFERROR(__xludf.DUMMYFUNCTION("""COMPUTED_VALUE"""),"Paraguay [+]")</f>
        <v>Paraguay [+]</v>
      </c>
      <c r="D139" s="4">
        <f>IFERROR(__xludf.DUMMYFUNCTION("""COMPUTED_VALUE"""),196.0)</f>
        <v>196</v>
      </c>
      <c r="E139" s="4">
        <f>IFERROR(__xludf.DUMMYFUNCTION("""COMPUTED_VALUE"""),405.0)</f>
        <v>405</v>
      </c>
      <c r="F139" s="4">
        <f>IFERROR(__xludf.DUMMYFUNCTION("""COMPUTED_VALUE"""),601.0)</f>
        <v>601</v>
      </c>
      <c r="G139" s="4">
        <f>IFERROR(__xludf.DUMMYFUNCTION("""COMPUTED_VALUE"""),6.4)</f>
        <v>6.4</v>
      </c>
      <c r="H139" s="4">
        <f>IFERROR(__xludf.DUMMYFUNCTION("""COMPUTED_VALUE"""),12.73)</f>
        <v>12.73</v>
      </c>
      <c r="I139" s="4">
        <f>IFERROR(__xludf.DUMMYFUNCTION("""COMPUTED_VALUE"""),9.59)</f>
        <v>9.59</v>
      </c>
      <c r="J139" s="8">
        <f>IFERROR(__xludf.DUMMYFUNCTION("""COMPUTED_VALUE"""),-0.0164)</f>
        <v>-0.0164</v>
      </c>
    </row>
    <row r="140" ht="15.75" customHeight="1">
      <c r="C140" s="4" t="str">
        <f>IFERROR(__xludf.DUMMYFUNCTION("""COMPUTED_VALUE"""),"Catar [+]")</f>
        <v>Catar [+]</v>
      </c>
      <c r="D140" s="4">
        <f>IFERROR(__xludf.DUMMYFUNCTION("""COMPUTED_VALUE"""),4.0)</f>
        <v>4</v>
      </c>
      <c r="E140" s="4">
        <f>IFERROR(__xludf.DUMMYFUNCTION("""COMPUTED_VALUE"""),120.0)</f>
        <v>120</v>
      </c>
      <c r="F140" s="4">
        <f>IFERROR(__xludf.DUMMYFUNCTION("""COMPUTED_VALUE"""),124.0)</f>
        <v>124</v>
      </c>
      <c r="G140" s="4">
        <f>IFERROR(__xludf.DUMMYFUNCTION("""COMPUTED_VALUE"""),0.98)</f>
        <v>0.98</v>
      </c>
      <c r="H140" s="4">
        <f>IFERROR(__xludf.DUMMYFUNCTION("""COMPUTED_VALUE"""),8.47)</f>
        <v>8.47</v>
      </c>
      <c r="I140" s="4">
        <f>IFERROR(__xludf.DUMMYFUNCTION("""COMPUTED_VALUE"""),7.26)</f>
        <v>7.26</v>
      </c>
      <c r="J140" s="8">
        <f>IFERROR(__xludf.DUMMYFUNCTION("""COMPUTED_VALUE"""),0.1748)</f>
        <v>0.1748</v>
      </c>
    </row>
    <row r="141" ht="15.75" customHeight="1">
      <c r="C141" s="4" t="str">
        <f>IFERROR(__xludf.DUMMYFUNCTION("""COMPUTED_VALUE"""),"Rumanía [+]")</f>
        <v>Rumanía [+]</v>
      </c>
      <c r="D141" s="4">
        <f>IFERROR(__xludf.DUMMYFUNCTION("""COMPUTED_VALUE"""),462.0)</f>
        <v>462</v>
      </c>
      <c r="E141" s="9">
        <f>IFERROR(__xludf.DUMMYFUNCTION("""COMPUTED_VALUE"""),2304.0)</f>
        <v>2304</v>
      </c>
      <c r="F141" s="9">
        <f>IFERROR(__xludf.DUMMYFUNCTION("""COMPUTED_VALUE"""),2766.0)</f>
        <v>2766</v>
      </c>
      <c r="G141" s="4">
        <f>IFERROR(__xludf.DUMMYFUNCTION("""COMPUTED_VALUE"""),4.4)</f>
        <v>4.4</v>
      </c>
      <c r="H141" s="4">
        <f>IFERROR(__xludf.DUMMYFUNCTION("""COMPUTED_VALUE"""),23.5)</f>
        <v>23.5</v>
      </c>
      <c r="I141" s="4">
        <f>IFERROR(__xludf.DUMMYFUNCTION("""COMPUTED_VALUE"""),13.7)</f>
        <v>13.7</v>
      </c>
      <c r="J141" s="8">
        <f>IFERROR(__xludf.DUMMYFUNCTION("""COMPUTED_VALUE"""),0.0787)</f>
        <v>0.0787</v>
      </c>
    </row>
    <row r="142" ht="15.75" customHeight="1">
      <c r="C142" s="4" t="str">
        <f>IFERROR(__xludf.DUMMYFUNCTION("""COMPUTED_VALUE"""),"Rusia [+]")</f>
        <v>Rusia [+]</v>
      </c>
      <c r="D142" s="9">
        <f>IFERROR(__xludf.DUMMYFUNCTION("""COMPUTED_VALUE"""),5805.0)</f>
        <v>5805</v>
      </c>
      <c r="E142" s="9">
        <f>IFERROR(__xludf.DUMMYFUNCTION("""COMPUTED_VALUE"""),27675.0)</f>
        <v>27675</v>
      </c>
      <c r="F142" s="9">
        <f>IFERROR(__xludf.DUMMYFUNCTION("""COMPUTED_VALUE"""),33480.0)</f>
        <v>33480</v>
      </c>
      <c r="G142" s="4">
        <f>IFERROR(__xludf.DUMMYFUNCTION("""COMPUTED_VALUE"""),7.6)</f>
        <v>7.6</v>
      </c>
      <c r="H142" s="4">
        <f>IFERROR(__xludf.DUMMYFUNCTION("""COMPUTED_VALUE"""),42.0)</f>
        <v>42</v>
      </c>
      <c r="I142" s="4">
        <f>IFERROR(__xludf.DUMMYFUNCTION("""COMPUTED_VALUE"""),23.5)</f>
        <v>23.5</v>
      </c>
      <c r="J142" s="8">
        <f>IFERROR(__xludf.DUMMYFUNCTION("""COMPUTED_VALUE"""),-0.1132)</f>
        <v>-0.1132</v>
      </c>
    </row>
    <row r="143" ht="15.75" customHeight="1">
      <c r="C143" s="4" t="str">
        <f>IFERROR(__xludf.DUMMYFUNCTION("""COMPUTED_VALUE"""),"Ruanda [+]")</f>
        <v>Ruanda [+]</v>
      </c>
      <c r="D143" s="4">
        <f>IFERROR(__xludf.DUMMYFUNCTION("""COMPUTED_VALUE"""),125.0)</f>
        <v>125</v>
      </c>
      <c r="E143" s="4">
        <f>IFERROR(__xludf.DUMMYFUNCTION("""COMPUTED_VALUE"""),816.0)</f>
        <v>816</v>
      </c>
      <c r="F143" s="4">
        <f>IFERROR(__xludf.DUMMYFUNCTION("""COMPUTED_VALUE"""),941.0)</f>
        <v>941</v>
      </c>
      <c r="G143" s="4">
        <f>IFERROR(__xludf.DUMMYFUNCTION("""COMPUTED_VALUE"""),2.44)</f>
        <v>2.44</v>
      </c>
      <c r="H143" s="4">
        <f>IFERROR(__xludf.DUMMYFUNCTION("""COMPUTED_VALUE"""),16.59)</f>
        <v>16.59</v>
      </c>
      <c r="I143" s="4">
        <f>IFERROR(__xludf.DUMMYFUNCTION("""COMPUTED_VALUE"""),9.41)</f>
        <v>9.41</v>
      </c>
      <c r="J143" s="8">
        <f>IFERROR(__xludf.DUMMYFUNCTION("""COMPUTED_VALUE"""),-0.0378)</f>
        <v>-0.0378</v>
      </c>
    </row>
    <row r="144" ht="15.75" customHeight="1">
      <c r="C144" s="4" t="str">
        <f>IFERROR(__xludf.DUMMYFUNCTION("""COMPUTED_VALUE"""),"Arabia Saudita [+]")</f>
        <v>Arabia Saudita [+]</v>
      </c>
      <c r="D144" s="4">
        <f>IFERROR(__xludf.DUMMYFUNCTION("""COMPUTED_VALUE"""),231.0)</f>
        <v>231</v>
      </c>
      <c r="E144" s="4">
        <f>IFERROR(__xludf.DUMMYFUNCTION("""COMPUTED_VALUE"""),745.0)</f>
        <v>745</v>
      </c>
      <c r="F144" s="4">
        <f>IFERROR(__xludf.DUMMYFUNCTION("""COMPUTED_VALUE"""),976.0)</f>
        <v>976</v>
      </c>
      <c r="G144" s="4">
        <f>IFERROR(__xludf.DUMMYFUNCTION("""COMPUTED_VALUE"""),1.92)</f>
        <v>1.92</v>
      </c>
      <c r="H144" s="4">
        <f>IFERROR(__xludf.DUMMYFUNCTION("""COMPUTED_VALUE"""),4.83)</f>
        <v>4.83</v>
      </c>
      <c r="I144" s="4">
        <f>IFERROR(__xludf.DUMMYFUNCTION("""COMPUTED_VALUE"""),3.54)</f>
        <v>3.54</v>
      </c>
      <c r="J144" s="8">
        <f>IFERROR(__xludf.DUMMYFUNCTION("""COMPUTED_VALUE"""),-0.0167)</f>
        <v>-0.0167</v>
      </c>
    </row>
    <row r="145" ht="15.75" customHeight="1">
      <c r="C145" s="4" t="str">
        <f>IFERROR(__xludf.DUMMYFUNCTION("""COMPUTED_VALUE"""),"Islas Salomón [+]")</f>
        <v>Islas Salomón [+]</v>
      </c>
      <c r="D145" s="4">
        <f>IFERROR(__xludf.DUMMYFUNCTION("""COMPUTED_VALUE"""),12.0)</f>
        <v>12</v>
      </c>
      <c r="E145" s="4">
        <f>IFERROR(__xludf.DUMMYFUNCTION("""COMPUTED_VALUE"""),30.0)</f>
        <v>30</v>
      </c>
      <c r="F145" s="4">
        <f>IFERROR(__xludf.DUMMYFUNCTION("""COMPUTED_VALUE"""),42.0)</f>
        <v>42</v>
      </c>
      <c r="G145" s="4">
        <f>IFERROR(__xludf.DUMMYFUNCTION("""COMPUTED_VALUE"""),4.8)</f>
        <v>4.8</v>
      </c>
      <c r="H145" s="4">
        <f>IFERROR(__xludf.DUMMYFUNCTION("""COMPUTED_VALUE"""),11.17)</f>
        <v>11.17</v>
      </c>
      <c r="I145" s="4">
        <f>IFERROR(__xludf.DUMMYFUNCTION("""COMPUTED_VALUE"""),8.04)</f>
        <v>8.04</v>
      </c>
      <c r="J145" s="8">
        <f>IFERROR(__xludf.DUMMYFUNCTION("""COMPUTED_VALUE"""),-0.0278)</f>
        <v>-0.0278</v>
      </c>
    </row>
    <row r="146" ht="15.75" customHeight="1">
      <c r="C146" s="4" t="str">
        <f>IFERROR(__xludf.DUMMYFUNCTION("""COMPUTED_VALUE"""),"Seychelles [+]")</f>
        <v>Seychelles [+]</v>
      </c>
      <c r="D146" s="4">
        <f>IFERROR(__xludf.DUMMYFUNCTION("""COMPUTED_VALUE"""),1.0)</f>
        <v>1</v>
      </c>
      <c r="E146" s="4">
        <f>IFERROR(__xludf.DUMMYFUNCTION("""COMPUTED_VALUE"""),8.0)</f>
        <v>8</v>
      </c>
      <c r="F146" s="4">
        <f>IFERROR(__xludf.DUMMYFUNCTION("""COMPUTED_VALUE"""),9.0)</f>
        <v>9</v>
      </c>
      <c r="G146" s="4">
        <f>IFERROR(__xludf.DUMMYFUNCTION("""COMPUTED_VALUE"""),2.22)</f>
        <v>2.22</v>
      </c>
      <c r="H146" s="4">
        <f>IFERROR(__xludf.DUMMYFUNCTION("""COMPUTED_VALUE"""),17.17)</f>
        <v>17.17</v>
      </c>
      <c r="I146" s="4">
        <f>IFERROR(__xludf.DUMMYFUNCTION("""COMPUTED_VALUE"""),9.91)</f>
        <v>9.91</v>
      </c>
      <c r="J146" s="8">
        <f>IFERROR(__xludf.DUMMYFUNCTION("""COMPUTED_VALUE"""),-0.0434)</f>
        <v>-0.0434</v>
      </c>
    </row>
    <row r="147" ht="15.75" customHeight="1">
      <c r="C147" s="4" t="str">
        <f>IFERROR(__xludf.DUMMYFUNCTION("""COMPUTED_VALUE"""),"Sudán [+]")</f>
        <v>Sudán [+]</v>
      </c>
      <c r="D147" s="9">
        <f>IFERROR(__xludf.DUMMYFUNCTION("""COMPUTED_VALUE"""),1099.0)</f>
        <v>1099</v>
      </c>
      <c r="E147" s="9">
        <f>IFERROR(__xludf.DUMMYFUNCTION("""COMPUTED_VALUE"""),2829.0)</f>
        <v>2829</v>
      </c>
      <c r="F147" s="9">
        <f>IFERROR(__xludf.DUMMYFUNCTION("""COMPUTED_VALUE"""),3928.0)</f>
        <v>3928</v>
      </c>
      <c r="G147" s="4">
        <f>IFERROR(__xludf.DUMMYFUNCTION("""COMPUTED_VALUE"""),6.35)</f>
        <v>6.35</v>
      </c>
      <c r="H147" s="4">
        <f>IFERROR(__xludf.DUMMYFUNCTION("""COMPUTED_VALUE"""),16.42)</f>
        <v>16.42</v>
      </c>
      <c r="I147" s="4">
        <f>IFERROR(__xludf.DUMMYFUNCTION("""COMPUTED_VALUE"""),9.79)</f>
        <v>9.79</v>
      </c>
      <c r="J147" s="8">
        <f>IFERROR(__xludf.DUMMYFUNCTION("""COMPUTED_VALUE"""),-0.0141)</f>
        <v>-0.0141</v>
      </c>
    </row>
    <row r="148" ht="15.75" customHeight="1">
      <c r="C148" s="4" t="str">
        <f>IFERROR(__xludf.DUMMYFUNCTION("""COMPUTED_VALUE"""),"Suecia [+]")</f>
        <v>Suecia [+]</v>
      </c>
      <c r="D148" s="4">
        <f>IFERROR(__xludf.DUMMYFUNCTION("""COMPUTED_VALUE"""),303.0)</f>
        <v>303</v>
      </c>
      <c r="E148" s="4">
        <f>IFERROR(__xludf.DUMMYFUNCTION("""COMPUTED_VALUE"""),838.0)</f>
        <v>838</v>
      </c>
      <c r="F148" s="9">
        <f>IFERROR(__xludf.DUMMYFUNCTION("""COMPUTED_VALUE"""),1141.0)</f>
        <v>1141</v>
      </c>
      <c r="G148" s="4">
        <f>IFERROR(__xludf.DUMMYFUNCTION("""COMPUTED_VALUE"""),6.4)</f>
        <v>6.4</v>
      </c>
      <c r="H148" s="4">
        <f>IFERROR(__xludf.DUMMYFUNCTION("""COMPUTED_VALUE"""),17.9)</f>
        <v>17.9</v>
      </c>
      <c r="I148" s="4">
        <f>IFERROR(__xludf.DUMMYFUNCTION("""COMPUTED_VALUE"""),12.2)</f>
        <v>12.2</v>
      </c>
      <c r="J148" s="8">
        <f>IFERROR(__xludf.DUMMYFUNCTION("""COMPUTED_VALUE"""),-0.0896)</f>
        <v>-0.0896</v>
      </c>
    </row>
    <row r="149" ht="15.75" customHeight="1">
      <c r="C149" s="4" t="str">
        <f>IFERROR(__xludf.DUMMYFUNCTION("""COMPUTED_VALUE"""),"Singapur [+]")</f>
        <v>Singapur [+]</v>
      </c>
      <c r="D149" s="4">
        <f>IFERROR(__xludf.DUMMYFUNCTION("""COMPUTED_VALUE"""),192.0)</f>
        <v>192</v>
      </c>
      <c r="E149" s="4">
        <f>IFERROR(__xludf.DUMMYFUNCTION("""COMPUTED_VALUE"""),346.0)</f>
        <v>346</v>
      </c>
      <c r="F149" s="4">
        <f>IFERROR(__xludf.DUMMYFUNCTION("""COMPUTED_VALUE"""),538.0)</f>
        <v>538</v>
      </c>
      <c r="G149" s="4">
        <f>IFERROR(__xludf.DUMMYFUNCTION("""COMPUTED_VALUE"""),7.89)</f>
        <v>7.89</v>
      </c>
      <c r="H149" s="4">
        <f>IFERROR(__xludf.DUMMYFUNCTION("""COMPUTED_VALUE"""),13.07)</f>
        <v>13.07</v>
      </c>
      <c r="I149" s="4">
        <f>IFERROR(__xludf.DUMMYFUNCTION("""COMPUTED_VALUE"""),10.59)</f>
        <v>10.59</v>
      </c>
      <c r="J149" s="8">
        <f>IFERROR(__xludf.DUMMYFUNCTION("""COMPUTED_VALUE"""),9.0E-4)</f>
        <v>0.0009</v>
      </c>
    </row>
    <row r="150" ht="15.75" customHeight="1">
      <c r="C150" s="4" t="str">
        <f>IFERROR(__xludf.DUMMYFUNCTION("""COMPUTED_VALUE"""),"Eslovenia [+]")</f>
        <v>Eslovenia [+]</v>
      </c>
      <c r="D150" s="4">
        <f>IFERROR(__xludf.DUMMYFUNCTION("""COMPUTED_VALUE"""),78.0)</f>
        <v>78</v>
      </c>
      <c r="E150" s="4">
        <f>IFERROR(__xludf.DUMMYFUNCTION("""COMPUTED_VALUE"""),336.0)</f>
        <v>336</v>
      </c>
      <c r="F150" s="4">
        <f>IFERROR(__xludf.DUMMYFUNCTION("""COMPUTED_VALUE"""),414.0)</f>
        <v>414</v>
      </c>
      <c r="G150" s="4">
        <f>IFERROR(__xludf.DUMMYFUNCTION("""COMPUTED_VALUE"""),7.5)</f>
        <v>7.5</v>
      </c>
      <c r="H150" s="4">
        <f>IFERROR(__xludf.DUMMYFUNCTION("""COMPUTED_VALUE"""),33.1)</f>
        <v>33.1</v>
      </c>
      <c r="I150" s="4">
        <f>IFERROR(__xludf.DUMMYFUNCTION("""COMPUTED_VALUE"""),20.2)</f>
        <v>20.2</v>
      </c>
      <c r="J150" s="8">
        <f>IFERROR(__xludf.DUMMYFUNCTION("""COMPUTED_VALUE"""),-0.0776)</f>
        <v>-0.0776</v>
      </c>
    </row>
    <row r="151" ht="15.75" customHeight="1">
      <c r="C151" s="4" t="str">
        <f>IFERROR(__xludf.DUMMYFUNCTION("""COMPUTED_VALUE"""),"Eslovaquia [+]")</f>
        <v>Eslovaquia [+]</v>
      </c>
      <c r="D151" s="4">
        <f>IFERROR(__xludf.DUMMYFUNCTION("""COMPUTED_VALUE"""),92.0)</f>
        <v>92</v>
      </c>
      <c r="E151" s="4">
        <f>IFERROR(__xludf.DUMMYFUNCTION("""COMPUTED_VALUE"""),539.0)</f>
        <v>539</v>
      </c>
      <c r="F151" s="4">
        <f>IFERROR(__xludf.DUMMYFUNCTION("""COMPUTED_VALUE"""),631.0)</f>
        <v>631</v>
      </c>
      <c r="G151" s="4">
        <f>IFERROR(__xludf.DUMMYFUNCTION("""COMPUTED_VALUE"""),3.3)</f>
        <v>3.3</v>
      </c>
      <c r="H151" s="4">
        <f>IFERROR(__xludf.DUMMYFUNCTION("""COMPUTED_VALUE"""),20.5)</f>
        <v>20.5</v>
      </c>
      <c r="I151" s="4">
        <f>IFERROR(__xludf.DUMMYFUNCTION("""COMPUTED_VALUE"""),11.7)</f>
        <v>11.7</v>
      </c>
      <c r="J151" s="8">
        <f>IFERROR(__xludf.DUMMYFUNCTION("""COMPUTED_VALUE"""),0.0446)</f>
        <v>0.0446</v>
      </c>
    </row>
    <row r="152" ht="15.75" customHeight="1">
      <c r="C152" s="4" t="str">
        <f>IFERROR(__xludf.DUMMYFUNCTION("""COMPUTED_VALUE"""),"Sierra Leona [+]")</f>
        <v>Sierra Leona [+]</v>
      </c>
      <c r="D152" s="4">
        <f>IFERROR(__xludf.DUMMYFUNCTION("""COMPUTED_VALUE"""),265.0)</f>
        <v>265</v>
      </c>
      <c r="E152" s="4">
        <f>IFERROR(__xludf.DUMMYFUNCTION("""COMPUTED_VALUE"""),573.0)</f>
        <v>573</v>
      </c>
      <c r="F152" s="4">
        <f>IFERROR(__xludf.DUMMYFUNCTION("""COMPUTED_VALUE"""),838.0)</f>
        <v>838</v>
      </c>
      <c r="G152" s="4">
        <f>IFERROR(__xludf.DUMMYFUNCTION("""COMPUTED_VALUE"""),8.23)</f>
        <v>8.23</v>
      </c>
      <c r="H152" s="4">
        <f>IFERROR(__xludf.DUMMYFUNCTION("""COMPUTED_VALUE"""),17.95)</f>
        <v>17.95</v>
      </c>
      <c r="I152" s="4">
        <f>IFERROR(__xludf.DUMMYFUNCTION("""COMPUTED_VALUE"""),13.07)</f>
        <v>13.07</v>
      </c>
      <c r="J152" s="8">
        <f>IFERROR(__xludf.DUMMYFUNCTION("""COMPUTED_VALUE"""),0.0506)</f>
        <v>0.0506</v>
      </c>
    </row>
    <row r="153" ht="15.75" customHeight="1">
      <c r="C153" s="4" t="str">
        <f>IFERROR(__xludf.DUMMYFUNCTION("""COMPUTED_VALUE"""),"Senegal [+]")</f>
        <v>Senegal [+]</v>
      </c>
      <c r="D153" s="4">
        <f>IFERROR(__xludf.DUMMYFUNCTION("""COMPUTED_VALUE"""),262.0)</f>
        <v>262</v>
      </c>
      <c r="E153" s="4">
        <f>IFERROR(__xludf.DUMMYFUNCTION("""COMPUTED_VALUE"""),648.0)</f>
        <v>648</v>
      </c>
      <c r="F153" s="4">
        <f>IFERROR(__xludf.DUMMYFUNCTION("""COMPUTED_VALUE"""),910.0)</f>
        <v>910</v>
      </c>
      <c r="G153" s="4">
        <f>IFERROR(__xludf.DUMMYFUNCTION("""COMPUTED_VALUE"""),4.03)</f>
        <v>4.03</v>
      </c>
      <c r="H153" s="4">
        <f>IFERROR(__xludf.DUMMYFUNCTION("""COMPUTED_VALUE"""),10.49)</f>
        <v>10.49</v>
      </c>
      <c r="I153" s="4">
        <f>IFERROR(__xludf.DUMMYFUNCTION("""COMPUTED_VALUE"""),7.18)</f>
        <v>7.18</v>
      </c>
      <c r="J153" s="8">
        <f>IFERROR(__xludf.DUMMYFUNCTION("""COMPUTED_VALUE"""),-0.0439)</f>
        <v>-0.0439</v>
      </c>
    </row>
    <row r="154" ht="15.75" customHeight="1">
      <c r="C154" s="4" t="str">
        <f>IFERROR(__xludf.DUMMYFUNCTION("""COMPUTED_VALUE"""),"Somalia [+]")</f>
        <v>Somalia [+]</v>
      </c>
      <c r="D154" s="4">
        <f>IFERROR(__xludf.DUMMYFUNCTION("""COMPUTED_VALUE"""),142.0)</f>
        <v>142</v>
      </c>
      <c r="E154" s="4">
        <f>IFERROR(__xludf.DUMMYFUNCTION("""COMPUTED_VALUE"""),329.0)</f>
        <v>329</v>
      </c>
      <c r="F154" s="4">
        <f>IFERROR(__xludf.DUMMYFUNCTION("""COMPUTED_VALUE"""),470.0)</f>
        <v>470</v>
      </c>
      <c r="G154" s="4">
        <f>IFERROR(__xludf.DUMMYFUNCTION("""COMPUTED_VALUE"""),2.35)</f>
        <v>2.35</v>
      </c>
      <c r="H154" s="4">
        <f>IFERROR(__xludf.DUMMYFUNCTION("""COMPUTED_VALUE"""),5.46)</f>
        <v>5.46</v>
      </c>
      <c r="I154" s="4">
        <f>IFERROR(__xludf.DUMMYFUNCTION("""COMPUTED_VALUE"""),3.9)</f>
        <v>3.9</v>
      </c>
      <c r="J154" s="8">
        <f>IFERROR(__xludf.DUMMYFUNCTION("""COMPUTED_VALUE"""),-0.0557)</f>
        <v>-0.0557</v>
      </c>
    </row>
    <row r="155" ht="15.75" customHeight="1">
      <c r="C155" s="4" t="str">
        <f>IFERROR(__xludf.DUMMYFUNCTION("""COMPUTED_VALUE"""),"Surinam [+]")</f>
        <v>Surinam [+]</v>
      </c>
      <c r="D155" s="4">
        <f>IFERROR(__xludf.DUMMYFUNCTION("""COMPUTED_VALUE"""),32.0)</f>
        <v>32</v>
      </c>
      <c r="E155" s="4">
        <f>IFERROR(__xludf.DUMMYFUNCTION("""COMPUTED_VALUE"""),113.0)</f>
        <v>113</v>
      </c>
      <c r="F155" s="4">
        <f>IFERROR(__xludf.DUMMYFUNCTION("""COMPUTED_VALUE"""),145.0)</f>
        <v>145</v>
      </c>
      <c r="G155" s="4">
        <f>IFERROR(__xludf.DUMMYFUNCTION("""COMPUTED_VALUE"""),12.32)</f>
        <v>12.32</v>
      </c>
      <c r="H155" s="4">
        <f>IFERROR(__xludf.DUMMYFUNCTION("""COMPUTED_VALUE"""),42.43)</f>
        <v>42.43</v>
      </c>
      <c r="I155" s="4">
        <f>IFERROR(__xludf.DUMMYFUNCTION("""COMPUTED_VALUE"""),27.39)</f>
        <v>27.39</v>
      </c>
      <c r="J155" s="8">
        <f>IFERROR(__xludf.DUMMYFUNCTION("""COMPUTED_VALUE"""),0.0077)</f>
        <v>0.0077</v>
      </c>
    </row>
    <row r="156" ht="15.75" customHeight="1">
      <c r="C156" s="4" t="str">
        <f>IFERROR(__xludf.DUMMYFUNCTION("""COMPUTED_VALUE"""),"Sudán del Sur [+]")</f>
        <v>Sudán del Sur [+]</v>
      </c>
      <c r="D156" s="4">
        <f>IFERROR(__xludf.DUMMYFUNCTION("""COMPUTED_VALUE"""),196.0)</f>
        <v>196</v>
      </c>
      <c r="E156" s="4">
        <f>IFERROR(__xludf.DUMMYFUNCTION("""COMPUTED_VALUE"""),494.0)</f>
        <v>494</v>
      </c>
      <c r="F156" s="4">
        <f>IFERROR(__xludf.DUMMYFUNCTION("""COMPUTED_VALUE"""),690.0)</f>
        <v>690</v>
      </c>
      <c r="G156" s="4">
        <f>IFERROR(__xludf.DUMMYFUNCTION("""COMPUTED_VALUE"""),4.11)</f>
        <v>4.11</v>
      </c>
      <c r="H156" s="4">
        <f>IFERROR(__xludf.DUMMYFUNCTION("""COMPUTED_VALUE"""),10.4)</f>
        <v>10.4</v>
      </c>
      <c r="I156" s="4">
        <f>IFERROR(__xludf.DUMMYFUNCTION("""COMPUTED_VALUE"""),7.26)</f>
        <v>7.26</v>
      </c>
      <c r="J156" s="8">
        <f>IFERROR(__xludf.DUMMYFUNCTION("""COMPUTED_VALUE"""),-0.0136)</f>
        <v>-0.0136</v>
      </c>
    </row>
    <row r="157" ht="15.75" customHeight="1">
      <c r="C157" s="4" t="str">
        <f>IFERROR(__xludf.DUMMYFUNCTION("""COMPUTED_VALUE"""),"Santo Tomé y Príncipe [+]")</f>
        <v>Santo Tomé y Príncipe [+]</v>
      </c>
      <c r="D157" s="4">
        <f>IFERROR(__xludf.DUMMYFUNCTION("""COMPUTED_VALUE"""),1.0)</f>
        <v>1</v>
      </c>
      <c r="E157" s="4">
        <f>IFERROR(__xludf.DUMMYFUNCTION("""COMPUTED_VALUE"""),2.0)</f>
        <v>2</v>
      </c>
      <c r="F157" s="4">
        <f>IFERROR(__xludf.DUMMYFUNCTION("""COMPUTED_VALUE"""),3.0)</f>
        <v>3</v>
      </c>
      <c r="G157" s="4">
        <f>IFERROR(__xludf.DUMMYFUNCTION("""COMPUTED_VALUE"""),1.17)</f>
        <v>1.17</v>
      </c>
      <c r="H157" s="4">
        <f>IFERROR(__xludf.DUMMYFUNCTION("""COMPUTED_VALUE"""),2.44)</f>
        <v>2.44</v>
      </c>
      <c r="I157" s="4">
        <f>IFERROR(__xludf.DUMMYFUNCTION("""COMPUTED_VALUE"""),1.86)</f>
        <v>1.86</v>
      </c>
      <c r="J157" s="8">
        <f>IFERROR(__xludf.DUMMYFUNCTION("""COMPUTED_VALUE"""),-0.0106)</f>
        <v>-0.0106</v>
      </c>
    </row>
    <row r="158" ht="15.75" customHeight="1">
      <c r="C158" s="4" t="str">
        <f>IFERROR(__xludf.DUMMYFUNCTION("""COMPUTED_VALUE"""),"El Salvador [+]")</f>
        <v>El Salvador [+]</v>
      </c>
      <c r="D158" s="4">
        <f>IFERROR(__xludf.DUMMYFUNCTION("""COMPUTED_VALUE"""),166.0)</f>
        <v>166</v>
      </c>
      <c r="E158" s="4">
        <f>IFERROR(__xludf.DUMMYFUNCTION("""COMPUTED_VALUE"""),573.0)</f>
        <v>573</v>
      </c>
      <c r="F158" s="4">
        <f>IFERROR(__xludf.DUMMYFUNCTION("""COMPUTED_VALUE"""),739.0)</f>
        <v>739</v>
      </c>
      <c r="G158" s="4">
        <f>IFERROR(__xludf.DUMMYFUNCTION("""COMPUTED_VALUE"""),5.1)</f>
        <v>5.1</v>
      </c>
      <c r="H158" s="4">
        <f>IFERROR(__xludf.DUMMYFUNCTION("""COMPUTED_VALUE"""),19.59)</f>
        <v>19.59</v>
      </c>
      <c r="I158" s="4">
        <f>IFERROR(__xludf.DUMMYFUNCTION("""COMPUTED_VALUE"""),11.95)</f>
        <v>11.95</v>
      </c>
      <c r="J158" s="8">
        <f>IFERROR(__xludf.DUMMYFUNCTION("""COMPUTED_VALUE"""),-0.0627)</f>
        <v>-0.0627</v>
      </c>
    </row>
    <row r="159" ht="15.75" customHeight="1">
      <c r="C159" s="4" t="str">
        <f>IFERROR(__xludf.DUMMYFUNCTION("""COMPUTED_VALUE"""),"Siria [+]")</f>
        <v>Siria [+]</v>
      </c>
      <c r="D159" s="4">
        <f>IFERROR(__xludf.DUMMYFUNCTION("""COMPUTED_VALUE"""),104.0)</f>
        <v>104</v>
      </c>
      <c r="E159" s="4">
        <f>IFERROR(__xludf.DUMMYFUNCTION("""COMPUTED_VALUE"""),373.0)</f>
        <v>373</v>
      </c>
      <c r="F159" s="4">
        <f>IFERROR(__xludf.DUMMYFUNCTION("""COMPUTED_VALUE"""),477.0)</f>
        <v>477</v>
      </c>
      <c r="G159" s="4">
        <f>IFERROR(__xludf.DUMMYFUNCTION("""COMPUTED_VALUE"""),0.99)</f>
        <v>0.99</v>
      </c>
      <c r="H159" s="4">
        <f>IFERROR(__xludf.DUMMYFUNCTION("""COMPUTED_VALUE"""),3.46)</f>
        <v>3.46</v>
      </c>
      <c r="I159" s="4">
        <f>IFERROR(__xludf.DUMMYFUNCTION("""COMPUTED_VALUE"""),2.23)</f>
        <v>2.23</v>
      </c>
      <c r="J159" s="8">
        <f>IFERROR(__xludf.DUMMYFUNCTION("""COMPUTED_VALUE"""),0.104)</f>
        <v>0.104</v>
      </c>
    </row>
    <row r="160" ht="15.75" customHeight="1">
      <c r="C160" s="4" t="str">
        <f>IFERROR(__xludf.DUMMYFUNCTION("""COMPUTED_VALUE"""),"Eswatini [+]")</f>
        <v>Eswatini [+]</v>
      </c>
      <c r="D160" s="4">
        <f>IFERROR(__xludf.DUMMYFUNCTION("""COMPUTED_VALUE"""),47.0)</f>
        <v>47</v>
      </c>
      <c r="E160" s="4">
        <f>IFERROR(__xludf.DUMMYFUNCTION("""COMPUTED_VALUE"""),134.0)</f>
        <v>134</v>
      </c>
      <c r="F160" s="4">
        <f>IFERROR(__xludf.DUMMYFUNCTION("""COMPUTED_VALUE"""),181.0)</f>
        <v>181</v>
      </c>
      <c r="G160" s="4">
        <f>IFERROR(__xludf.DUMMYFUNCTION("""COMPUTED_VALUE"""),8.39)</f>
        <v>8.39</v>
      </c>
      <c r="H160" s="4">
        <f>IFERROR(__xludf.DUMMYFUNCTION("""COMPUTED_VALUE"""),26.74)</f>
        <v>26.74</v>
      </c>
      <c r="I160" s="4">
        <f>IFERROR(__xludf.DUMMYFUNCTION("""COMPUTED_VALUE"""),17.43)</f>
        <v>17.43</v>
      </c>
      <c r="J160" s="8">
        <f>IFERROR(__xludf.DUMMYFUNCTION("""COMPUTED_VALUE"""),0.0029)</f>
        <v>0.0029</v>
      </c>
    </row>
    <row r="161" ht="15.75" customHeight="1">
      <c r="C161" s="4" t="str">
        <f>IFERROR(__xludf.DUMMYFUNCTION("""COMPUTED_VALUE"""),"Chad [+]")</f>
        <v>Chad [+]</v>
      </c>
      <c r="D161" s="4">
        <f>IFERROR(__xludf.DUMMYFUNCTION("""COMPUTED_VALUE"""),250.0)</f>
        <v>250</v>
      </c>
      <c r="E161" s="4">
        <f>IFERROR(__xludf.DUMMYFUNCTION("""COMPUTED_VALUE"""),707.0)</f>
        <v>707</v>
      </c>
      <c r="F161" s="4">
        <f>IFERROR(__xludf.DUMMYFUNCTION("""COMPUTED_VALUE"""),956.0)</f>
        <v>956</v>
      </c>
      <c r="G161" s="4">
        <f>IFERROR(__xludf.DUMMYFUNCTION("""COMPUTED_VALUE"""),4.17)</f>
        <v>4.17</v>
      </c>
      <c r="H161" s="4">
        <f>IFERROR(__xludf.DUMMYFUNCTION("""COMPUTED_VALUE"""),11.85)</f>
        <v>11.85</v>
      </c>
      <c r="I161" s="4">
        <f>IFERROR(__xludf.DUMMYFUNCTION("""COMPUTED_VALUE"""),8.0)</f>
        <v>8</v>
      </c>
      <c r="J161" s="8">
        <f>IFERROR(__xludf.DUMMYFUNCTION("""COMPUTED_VALUE"""),0.0204)</f>
        <v>0.0204</v>
      </c>
    </row>
    <row r="162" ht="15.75" customHeight="1">
      <c r="C162" s="4" t="str">
        <f>IFERROR(__xludf.DUMMYFUNCTION("""COMPUTED_VALUE"""),"Togo [+]")</f>
        <v>Togo [+]</v>
      </c>
      <c r="D162" s="4">
        <f>IFERROR(__xludf.DUMMYFUNCTION("""COMPUTED_VALUE"""),171.0)</f>
        <v>171</v>
      </c>
      <c r="E162" s="4">
        <f>IFERROR(__xludf.DUMMYFUNCTION("""COMPUTED_VALUE"""),432.0)</f>
        <v>432</v>
      </c>
      <c r="F162" s="4">
        <f>IFERROR(__xludf.DUMMYFUNCTION("""COMPUTED_VALUE"""),603.0)</f>
        <v>603</v>
      </c>
      <c r="G162" s="4">
        <f>IFERROR(__xludf.DUMMYFUNCTION("""COMPUTED_VALUE"""),5.29)</f>
        <v>5.29</v>
      </c>
      <c r="H162" s="4">
        <f>IFERROR(__xludf.DUMMYFUNCTION("""COMPUTED_VALUE"""),13.56)</f>
        <v>13.56</v>
      </c>
      <c r="I162" s="4">
        <f>IFERROR(__xludf.DUMMYFUNCTION("""COMPUTED_VALUE"""),9.39)</f>
        <v>9.39</v>
      </c>
      <c r="J162" s="8">
        <f>IFERROR(__xludf.DUMMYFUNCTION("""COMPUTED_VALUE"""),-0.0147)</f>
        <v>-0.0147</v>
      </c>
    </row>
    <row r="163" ht="15.75" customHeight="1">
      <c r="C163" s="4" t="str">
        <f>IFERROR(__xludf.DUMMYFUNCTION("""COMPUTED_VALUE"""),"Tailandia [+]")</f>
        <v>Tailandia [+]</v>
      </c>
      <c r="D163" s="9">
        <f>IFERROR(__xludf.DUMMYFUNCTION("""COMPUTED_VALUE"""),3205.0)</f>
        <v>3205</v>
      </c>
      <c r="E163" s="9">
        <f>IFERROR(__xludf.DUMMYFUNCTION("""COMPUTED_VALUE"""),7312.0)</f>
        <v>7312</v>
      </c>
      <c r="F163" s="9">
        <f>IFERROR(__xludf.DUMMYFUNCTION("""COMPUTED_VALUE"""),10517.0)</f>
        <v>10517</v>
      </c>
      <c r="G163" s="4">
        <f>IFERROR(__xludf.DUMMYFUNCTION("""COMPUTED_VALUE"""),9.35)</f>
        <v>9.35</v>
      </c>
      <c r="H163" s="4">
        <f>IFERROR(__xludf.DUMMYFUNCTION("""COMPUTED_VALUE"""),22.2)</f>
        <v>22.2</v>
      </c>
      <c r="I163" s="4">
        <f>IFERROR(__xludf.DUMMYFUNCTION("""COMPUTED_VALUE"""),15.65)</f>
        <v>15.65</v>
      </c>
      <c r="J163" s="8">
        <f>IFERROR(__xludf.DUMMYFUNCTION("""COMPUTED_VALUE"""),0.0195)</f>
        <v>0.0195</v>
      </c>
    </row>
    <row r="164" ht="15.75" customHeight="1">
      <c r="C164" s="4" t="str">
        <f>IFERROR(__xludf.DUMMYFUNCTION("""COMPUTED_VALUE"""),"Tayikistán [+]")</f>
        <v>Tayikistán [+]</v>
      </c>
      <c r="D164" s="4">
        <f>IFERROR(__xludf.DUMMYFUNCTION("""COMPUTED_VALUE"""),67.0)</f>
        <v>67</v>
      </c>
      <c r="E164" s="4">
        <f>IFERROR(__xludf.DUMMYFUNCTION("""COMPUTED_VALUE"""),222.0)</f>
        <v>222</v>
      </c>
      <c r="F164" s="4">
        <f>IFERROR(__xludf.DUMMYFUNCTION("""COMPUTED_VALUE"""),290.0)</f>
        <v>290</v>
      </c>
      <c r="G164" s="4">
        <f>IFERROR(__xludf.DUMMYFUNCTION("""COMPUTED_VALUE"""),1.81)</f>
        <v>1.81</v>
      </c>
      <c r="H164" s="4">
        <f>IFERROR(__xludf.DUMMYFUNCTION("""COMPUTED_VALUE"""),5.85)</f>
        <v>5.85</v>
      </c>
      <c r="I164" s="4">
        <f>IFERROR(__xludf.DUMMYFUNCTION("""COMPUTED_VALUE"""),3.79)</f>
        <v>3.79</v>
      </c>
      <c r="J164" s="8">
        <f>IFERROR(__xludf.DUMMYFUNCTION("""COMPUTED_VALUE"""),-0.0356)</f>
        <v>-0.0356</v>
      </c>
    </row>
    <row r="165" ht="15.75" customHeight="1">
      <c r="C165" s="4" t="str">
        <f>IFERROR(__xludf.DUMMYFUNCTION("""COMPUTED_VALUE"""),"Timor Oriental [+]")</f>
        <v>Timor Oriental [+]</v>
      </c>
      <c r="D165" s="4">
        <f>IFERROR(__xludf.DUMMYFUNCTION("""COMPUTED_VALUE"""),25.0)</f>
        <v>25</v>
      </c>
      <c r="E165" s="4">
        <f>IFERROR(__xludf.DUMMYFUNCTION("""COMPUTED_VALUE"""),59.0)</f>
        <v>59</v>
      </c>
      <c r="F165" s="4">
        <f>IFERROR(__xludf.DUMMYFUNCTION("""COMPUTED_VALUE"""),84.0)</f>
        <v>84</v>
      </c>
      <c r="G165" s="4">
        <f>IFERROR(__xludf.DUMMYFUNCTION("""COMPUTED_VALUE"""),4.64)</f>
        <v>4.64</v>
      </c>
      <c r="H165" s="4">
        <f>IFERROR(__xludf.DUMMYFUNCTION("""COMPUTED_VALUE"""),10.67)</f>
        <v>10.67</v>
      </c>
      <c r="I165" s="4">
        <f>IFERROR(__xludf.DUMMYFUNCTION("""COMPUTED_VALUE"""),7.68)</f>
        <v>7.68</v>
      </c>
      <c r="J165" s="8">
        <f>IFERROR(__xludf.DUMMYFUNCTION("""COMPUTED_VALUE"""),0.0172)</f>
        <v>0.0172</v>
      </c>
    </row>
    <row r="166" ht="15.75" customHeight="1">
      <c r="C166" s="4" t="str">
        <f>IFERROR(__xludf.DUMMYFUNCTION("""COMPUTED_VALUE"""),"Turkmenistán [+]")</f>
        <v>Turkmenistán [+]</v>
      </c>
      <c r="D166" s="4">
        <f>IFERROR(__xludf.DUMMYFUNCTION("""COMPUTED_VALUE"""),115.0)</f>
        <v>115</v>
      </c>
      <c r="E166" s="4">
        <f>IFERROR(__xludf.DUMMYFUNCTION("""COMPUTED_VALUE"""),382.0)</f>
        <v>382</v>
      </c>
      <c r="F166" s="4">
        <f>IFERROR(__xludf.DUMMYFUNCTION("""COMPUTED_VALUE"""),497.0)</f>
        <v>497</v>
      </c>
      <c r="G166" s="4">
        <f>IFERROR(__xludf.DUMMYFUNCTION("""COMPUTED_VALUE"""),4.44)</f>
        <v>4.44</v>
      </c>
      <c r="H166" s="4">
        <f>IFERROR(__xludf.DUMMYFUNCTION("""COMPUTED_VALUE"""),15.27)</f>
        <v>15.27</v>
      </c>
      <c r="I166" s="4">
        <f>IFERROR(__xludf.DUMMYFUNCTION("""COMPUTED_VALUE"""),9.77)</f>
        <v>9.77</v>
      </c>
      <c r="J166" s="8">
        <f>IFERROR(__xludf.DUMMYFUNCTION("""COMPUTED_VALUE"""),0.0177)</f>
        <v>0.0177</v>
      </c>
    </row>
    <row r="167" ht="15.75" customHeight="1">
      <c r="C167" s="4" t="str">
        <f>IFERROR(__xludf.DUMMYFUNCTION("""COMPUTED_VALUE"""),"Túnez [+]")</f>
        <v>Túnez [+]</v>
      </c>
      <c r="D167" s="4">
        <f>IFERROR(__xludf.DUMMYFUNCTION("""COMPUTED_VALUE"""),219.0)</f>
        <v>219</v>
      </c>
      <c r="E167" s="4">
        <f>IFERROR(__xludf.DUMMYFUNCTION("""COMPUTED_VALUE"""),337.0)</f>
        <v>337</v>
      </c>
      <c r="F167" s="4">
        <f>IFERROR(__xludf.DUMMYFUNCTION("""COMPUTED_VALUE"""),556.0)</f>
        <v>556</v>
      </c>
      <c r="G167" s="4">
        <f>IFERROR(__xludf.DUMMYFUNCTION("""COMPUTED_VALUE"""),4.12)</f>
        <v>4.12</v>
      </c>
      <c r="H167" s="4">
        <f>IFERROR(__xludf.DUMMYFUNCTION("""COMPUTED_VALUE"""),6.35)</f>
        <v>6.35</v>
      </c>
      <c r="I167" s="4">
        <f>IFERROR(__xludf.DUMMYFUNCTION("""COMPUTED_VALUE"""),5.23)</f>
        <v>5.23</v>
      </c>
      <c r="J167" s="8">
        <f>IFERROR(__xludf.DUMMYFUNCTION("""COMPUTED_VALUE"""),0.0295)</f>
        <v>0.0295</v>
      </c>
    </row>
    <row r="168" ht="15.75" customHeight="1">
      <c r="C168" s="4" t="str">
        <f>IFERROR(__xludf.DUMMYFUNCTION("""COMPUTED_VALUE"""),"Tonga [+]")</f>
        <v>Tonga [+]</v>
      </c>
      <c r="D168" s="4">
        <f>IFERROR(__xludf.DUMMYFUNCTION("""COMPUTED_VALUE"""),2.0)</f>
        <v>2</v>
      </c>
      <c r="E168" s="4">
        <f>IFERROR(__xludf.DUMMYFUNCTION("""COMPUTED_VALUE"""),2.0)</f>
        <v>2</v>
      </c>
      <c r="F168" s="4">
        <f>IFERROR(__xludf.DUMMYFUNCTION("""COMPUTED_VALUE"""),4.0)</f>
        <v>4</v>
      </c>
      <c r="G168" s="4">
        <f>IFERROR(__xludf.DUMMYFUNCTION("""COMPUTED_VALUE"""),3.01)</f>
        <v>3.01</v>
      </c>
      <c r="H168" s="4">
        <f>IFERROR(__xludf.DUMMYFUNCTION("""COMPUTED_VALUE"""),4.25)</f>
        <v>4.25</v>
      </c>
      <c r="I168" s="4">
        <f>IFERROR(__xludf.DUMMYFUNCTION("""COMPUTED_VALUE"""),3.67)</f>
        <v>3.67</v>
      </c>
      <c r="J168" s="8">
        <f>IFERROR(__xludf.DUMMYFUNCTION("""COMPUTED_VALUE"""),0.4336)</f>
        <v>0.4336</v>
      </c>
    </row>
    <row r="169" ht="15.75" customHeight="1">
      <c r="C169" s="4" t="str">
        <f>IFERROR(__xludf.DUMMYFUNCTION("""COMPUTED_VALUE"""),"Türkiye [+]")</f>
        <v>Türkiye [+]</v>
      </c>
      <c r="D169" s="4">
        <f>IFERROR(__xludf.DUMMYFUNCTION("""COMPUTED_VALUE"""),376.0)</f>
        <v>376</v>
      </c>
      <c r="E169" s="9">
        <f>IFERROR(__xludf.DUMMYFUNCTION("""COMPUTED_VALUE"""),1148.0)</f>
        <v>1148</v>
      </c>
      <c r="F169" s="9">
        <f>IFERROR(__xludf.DUMMYFUNCTION("""COMPUTED_VALUE"""),1524.0)</f>
        <v>1524</v>
      </c>
      <c r="G169" s="4">
        <f>IFERROR(__xludf.DUMMYFUNCTION("""COMPUTED_VALUE"""),1.0)</f>
        <v>1</v>
      </c>
      <c r="H169" s="4">
        <f>IFERROR(__xludf.DUMMYFUNCTION("""COMPUTED_VALUE"""),3.1)</f>
        <v>3.1</v>
      </c>
      <c r="I169" s="4">
        <f>IFERROR(__xludf.DUMMYFUNCTION("""COMPUTED_VALUE"""),2.1)</f>
        <v>2.1</v>
      </c>
      <c r="J169" s="8">
        <f>IFERROR(__xludf.DUMMYFUNCTION("""COMPUTED_VALUE"""),0.4)</f>
        <v>0.4</v>
      </c>
    </row>
    <row r="170" ht="15.75" customHeight="1">
      <c r="C170" s="4" t="str">
        <f>IFERROR(__xludf.DUMMYFUNCTION("""COMPUTED_VALUE"""),"Trinidad y Tobago [+]")</f>
        <v>Trinidad y Tobago [+]</v>
      </c>
      <c r="D170" s="4">
        <f>IFERROR(__xludf.DUMMYFUNCTION("""COMPUTED_VALUE"""),36.0)</f>
        <v>36</v>
      </c>
      <c r="E170" s="4">
        <f>IFERROR(__xludf.DUMMYFUNCTION("""COMPUTED_VALUE"""),134.0)</f>
        <v>134</v>
      </c>
      <c r="F170" s="4">
        <f>IFERROR(__xludf.DUMMYFUNCTION("""COMPUTED_VALUE"""),171.0)</f>
        <v>171</v>
      </c>
      <c r="G170" s="4">
        <f>IFERROR(__xludf.DUMMYFUNCTION("""COMPUTED_VALUE"""),5.43)</f>
        <v>5.43</v>
      </c>
      <c r="H170" s="4">
        <f>IFERROR(__xludf.DUMMYFUNCTION("""COMPUTED_VALUE"""),20.42)</f>
        <v>20.42</v>
      </c>
      <c r="I170" s="4">
        <f>IFERROR(__xludf.DUMMYFUNCTION("""COMPUTED_VALUE"""),12.86)</f>
        <v>12.86</v>
      </c>
      <c r="J170" s="8">
        <f>IFERROR(__xludf.DUMMYFUNCTION("""COMPUTED_VALUE"""),0.2595)</f>
        <v>0.2595</v>
      </c>
    </row>
    <row r="171" ht="15.75" customHeight="1">
      <c r="C171" s="4" t="str">
        <f>IFERROR(__xludf.DUMMYFUNCTION("""COMPUTED_VALUE"""),"Tanzania [+]")</f>
        <v>Tanzania [+]</v>
      </c>
      <c r="D171" s="4">
        <f>IFERROR(__xludf.DUMMYFUNCTION("""COMPUTED_VALUE"""),793.0)</f>
        <v>793</v>
      </c>
      <c r="E171" s="9">
        <f>IFERROR(__xludf.DUMMYFUNCTION("""COMPUTED_VALUE"""),2309.0)</f>
        <v>2309</v>
      </c>
      <c r="F171" s="9">
        <f>IFERROR(__xludf.DUMMYFUNCTION("""COMPUTED_VALUE"""),3103.0)</f>
        <v>3103</v>
      </c>
      <c r="G171" s="4">
        <f>IFERROR(__xludf.DUMMYFUNCTION("""COMPUTED_VALUE"""),3.57)</f>
        <v>3.57</v>
      </c>
      <c r="H171" s="4">
        <f>IFERROR(__xludf.DUMMYFUNCTION("""COMPUTED_VALUE"""),10.44)</f>
        <v>10.44</v>
      </c>
      <c r="I171" s="4">
        <f>IFERROR(__xludf.DUMMYFUNCTION("""COMPUTED_VALUE"""),7.21)</f>
        <v>7.21</v>
      </c>
      <c r="J171" s="8">
        <f>IFERROR(__xludf.DUMMYFUNCTION("""COMPUTED_VALUE"""),0.0169)</f>
        <v>0.0169</v>
      </c>
    </row>
    <row r="172" ht="15.75" customHeight="1">
      <c r="C172" s="4" t="str">
        <f>IFERROR(__xludf.DUMMYFUNCTION("""COMPUTED_VALUE"""),"Ucrania [+]")</f>
        <v>Ucrania [+]</v>
      </c>
      <c r="D172" s="9">
        <f>IFERROR(__xludf.DUMMYFUNCTION("""COMPUTED_VALUE"""),1815.0)</f>
        <v>1815</v>
      </c>
      <c r="E172" s="9">
        <f>IFERROR(__xludf.DUMMYFUNCTION("""COMPUTED_VALUE"""),8460.0)</f>
        <v>8460</v>
      </c>
      <c r="F172" s="9">
        <f>IFERROR(__xludf.DUMMYFUNCTION("""COMPUTED_VALUE"""),10274.0)</f>
        <v>10274</v>
      </c>
      <c r="G172" s="4">
        <f>IFERROR(__xludf.DUMMYFUNCTION("""COMPUTED_VALUE"""),7.39)</f>
        <v>7.39</v>
      </c>
      <c r="H172" s="4">
        <f>IFERROR(__xludf.DUMMYFUNCTION("""COMPUTED_VALUE"""),40.22)</f>
        <v>40.22</v>
      </c>
      <c r="I172" s="4">
        <f>IFERROR(__xludf.DUMMYFUNCTION("""COMPUTED_VALUE"""),22.53)</f>
        <v>22.53</v>
      </c>
      <c r="J172" s="8">
        <f>IFERROR(__xludf.DUMMYFUNCTION("""COMPUTED_VALUE"""),-0.0751)</f>
        <v>-0.0751</v>
      </c>
    </row>
    <row r="173" ht="15.75" customHeight="1">
      <c r="C173" s="4" t="str">
        <f>IFERROR(__xludf.DUMMYFUNCTION("""COMPUTED_VALUE"""),"Uganda [+]")</f>
        <v>Uganda [+]</v>
      </c>
      <c r="D173" s="4">
        <f>IFERROR(__xludf.DUMMYFUNCTION("""COMPUTED_VALUE"""),705.0)</f>
        <v>705</v>
      </c>
      <c r="E173" s="9">
        <f>IFERROR(__xludf.DUMMYFUNCTION("""COMPUTED_VALUE"""),1597.0)</f>
        <v>1597</v>
      </c>
      <c r="F173" s="9">
        <f>IFERROR(__xludf.DUMMYFUNCTION("""COMPUTED_VALUE"""),2302.0)</f>
        <v>2302</v>
      </c>
      <c r="G173" s="4">
        <f>IFERROR(__xludf.DUMMYFUNCTION("""COMPUTED_VALUE"""),4.27)</f>
        <v>4.27</v>
      </c>
      <c r="H173" s="4">
        <f>IFERROR(__xludf.DUMMYFUNCTION("""COMPUTED_VALUE"""),10.03)</f>
        <v>10.03</v>
      </c>
      <c r="I173" s="4">
        <f>IFERROR(__xludf.DUMMYFUNCTION("""COMPUTED_VALUE"""),7.54)</f>
        <v>7.54</v>
      </c>
      <c r="J173" s="8">
        <f>IFERROR(__xludf.DUMMYFUNCTION("""COMPUTED_VALUE"""),-0.0013)</f>
        <v>-0.0013</v>
      </c>
    </row>
    <row r="174" ht="15.75" customHeight="1">
      <c r="C174" s="4" t="str">
        <f>IFERROR(__xludf.DUMMYFUNCTION("""COMPUTED_VALUE"""),"Uruguay [+]")</f>
        <v>Uruguay [+]</v>
      </c>
      <c r="D174" s="4">
        <f>IFERROR(__xludf.DUMMYFUNCTION("""COMPUTED_VALUE"""),126.0)</f>
        <v>126</v>
      </c>
      <c r="E174" s="4">
        <f>IFERROR(__xludf.DUMMYFUNCTION("""COMPUTED_VALUE"""),426.0)</f>
        <v>426</v>
      </c>
      <c r="F174" s="4">
        <f>IFERROR(__xludf.DUMMYFUNCTION("""COMPUTED_VALUE"""),552.0)</f>
        <v>552</v>
      </c>
      <c r="G174" s="4">
        <f>IFERROR(__xludf.DUMMYFUNCTION("""COMPUTED_VALUE"""),7.22)</f>
        <v>7.22</v>
      </c>
      <c r="H174" s="4">
        <f>IFERROR(__xludf.DUMMYFUNCTION("""COMPUTED_VALUE"""),26.33)</f>
        <v>26.33</v>
      </c>
      <c r="I174" s="4">
        <f>IFERROR(__xludf.DUMMYFUNCTION("""COMPUTED_VALUE"""),16.25)</f>
        <v>16.25</v>
      </c>
      <c r="J174" s="8">
        <f>IFERROR(__xludf.DUMMYFUNCTION("""COMPUTED_VALUE"""),0.0726)</f>
        <v>0.0726</v>
      </c>
    </row>
    <row r="175" ht="15.75" customHeight="1">
      <c r="C175" s="4" t="str">
        <f>IFERROR(__xludf.DUMMYFUNCTION("""COMPUTED_VALUE"""),"Uzbekistán [+]")</f>
        <v>Uzbekistán [+]</v>
      </c>
      <c r="D175" s="4">
        <f>IFERROR(__xludf.DUMMYFUNCTION("""COMPUTED_VALUE"""),580.0)</f>
        <v>580</v>
      </c>
      <c r="E175" s="9">
        <f>IFERROR(__xludf.DUMMYFUNCTION("""COMPUTED_VALUE"""),1343.0)</f>
        <v>1343</v>
      </c>
      <c r="F175" s="9">
        <f>IFERROR(__xludf.DUMMYFUNCTION("""COMPUTED_VALUE"""),1922.0)</f>
        <v>1922</v>
      </c>
      <c r="G175" s="4">
        <f>IFERROR(__xludf.DUMMYFUNCTION("""COMPUTED_VALUE"""),4.04)</f>
        <v>4.04</v>
      </c>
      <c r="H175" s="4">
        <f>IFERROR(__xludf.DUMMYFUNCTION("""COMPUTED_VALUE"""),9.45)</f>
        <v>9.45</v>
      </c>
      <c r="I175" s="4">
        <f>IFERROR(__xludf.DUMMYFUNCTION("""COMPUTED_VALUE"""),6.86)</f>
        <v>6.86</v>
      </c>
      <c r="J175" s="8">
        <f>IFERROR(__xludf.DUMMYFUNCTION("""COMPUTED_VALUE"""),0.0269)</f>
        <v>0.0269</v>
      </c>
    </row>
    <row r="176" ht="15.75" customHeight="1">
      <c r="C176" s="4" t="str">
        <f>IFERROR(__xludf.DUMMYFUNCTION("""COMPUTED_VALUE"""),"San Vicente y las Granadinas [+]")</f>
        <v>San Vicente y las Granadinas [+]</v>
      </c>
      <c r="D176" s="4">
        <f>IFERROR(__xludf.DUMMYFUNCTION("""COMPUTED_VALUE"""),0.0)</f>
        <v>0</v>
      </c>
      <c r="E176" s="4">
        <f>IFERROR(__xludf.DUMMYFUNCTION("""COMPUTED_VALUE"""),4.0)</f>
        <v>4</v>
      </c>
      <c r="F176" s="4">
        <f>IFERROR(__xludf.DUMMYFUNCTION("""COMPUTED_VALUE"""),4.0)</f>
        <v>4</v>
      </c>
      <c r="G176" s="4">
        <f>IFERROR(__xludf.DUMMYFUNCTION("""COMPUTED_VALUE"""),0.79)</f>
        <v>0.79</v>
      </c>
      <c r="H176" s="4">
        <f>IFERROR(__xludf.DUMMYFUNCTION("""COMPUTED_VALUE"""),6.77)</f>
        <v>6.77</v>
      </c>
      <c r="I176" s="4">
        <f>IFERROR(__xludf.DUMMYFUNCTION("""COMPUTED_VALUE"""),3.81)</f>
        <v>3.81</v>
      </c>
      <c r="J176" s="8">
        <f>IFERROR(__xludf.DUMMYFUNCTION("""COMPUTED_VALUE"""),0.1545)</f>
        <v>0.1545</v>
      </c>
    </row>
    <row r="177" ht="15.75" customHeight="1">
      <c r="C177" s="4" t="str">
        <f>IFERROR(__xludf.DUMMYFUNCTION("""COMPUTED_VALUE"""),"Venezuela [+]")</f>
        <v>Venezuela [+]</v>
      </c>
      <c r="D177" s="4">
        <f>IFERROR(__xludf.DUMMYFUNCTION("""COMPUTED_VALUE"""),194.0)</f>
        <v>194</v>
      </c>
      <c r="E177" s="4">
        <f>IFERROR(__xludf.DUMMYFUNCTION("""COMPUTED_VALUE"""),803.0)</f>
        <v>803</v>
      </c>
      <c r="F177" s="4">
        <f>IFERROR(__xludf.DUMMYFUNCTION("""COMPUTED_VALUE"""),997.0)</f>
        <v>997</v>
      </c>
      <c r="G177" s="4">
        <f>IFERROR(__xludf.DUMMYFUNCTION("""COMPUTED_VALUE"""),1.36)</f>
        <v>1.36</v>
      </c>
      <c r="H177" s="4">
        <f>IFERROR(__xludf.DUMMYFUNCTION("""COMPUTED_VALUE"""),5.66)</f>
        <v>5.66</v>
      </c>
      <c r="I177" s="4">
        <f>IFERROR(__xludf.DUMMYFUNCTION("""COMPUTED_VALUE"""),3.5)</f>
        <v>3.5</v>
      </c>
      <c r="J177" s="8">
        <f>IFERROR(__xludf.DUMMYFUNCTION("""COMPUTED_VALUE"""),-0.0541)</f>
        <v>-0.0541</v>
      </c>
    </row>
    <row r="178" ht="15.75" customHeight="1">
      <c r="C178" s="4" t="str">
        <f>IFERROR(__xludf.DUMMYFUNCTION("""COMPUTED_VALUE"""),"Viet Nam [+]")</f>
        <v>Viet Nam [+]</v>
      </c>
      <c r="D178" s="9">
        <f>IFERROR(__xludf.DUMMYFUNCTION("""COMPUTED_VALUE"""),1543.0)</f>
        <v>1543</v>
      </c>
      <c r="E178" s="9">
        <f>IFERROR(__xludf.DUMMYFUNCTION("""COMPUTED_VALUE"""),4738.0)</f>
        <v>4738</v>
      </c>
      <c r="F178" s="9">
        <f>IFERROR(__xludf.DUMMYFUNCTION("""COMPUTED_VALUE"""),6281.0)</f>
        <v>6281</v>
      </c>
      <c r="G178" s="4">
        <f>IFERROR(__xludf.DUMMYFUNCTION("""COMPUTED_VALUE"""),3.49)</f>
        <v>3.49</v>
      </c>
      <c r="H178" s="4">
        <f>IFERROR(__xludf.DUMMYFUNCTION("""COMPUTED_VALUE"""),10.83)</f>
        <v>10.83</v>
      </c>
      <c r="I178" s="4">
        <f>IFERROR(__xludf.DUMMYFUNCTION("""COMPUTED_VALUE"""),7.14)</f>
        <v>7.14</v>
      </c>
      <c r="J178" s="8">
        <f>IFERROR(__xludf.DUMMYFUNCTION("""COMPUTED_VALUE"""),0.0156)</f>
        <v>0.0156</v>
      </c>
    </row>
    <row r="179" ht="15.75" customHeight="1">
      <c r="C179" s="4" t="str">
        <f>IFERROR(__xludf.DUMMYFUNCTION("""COMPUTED_VALUE"""),"Vanuatu [+]")</f>
        <v>Vanuatu [+]</v>
      </c>
      <c r="D179" s="4">
        <f>IFERROR(__xludf.DUMMYFUNCTION("""COMPUTED_VALUE"""),4.0)</f>
        <v>4</v>
      </c>
      <c r="E179" s="4">
        <f>IFERROR(__xludf.DUMMYFUNCTION("""COMPUTED_VALUE"""),12.0)</f>
        <v>12</v>
      </c>
      <c r="F179" s="4">
        <f>IFERROR(__xludf.DUMMYFUNCTION("""COMPUTED_VALUE"""),15.0)</f>
        <v>15</v>
      </c>
      <c r="G179" s="4">
        <f>IFERROR(__xludf.DUMMYFUNCTION("""COMPUTED_VALUE"""),3.13)</f>
        <v>3.13</v>
      </c>
      <c r="H179" s="4">
        <f>IFERROR(__xludf.DUMMYFUNCTION("""COMPUTED_VALUE"""),9.66)</f>
        <v>9.66</v>
      </c>
      <c r="I179" s="4">
        <f>IFERROR(__xludf.DUMMYFUNCTION("""COMPUTED_VALUE"""),6.34)</f>
        <v>6.34</v>
      </c>
      <c r="J179" s="8">
        <f>IFERROR(__xludf.DUMMYFUNCTION("""COMPUTED_VALUE"""),-0.0551)</f>
        <v>-0.0551</v>
      </c>
    </row>
    <row r="180" ht="15.75" customHeight="1">
      <c r="C180" s="4" t="str">
        <f>IFERROR(__xludf.DUMMYFUNCTION("""COMPUTED_VALUE"""),"Samoa [+]")</f>
        <v>Samoa [+]</v>
      </c>
      <c r="D180" s="4">
        <f>IFERROR(__xludf.DUMMYFUNCTION("""COMPUTED_VALUE"""),2.0)</f>
        <v>2</v>
      </c>
      <c r="E180" s="4">
        <f>IFERROR(__xludf.DUMMYFUNCTION("""COMPUTED_VALUE"""),9.0)</f>
        <v>9</v>
      </c>
      <c r="F180" s="4">
        <f>IFERROR(__xludf.DUMMYFUNCTION("""COMPUTED_VALUE"""),12.0)</f>
        <v>12</v>
      </c>
      <c r="G180" s="4">
        <f>IFERROR(__xludf.DUMMYFUNCTION("""COMPUTED_VALUE"""),2.57)</f>
        <v>2.57</v>
      </c>
      <c r="H180" s="4">
        <f>IFERROR(__xludf.DUMMYFUNCTION("""COMPUTED_VALUE"""),9.58)</f>
        <v>9.58</v>
      </c>
      <c r="I180" s="4">
        <f>IFERROR(__xludf.DUMMYFUNCTION("""COMPUTED_VALUE"""),6.19)</f>
        <v>6.19</v>
      </c>
      <c r="J180" s="8">
        <f>IFERROR(__xludf.DUMMYFUNCTION("""COMPUTED_VALUE"""),0.0636)</f>
        <v>0.0636</v>
      </c>
    </row>
    <row r="181" ht="15.75" customHeight="1">
      <c r="C181" s="4" t="str">
        <f>IFERROR(__xludf.DUMMYFUNCTION("""COMPUTED_VALUE"""),"Yemen [+]")</f>
        <v>Yemen [+]</v>
      </c>
      <c r="D181" s="4">
        <f>IFERROR(__xludf.DUMMYFUNCTION("""COMPUTED_VALUE"""),680.0)</f>
        <v>680</v>
      </c>
      <c r="E181" s="9">
        <f>IFERROR(__xludf.DUMMYFUNCTION("""COMPUTED_VALUE"""),1319.0)</f>
        <v>1319</v>
      </c>
      <c r="F181" s="9">
        <f>IFERROR(__xludf.DUMMYFUNCTION("""COMPUTED_VALUE"""),1999.0)</f>
        <v>1999</v>
      </c>
      <c r="G181" s="4">
        <f>IFERROR(__xludf.DUMMYFUNCTION("""COMPUTED_VALUE"""),5.92)</f>
        <v>5.92</v>
      </c>
      <c r="H181" s="4">
        <f>IFERROR(__xludf.DUMMYFUNCTION("""COMPUTED_VALUE"""),11.3)</f>
        <v>11.3</v>
      </c>
      <c r="I181" s="4">
        <f>IFERROR(__xludf.DUMMYFUNCTION("""COMPUTED_VALUE"""),8.47)</f>
        <v>8.47</v>
      </c>
      <c r="J181" s="8">
        <f>IFERROR(__xludf.DUMMYFUNCTION("""COMPUTED_VALUE"""),0.0119)</f>
        <v>0.0119</v>
      </c>
    </row>
    <row r="182" ht="15.75" customHeight="1">
      <c r="C182" s="4" t="str">
        <f>IFERROR(__xludf.DUMMYFUNCTION("""COMPUTED_VALUE"""),"Sudáfrica [+]")</f>
        <v>Sudáfrica [+]</v>
      </c>
      <c r="D182" s="4">
        <f>IFERROR(__xludf.DUMMYFUNCTION("""COMPUTED_VALUE"""),94.0)</f>
        <v>94</v>
      </c>
      <c r="E182" s="4">
        <f>IFERROR(__xludf.DUMMYFUNCTION("""COMPUTED_VALUE"""),300.0)</f>
        <v>300</v>
      </c>
      <c r="F182" s="4">
        <f>IFERROR(__xludf.DUMMYFUNCTION("""COMPUTED_VALUE"""),394.0)</f>
        <v>394</v>
      </c>
      <c r="G182" s="4">
        <f>IFERROR(__xludf.DUMMYFUNCTION("""COMPUTED_VALUE"""),0.4)</f>
        <v>0.4</v>
      </c>
      <c r="H182" s="4">
        <f>IFERROR(__xludf.DUMMYFUNCTION("""COMPUTED_VALUE"""),1.2)</f>
        <v>1.2</v>
      </c>
      <c r="I182" s="4">
        <f>IFERROR(__xludf.DUMMYFUNCTION("""COMPUTED_VALUE"""),0.8)</f>
        <v>0.8</v>
      </c>
      <c r="J182" s="8">
        <f>IFERROR(__xludf.DUMMYFUNCTION("""COMPUTED_VALUE"""),0.1429)</f>
        <v>0.1429</v>
      </c>
    </row>
    <row r="183" ht="15.75" customHeight="1">
      <c r="C183" s="4" t="str">
        <f>IFERROR(__xludf.DUMMYFUNCTION("""COMPUTED_VALUE"""),"Zambia [+]")</f>
        <v>Zambia [+]</v>
      </c>
      <c r="D183" s="4">
        <f>IFERROR(__xludf.DUMMYFUNCTION("""COMPUTED_VALUE"""),212.0)</f>
        <v>212</v>
      </c>
      <c r="E183" s="4">
        <f>IFERROR(__xludf.DUMMYFUNCTION("""COMPUTED_VALUE"""),688.0)</f>
        <v>688</v>
      </c>
      <c r="F183" s="4">
        <f>IFERROR(__xludf.DUMMYFUNCTION("""COMPUTED_VALUE"""),899.0)</f>
        <v>899</v>
      </c>
      <c r="G183" s="4">
        <f>IFERROR(__xludf.DUMMYFUNCTION("""COMPUTED_VALUE"""),3.07)</f>
        <v>3.07</v>
      </c>
      <c r="H183" s="4">
        <f>IFERROR(__xludf.DUMMYFUNCTION("""COMPUTED_VALUE"""),10.24)</f>
        <v>10.24</v>
      </c>
      <c r="I183" s="4">
        <f>IFERROR(__xludf.DUMMYFUNCTION("""COMPUTED_VALUE"""),6.46)</f>
        <v>6.46</v>
      </c>
      <c r="J183" s="8">
        <f>IFERROR(__xludf.DUMMYFUNCTION("""COMPUTED_VALUE"""),0.0062)</f>
        <v>0.0062</v>
      </c>
    </row>
    <row r="184" ht="15.75" customHeight="1">
      <c r="C184" s="4" t="str">
        <f>IFERROR(__xludf.DUMMYFUNCTION("""COMPUTED_VALUE"""),"Zimbabue [+]")</f>
        <v>Zimbabue [+]</v>
      </c>
      <c r="D184" s="4">
        <f>IFERROR(__xludf.DUMMYFUNCTION("""COMPUTED_VALUE"""),405.0)</f>
        <v>405</v>
      </c>
      <c r="E184" s="9">
        <f>IFERROR(__xludf.DUMMYFUNCTION("""COMPUTED_VALUE"""),1165.0)</f>
        <v>1165</v>
      </c>
      <c r="F184" s="9">
        <f>IFERROR(__xludf.DUMMYFUNCTION("""COMPUTED_VALUE"""),1570.0)</f>
        <v>1570</v>
      </c>
      <c r="G184" s="4">
        <f>IFERROR(__xludf.DUMMYFUNCTION("""COMPUTED_VALUE"""),6.08)</f>
        <v>6.08</v>
      </c>
      <c r="H184" s="4">
        <f>IFERROR(__xludf.DUMMYFUNCTION("""COMPUTED_VALUE"""),19.26)</f>
        <v>19.26</v>
      </c>
      <c r="I184" s="4">
        <f>IFERROR(__xludf.DUMMYFUNCTION("""COMPUTED_VALUE"""),12.72)</f>
        <v>12.72</v>
      </c>
      <c r="J184" s="4">
        <f>IFERROR(__xludf.DUMMYFUNCTION("""COMPUTED_VALUE"""),0.0)</f>
        <v>0</v>
      </c>
    </row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6</v>
      </c>
      <c r="B1" s="2" t="str">
        <f>SUBSTITUTE(C1,"[+]","")</f>
        <v/>
      </c>
    </row>
    <row r="2" ht="15.75" customHeight="1">
      <c r="B2" s="3"/>
      <c r="C2" s="2" t="str">
        <f>IFERROR(__xludf.DUMMYFUNCTION("IMPORTXML(A1, ""//table[1]/thead/tr"")"),"Países")</f>
        <v>Países</v>
      </c>
      <c r="D2" s="2" t="str">
        <f>IFERROR(__xludf.DUMMYFUNCTION("""COMPUTED_VALUE"""),"Fecha")</f>
        <v>Fecha</v>
      </c>
      <c r="E2" s="2" t="str">
        <f>IFERROR(__xludf.DUMMYFUNCTION("""COMPUTED_VALUE"""),"Suicidios mujeres")</f>
        <v>Suicidios mujeres</v>
      </c>
      <c r="F2" s="2" t="str">
        <f>IFERROR(__xludf.DUMMYFUNCTION("""COMPUTED_VALUE"""),"Suicidios hombres")</f>
        <v>Suicidios hombres</v>
      </c>
      <c r="G2" s="2" t="str">
        <f>IFERROR(__xludf.DUMMYFUNCTION("""COMPUTED_VALUE"""),"Suicidios ")</f>
        <v>Suicidios </v>
      </c>
      <c r="H2" s="2" t="str">
        <f>IFERROR(__xludf.DUMMYFUNCTION("""COMPUTED_VALUE"""),"Suicidios tasa femenina")</f>
        <v>Suicidios tasa femenina</v>
      </c>
      <c r="I2" s="2" t="str">
        <f>IFERROR(__xludf.DUMMYFUNCTION("""COMPUTED_VALUE"""),"Suicidios tasa masculina")</f>
        <v>Suicidios tasa masculina</v>
      </c>
      <c r="J2" s="4" t="str">
        <f>IFERROR(__xludf.DUMMYFUNCTION("""COMPUTED_VALUE"""),"Suicidios por 100.000")</f>
        <v>Suicidios por 100.000</v>
      </c>
      <c r="K2" s="4" t="str">
        <f>IFERROR(__xludf.DUMMYFUNCTION("""COMPUTED_VALUE"""),"Var.")</f>
        <v>Var.</v>
      </c>
    </row>
    <row r="3" ht="15.75" customHeight="1">
      <c r="C3" s="2" t="str">
        <f>IFERROR(__xludf.DUMMYFUNCTION("IMPORTXML(A1, ""//table[1]/tbody/tr"")"),"España [+]")</f>
        <v>España [+]</v>
      </c>
      <c r="D3" s="5">
        <f>IFERROR(__xludf.DUMMYFUNCTION("""COMPUTED_VALUE"""),2008.0)</f>
        <v>2008</v>
      </c>
      <c r="E3" s="2">
        <f>IFERROR(__xludf.DUMMYFUNCTION("""COMPUTED_VALUE"""),781.0)</f>
        <v>781</v>
      </c>
      <c r="F3" s="6">
        <f>IFERROR(__xludf.DUMMYFUNCTION("""COMPUTED_VALUE"""),2676.0)</f>
        <v>2676</v>
      </c>
      <c r="G3" s="6">
        <f>IFERROR(__xludf.DUMMYFUNCTION("""COMPUTED_VALUE"""),3457.0)</f>
        <v>3457</v>
      </c>
      <c r="H3" s="7">
        <f>IFERROR(__xludf.DUMMYFUNCTION("""COMPUTED_VALUE"""),3.38)</f>
        <v>3.38</v>
      </c>
      <c r="I3" s="2">
        <f>IFERROR(__xludf.DUMMYFUNCTION("""COMPUTED_VALUE"""),11.89)</f>
        <v>11.89</v>
      </c>
      <c r="J3" s="4">
        <f>IFERROR(__xludf.DUMMYFUNCTION("""COMPUTED_VALUE"""),7.58)</f>
        <v>7.58</v>
      </c>
      <c r="K3" s="8">
        <f>IFERROR(__xludf.DUMMYFUNCTION("""COMPUTED_VALUE"""),0.0426)</f>
        <v>0.0426</v>
      </c>
    </row>
    <row r="4" ht="15.75" customHeight="1">
      <c r="C4" s="2" t="str">
        <f>IFERROR(__xludf.DUMMYFUNCTION("""COMPUTED_VALUE"""),"Alemania [+]")</f>
        <v>Alemania [+]</v>
      </c>
      <c r="D4" s="5">
        <f>IFERROR(__xludf.DUMMYFUNCTION("""COMPUTED_VALUE"""),2008.0)</f>
        <v>2008</v>
      </c>
      <c r="E4" s="6">
        <f>IFERROR(__xludf.DUMMYFUNCTION("""COMPUTED_VALUE"""),2412.0)</f>
        <v>2412</v>
      </c>
      <c r="F4" s="6">
        <f>IFERROR(__xludf.DUMMYFUNCTION("""COMPUTED_VALUE"""),7041.0)</f>
        <v>7041</v>
      </c>
      <c r="G4" s="6">
        <f>IFERROR(__xludf.DUMMYFUNCTION("""COMPUTED_VALUE"""),9453.0)</f>
        <v>9453</v>
      </c>
      <c r="H4" s="7">
        <f>IFERROR(__xludf.DUMMYFUNCTION("""COMPUTED_VALUE"""),5.8)</f>
        <v>5.8</v>
      </c>
      <c r="I4" s="2">
        <f>IFERROR(__xludf.DUMMYFUNCTION("""COMPUTED_VALUE"""),17.5)</f>
        <v>17.5</v>
      </c>
      <c r="J4" s="4">
        <f>IFERROR(__xludf.DUMMYFUNCTION("""COMPUTED_VALUE"""),11.5)</f>
        <v>11.5</v>
      </c>
      <c r="K4" s="8">
        <f>IFERROR(__xludf.DUMMYFUNCTION("""COMPUTED_VALUE"""),0.0088)</f>
        <v>0.0088</v>
      </c>
    </row>
    <row r="5" ht="15.75" customHeight="1">
      <c r="C5" s="2" t="str">
        <f>IFERROR(__xludf.DUMMYFUNCTION("""COMPUTED_VALUE"""),"Reino Unido [+]")</f>
        <v>Reino Unido [+]</v>
      </c>
      <c r="D5" s="5">
        <f>IFERROR(__xludf.DUMMYFUNCTION("""COMPUTED_VALUE"""),2008.0)</f>
        <v>2008</v>
      </c>
      <c r="E5" s="2">
        <f>IFERROR(__xludf.DUMMYFUNCTION("""COMPUTED_VALUE"""),959.0)</f>
        <v>959</v>
      </c>
      <c r="F5" s="6">
        <f>IFERROR(__xludf.DUMMYFUNCTION("""COMPUTED_VALUE"""),3300.0)</f>
        <v>3300</v>
      </c>
      <c r="G5" s="6">
        <f>IFERROR(__xludf.DUMMYFUNCTION("""COMPUTED_VALUE"""),4259.0)</f>
        <v>4259</v>
      </c>
      <c r="H5" s="7">
        <f>IFERROR(__xludf.DUMMYFUNCTION("""COMPUTED_VALUE"""),3.0)</f>
        <v>3</v>
      </c>
      <c r="I5" s="2">
        <f>IFERROR(__xludf.DUMMYFUNCTION("""COMPUTED_VALUE"""),10.9)</f>
        <v>10.9</v>
      </c>
      <c r="J5" s="4">
        <f>IFERROR(__xludf.DUMMYFUNCTION("""COMPUTED_VALUE"""),6.9)</f>
        <v>6.9</v>
      </c>
      <c r="K5" s="8">
        <f>IFERROR(__xludf.DUMMYFUNCTION("""COMPUTED_VALUE"""),0.0781)</f>
        <v>0.0781</v>
      </c>
    </row>
    <row r="6" ht="15.75" customHeight="1">
      <c r="C6" s="2" t="str">
        <f>IFERROR(__xludf.DUMMYFUNCTION("""COMPUTED_VALUE"""),"Francia [+]")</f>
        <v>Francia [+]</v>
      </c>
      <c r="D6" s="5">
        <f>IFERROR(__xludf.DUMMYFUNCTION("""COMPUTED_VALUE"""),2008.0)</f>
        <v>2008</v>
      </c>
      <c r="E6" s="6">
        <f>IFERROR(__xludf.DUMMYFUNCTION("""COMPUTED_VALUE"""),2770.0)</f>
        <v>2770</v>
      </c>
      <c r="F6" s="6">
        <f>IFERROR(__xludf.DUMMYFUNCTION("""COMPUTED_VALUE"""),7801.0)</f>
        <v>7801</v>
      </c>
      <c r="G6" s="6">
        <f>IFERROR(__xludf.DUMMYFUNCTION("""COMPUTED_VALUE"""),10571.0)</f>
        <v>10571</v>
      </c>
      <c r="H6" s="7">
        <f>IFERROR(__xludf.DUMMYFUNCTION("""COMPUTED_VALUE"""),8.4)</f>
        <v>8.4</v>
      </c>
      <c r="I6" s="2">
        <f>IFERROR(__xludf.DUMMYFUNCTION("""COMPUTED_VALUE"""),25.1)</f>
        <v>25.1</v>
      </c>
      <c r="J6" s="4">
        <f>IFERROR(__xludf.DUMMYFUNCTION("""COMPUTED_VALUE"""),16.5)</f>
        <v>16.5</v>
      </c>
      <c r="K6" s="8">
        <f>IFERROR(__xludf.DUMMYFUNCTION("""COMPUTED_VALUE"""),0.0185)</f>
        <v>0.0185</v>
      </c>
    </row>
    <row r="7" ht="15.75" customHeight="1">
      <c r="C7" s="2" t="str">
        <f>IFERROR(__xludf.DUMMYFUNCTION("""COMPUTED_VALUE"""),"Italia [+]")</f>
        <v>Italia [+]</v>
      </c>
      <c r="D7" s="5">
        <f>IFERROR(__xludf.DUMMYFUNCTION("""COMPUTED_VALUE"""),2008.0)</f>
        <v>2008</v>
      </c>
      <c r="E7" s="2">
        <f>IFERROR(__xludf.DUMMYFUNCTION("""COMPUTED_VALUE"""),907.0)</f>
        <v>907</v>
      </c>
      <c r="F7" s="6">
        <f>IFERROR(__xludf.DUMMYFUNCTION("""COMPUTED_VALUE"""),2999.0)</f>
        <v>2999</v>
      </c>
      <c r="G7" s="6">
        <f>IFERROR(__xludf.DUMMYFUNCTION("""COMPUTED_VALUE"""),3906.0)</f>
        <v>3906</v>
      </c>
      <c r="H7" s="7">
        <f>IFERROR(__xludf.DUMMYFUNCTION("""COMPUTED_VALUE"""),2.9)</f>
        <v>2.9</v>
      </c>
      <c r="I7" s="2">
        <f>IFERROR(__xludf.DUMMYFUNCTION("""COMPUTED_VALUE"""),10.3)</f>
        <v>10.3</v>
      </c>
      <c r="J7" s="4">
        <f>IFERROR(__xludf.DUMMYFUNCTION("""COMPUTED_VALUE"""),6.5)</f>
        <v>6.5</v>
      </c>
      <c r="K7" s="8">
        <f>IFERROR(__xludf.DUMMYFUNCTION("""COMPUTED_VALUE"""),0.0317)</f>
        <v>0.0317</v>
      </c>
    </row>
    <row r="8" ht="15.75" customHeight="1">
      <c r="C8" s="2" t="str">
        <f>IFERROR(__xludf.DUMMYFUNCTION("""COMPUTED_VALUE"""),"Portugal [+]")</f>
        <v>Portugal [+]</v>
      </c>
      <c r="D8" s="5">
        <f>IFERROR(__xludf.DUMMYFUNCTION("""COMPUTED_VALUE"""),2008.0)</f>
        <v>2008</v>
      </c>
      <c r="E8" s="2">
        <f>IFERROR(__xludf.DUMMYFUNCTION("""COMPUTED_VALUE"""),244.0)</f>
        <v>244</v>
      </c>
      <c r="F8" s="6">
        <f>IFERROR(__xludf.DUMMYFUNCTION("""COMPUTED_VALUE"""),794.0)</f>
        <v>794</v>
      </c>
      <c r="G8" s="6">
        <f>IFERROR(__xludf.DUMMYFUNCTION("""COMPUTED_VALUE"""),1038.0)</f>
        <v>1038</v>
      </c>
      <c r="H8" s="7">
        <f>IFERROR(__xludf.DUMMYFUNCTION("""COMPUTED_VALUE"""),4.4)</f>
        <v>4.4</v>
      </c>
      <c r="I8" s="2">
        <f>IFERROR(__xludf.DUMMYFUNCTION("""COMPUTED_VALUE"""),15.7)</f>
        <v>15.7</v>
      </c>
      <c r="J8" s="4">
        <f>IFERROR(__xludf.DUMMYFUNCTION("""COMPUTED_VALUE"""),9.8)</f>
        <v>9.8</v>
      </c>
      <c r="K8" s="8">
        <f>IFERROR(__xludf.DUMMYFUNCTION("""COMPUTED_VALUE"""),0.0103)</f>
        <v>0.0103</v>
      </c>
    </row>
    <row r="9" ht="15.75" customHeight="1">
      <c r="C9" s="2" t="str">
        <f>IFERROR(__xludf.DUMMYFUNCTION("""COMPUTED_VALUE"""),"Estados Unidos [+]")</f>
        <v>Estados Unidos [+]</v>
      </c>
      <c r="D9" s="2">
        <f>IFERROR(__xludf.DUMMYFUNCTION("""COMPUTED_VALUE"""),2008.0)</f>
        <v>2008</v>
      </c>
      <c r="E9" s="6">
        <f>IFERROR(__xludf.DUMMYFUNCTION("""COMPUTED_VALUE"""),7567.0)</f>
        <v>7567</v>
      </c>
      <c r="F9" s="6">
        <f>IFERROR(__xludf.DUMMYFUNCTION("""COMPUTED_VALUE"""),28402.0)</f>
        <v>28402</v>
      </c>
      <c r="G9" s="6">
        <f>IFERROR(__xludf.DUMMYFUNCTION("""COMPUTED_VALUE"""),35969.0)</f>
        <v>35969</v>
      </c>
      <c r="H9" s="7">
        <f>IFERROR(__xludf.DUMMYFUNCTION("""COMPUTED_VALUE"""),4.9)</f>
        <v>4.9</v>
      </c>
      <c r="I9" s="2">
        <f>IFERROR(__xludf.DUMMYFUNCTION("""COMPUTED_VALUE"""),18.9)</f>
        <v>18.9</v>
      </c>
      <c r="J9" s="4">
        <f>IFERROR(__xludf.DUMMYFUNCTION("""COMPUTED_VALUE"""),11.8)</f>
        <v>11.8</v>
      </c>
      <c r="K9" s="8">
        <f>IFERROR(__xludf.DUMMYFUNCTION("""COMPUTED_VALUE"""),0.0261)</f>
        <v>0.0261</v>
      </c>
    </row>
    <row r="10" ht="15.75" customHeight="1">
      <c r="C10" s="2" t="str">
        <f>IFERROR(__xludf.DUMMYFUNCTION("""COMPUTED_VALUE"""),"Japón [+]")</f>
        <v>Japón [+]</v>
      </c>
      <c r="D10" s="2">
        <f>IFERROR(__xludf.DUMMYFUNCTION("""COMPUTED_VALUE"""),2008.0)</f>
        <v>2008</v>
      </c>
      <c r="E10" s="6">
        <f>IFERROR(__xludf.DUMMYFUNCTION("""COMPUTED_VALUE"""),8683.0)</f>
        <v>8683</v>
      </c>
      <c r="F10" s="6">
        <f>IFERROR(__xludf.DUMMYFUNCTION("""COMPUTED_VALUE"""),21546.0)</f>
        <v>21546</v>
      </c>
      <c r="G10" s="6">
        <f>IFERROR(__xludf.DUMMYFUNCTION("""COMPUTED_VALUE"""),30229.0)</f>
        <v>30229</v>
      </c>
      <c r="H10" s="7">
        <f>IFERROR(__xludf.DUMMYFUNCTION("""COMPUTED_VALUE"""),13.2)</f>
        <v>13.2</v>
      </c>
      <c r="I10" s="2">
        <f>IFERROR(__xludf.DUMMYFUNCTION("""COMPUTED_VALUE"""),34.5)</f>
        <v>34.5</v>
      </c>
      <c r="J10" s="4">
        <f>IFERROR(__xludf.DUMMYFUNCTION("""COMPUTED_VALUE"""),23.6)</f>
        <v>23.6</v>
      </c>
      <c r="K10" s="8">
        <f>IFERROR(__xludf.DUMMYFUNCTION("""COMPUTED_VALUE"""),-0.0207)</f>
        <v>-0.0207</v>
      </c>
    </row>
    <row r="11" ht="15.75" customHeight="1">
      <c r="C11" s="2" t="str">
        <f>IFERROR(__xludf.DUMMYFUNCTION("""COMPUTED_VALUE"""),"China [+]")</f>
        <v>China [+]</v>
      </c>
      <c r="D11" s="2">
        <f>IFERROR(__xludf.DUMMYFUNCTION("""COMPUTED_VALUE"""),2008.0)</f>
        <v>2008</v>
      </c>
      <c r="E11" s="6">
        <f>IFERROR(__xludf.DUMMYFUNCTION("""COMPUTED_VALUE"""),74005.0)</f>
        <v>74005</v>
      </c>
      <c r="F11" s="6">
        <f>IFERROR(__xludf.DUMMYFUNCTION("""COMPUTED_VALUE"""),59017.0)</f>
        <v>59017</v>
      </c>
      <c r="G11" s="6">
        <f>IFERROR(__xludf.DUMMYFUNCTION("""COMPUTED_VALUE"""),133022.0)</f>
        <v>133022</v>
      </c>
      <c r="H11" s="7">
        <f>IFERROR(__xludf.DUMMYFUNCTION("""COMPUTED_VALUE"""),11.48)</f>
        <v>11.48</v>
      </c>
      <c r="I11" s="2">
        <f>IFERROR(__xludf.DUMMYFUNCTION("""COMPUTED_VALUE"""),8.63)</f>
        <v>8.63</v>
      </c>
      <c r="J11" s="4">
        <f>IFERROR(__xludf.DUMMYFUNCTION("""COMPUTED_VALUE"""),10.02)</f>
        <v>10.02</v>
      </c>
      <c r="K11" s="8">
        <f>IFERROR(__xludf.DUMMYFUNCTION("""COMPUTED_VALUE"""),-0.004)</f>
        <v>-0.004</v>
      </c>
    </row>
    <row r="12" ht="15.75" customHeight="1">
      <c r="C12" s="2" t="str">
        <f>IFERROR(__xludf.DUMMYFUNCTION("""COMPUTED_VALUE"""),"Emiratos Árabes Unidos [+]")</f>
        <v>Emiratos Árabes Unidos [+]</v>
      </c>
      <c r="D12" s="2">
        <f>IFERROR(__xludf.DUMMYFUNCTION("""COMPUTED_VALUE"""),2008.0)</f>
        <v>2008</v>
      </c>
      <c r="E12" s="2">
        <f>IFERROR(__xludf.DUMMYFUNCTION("""COMPUTED_VALUE"""),18.0)</f>
        <v>18</v>
      </c>
      <c r="F12" s="6">
        <f>IFERROR(__xludf.DUMMYFUNCTION("""COMPUTED_VALUE"""),216.0)</f>
        <v>216</v>
      </c>
      <c r="G12" s="2">
        <f>IFERROR(__xludf.DUMMYFUNCTION("""COMPUTED_VALUE"""),234.0)</f>
        <v>234</v>
      </c>
      <c r="H12" s="7">
        <f>IFERROR(__xludf.DUMMYFUNCTION("""COMPUTED_VALUE"""),0.98)</f>
        <v>0.98</v>
      </c>
      <c r="I12" s="2">
        <f>IFERROR(__xludf.DUMMYFUNCTION("""COMPUTED_VALUE"""),4.1)</f>
        <v>4.1</v>
      </c>
      <c r="J12" s="4">
        <f>IFERROR(__xludf.DUMMYFUNCTION("""COMPUTED_VALUE"""),2.89)</f>
        <v>2.89</v>
      </c>
      <c r="K12" s="8">
        <f>IFERROR(__xludf.DUMMYFUNCTION("""COMPUTED_VALUE"""),-0.0825)</f>
        <v>-0.0825</v>
      </c>
    </row>
    <row r="13" ht="15.75" customHeight="1">
      <c r="C13" s="2" t="str">
        <f>IFERROR(__xludf.DUMMYFUNCTION("""COMPUTED_VALUE"""),"Afganistán [+]")</f>
        <v>Afganistán [+]</v>
      </c>
      <c r="D13" s="2">
        <f>IFERROR(__xludf.DUMMYFUNCTION("""COMPUTED_VALUE"""),2008.0)</f>
        <v>2008</v>
      </c>
      <c r="E13" s="2">
        <f>IFERROR(__xludf.DUMMYFUNCTION("""COMPUTED_VALUE"""),267.0)</f>
        <v>267</v>
      </c>
      <c r="F13" s="6">
        <f>IFERROR(__xludf.DUMMYFUNCTION("""COMPUTED_VALUE"""),1143.0)</f>
        <v>1143</v>
      </c>
      <c r="G13" s="6">
        <f>IFERROR(__xludf.DUMMYFUNCTION("""COMPUTED_VALUE"""),1409.0)</f>
        <v>1409</v>
      </c>
      <c r="H13" s="7">
        <f>IFERROR(__xludf.DUMMYFUNCTION("""COMPUTED_VALUE"""),1.97)</f>
        <v>1.97</v>
      </c>
      <c r="I13" s="2">
        <f>IFERROR(__xludf.DUMMYFUNCTION("""COMPUTED_VALUE"""),8.03)</f>
        <v>8.03</v>
      </c>
      <c r="J13" s="4">
        <f>IFERROR(__xludf.DUMMYFUNCTION("""COMPUTED_VALUE"""),6.13)</f>
        <v>6.13</v>
      </c>
      <c r="K13" s="8">
        <f>IFERROR(__xludf.DUMMYFUNCTION("""COMPUTED_VALUE"""),-0.0176)</f>
        <v>-0.0176</v>
      </c>
    </row>
    <row r="14" ht="15.75" customHeight="1">
      <c r="C14" s="2" t="str">
        <f>IFERROR(__xludf.DUMMYFUNCTION("""COMPUTED_VALUE"""),"Antigua y Barbuda [+]")</f>
        <v>Antigua y Barbuda [+]</v>
      </c>
      <c r="D14" s="5">
        <f>IFERROR(__xludf.DUMMYFUNCTION("""COMPUTED_VALUE"""),2008.0)</f>
        <v>2008</v>
      </c>
      <c r="E14" s="2">
        <f>IFERROR(__xludf.DUMMYFUNCTION("""COMPUTED_VALUE"""),0.0)</f>
        <v>0</v>
      </c>
      <c r="F14" s="6">
        <f>IFERROR(__xludf.DUMMYFUNCTION("""COMPUTED_VALUE"""),0.0)</f>
        <v>0</v>
      </c>
      <c r="G14" s="2">
        <f>IFERROR(__xludf.DUMMYFUNCTION("""COMPUTED_VALUE"""),0.0)</f>
        <v>0</v>
      </c>
      <c r="H14" s="7">
        <f>IFERROR(__xludf.DUMMYFUNCTION("""COMPUTED_VALUE"""),0.0)</f>
        <v>0</v>
      </c>
      <c r="I14" s="2">
        <f>IFERROR(__xludf.DUMMYFUNCTION("""COMPUTED_VALUE"""),0.72)</f>
        <v>0.72</v>
      </c>
      <c r="J14" s="4">
        <f>IFERROR(__xludf.DUMMYFUNCTION("""COMPUTED_VALUE"""),0.35)</f>
        <v>0.35</v>
      </c>
      <c r="K14" s="8">
        <f>IFERROR(__xludf.DUMMYFUNCTION("""COMPUTED_VALUE"""),-0.2708)</f>
        <v>-0.2708</v>
      </c>
    </row>
    <row r="15" ht="15.75" customHeight="1">
      <c r="C15" s="2" t="str">
        <f>IFERROR(__xludf.DUMMYFUNCTION("""COMPUTED_VALUE"""),"Albania [+]")</f>
        <v>Albania [+]</v>
      </c>
      <c r="D15" s="2">
        <f>IFERROR(__xludf.DUMMYFUNCTION("""COMPUTED_VALUE"""),2004.0)</f>
        <v>2004</v>
      </c>
      <c r="E15" s="2">
        <f>IFERROR(__xludf.DUMMYFUNCTION("""COMPUTED_VALUE"""),57.0)</f>
        <v>57</v>
      </c>
      <c r="F15" s="2">
        <f>IFERROR(__xludf.DUMMYFUNCTION("""COMPUTED_VALUE"""),89.0)</f>
        <v>89</v>
      </c>
      <c r="G15" s="2">
        <f>IFERROR(__xludf.DUMMYFUNCTION("""COMPUTED_VALUE"""),146.0)</f>
        <v>146</v>
      </c>
      <c r="H15" s="7">
        <f>IFERROR(__xludf.DUMMYFUNCTION("""COMPUTED_VALUE"""),3.6)</f>
        <v>3.6</v>
      </c>
      <c r="I15" s="2">
        <f>IFERROR(__xludf.DUMMYFUNCTION("""COMPUTED_VALUE"""),5.7)</f>
        <v>5.7</v>
      </c>
      <c r="J15" s="4">
        <f>IFERROR(__xludf.DUMMYFUNCTION("""COMPUTED_VALUE"""),4.7)</f>
        <v>4.7</v>
      </c>
      <c r="K15" s="8">
        <f>IFERROR(__xludf.DUMMYFUNCTION("""COMPUTED_VALUE"""),0.175)</f>
        <v>0.175</v>
      </c>
    </row>
    <row r="16" ht="15.75" customHeight="1">
      <c r="C16" s="2" t="str">
        <f>IFERROR(__xludf.DUMMYFUNCTION("""COMPUTED_VALUE"""),"Armenia [+]")</f>
        <v>Armenia [+]</v>
      </c>
      <c r="D16" s="5">
        <f>IFERROR(__xludf.DUMMYFUNCTION("""COMPUTED_VALUE"""),2008.0)</f>
        <v>2008</v>
      </c>
      <c r="E16" s="2">
        <f>IFERROR(__xludf.DUMMYFUNCTION("""COMPUTED_VALUE"""),32.0)</f>
        <v>32</v>
      </c>
      <c r="F16" s="6">
        <f>IFERROR(__xludf.DUMMYFUNCTION("""COMPUTED_VALUE"""),119.0)</f>
        <v>119</v>
      </c>
      <c r="G16" s="2">
        <f>IFERROR(__xludf.DUMMYFUNCTION("""COMPUTED_VALUE"""),150.0)</f>
        <v>150</v>
      </c>
      <c r="H16" s="7">
        <f>IFERROR(__xludf.DUMMYFUNCTION("""COMPUTED_VALUE"""),1.89)</f>
        <v>1.89</v>
      </c>
      <c r="I16" s="2">
        <f>IFERROR(__xludf.DUMMYFUNCTION("""COMPUTED_VALUE"""),7.56)</f>
        <v>7.56</v>
      </c>
      <c r="J16" s="4">
        <f>IFERROR(__xludf.DUMMYFUNCTION("""COMPUTED_VALUE"""),4.63)</f>
        <v>4.63</v>
      </c>
      <c r="K16" s="8">
        <f>IFERROR(__xludf.DUMMYFUNCTION("""COMPUTED_VALUE"""),0.105)</f>
        <v>0.105</v>
      </c>
    </row>
    <row r="17" ht="15.75" customHeight="1">
      <c r="C17" s="2" t="str">
        <f>IFERROR(__xludf.DUMMYFUNCTION("""COMPUTED_VALUE"""),"Angola [+]")</f>
        <v>Angola [+]</v>
      </c>
      <c r="D17" s="2">
        <f>IFERROR(__xludf.DUMMYFUNCTION("""COMPUTED_VALUE"""),2008.0)</f>
        <v>2008</v>
      </c>
      <c r="E17" s="6">
        <f>IFERROR(__xludf.DUMMYFUNCTION("""COMPUTED_VALUE"""),1139.0)</f>
        <v>1139</v>
      </c>
      <c r="F17" s="6">
        <f>IFERROR(__xludf.DUMMYFUNCTION("""COMPUTED_VALUE"""),2983.0)</f>
        <v>2983</v>
      </c>
      <c r="G17" s="6">
        <f>IFERROR(__xludf.DUMMYFUNCTION("""COMPUTED_VALUE"""),4122.0)</f>
        <v>4122</v>
      </c>
      <c r="H17" s="7">
        <f>IFERROR(__xludf.DUMMYFUNCTION("""COMPUTED_VALUE"""),10.4)</f>
        <v>10.4</v>
      </c>
      <c r="I17" s="2">
        <f>IFERROR(__xludf.DUMMYFUNCTION("""COMPUTED_VALUE"""),27.78)</f>
        <v>27.78</v>
      </c>
      <c r="J17" s="4">
        <f>IFERROR(__xludf.DUMMYFUNCTION("""COMPUTED_VALUE"""),19.0)</f>
        <v>19</v>
      </c>
      <c r="K17" s="8">
        <f>IFERROR(__xludf.DUMMYFUNCTION("""COMPUTED_VALUE"""),0.0096)</f>
        <v>0.0096</v>
      </c>
    </row>
    <row r="18" ht="15.75" customHeight="1">
      <c r="C18" s="2" t="str">
        <f>IFERROR(__xludf.DUMMYFUNCTION("""COMPUTED_VALUE"""),"Argentina [+]")</f>
        <v>Argentina [+]</v>
      </c>
      <c r="D18" s="5">
        <f>IFERROR(__xludf.DUMMYFUNCTION("""COMPUTED_VALUE"""),2008.0)</f>
        <v>2008</v>
      </c>
      <c r="E18" s="2">
        <f>IFERROR(__xludf.DUMMYFUNCTION("""COMPUTED_VALUE"""),613.0)</f>
        <v>613</v>
      </c>
      <c r="F18" s="6">
        <f>IFERROR(__xludf.DUMMYFUNCTION("""COMPUTED_VALUE"""),2455.0)</f>
        <v>2455</v>
      </c>
      <c r="G18" s="6">
        <f>IFERROR(__xludf.DUMMYFUNCTION("""COMPUTED_VALUE"""),3068.0)</f>
        <v>3068</v>
      </c>
      <c r="H18" s="7">
        <f>IFERROR(__xludf.DUMMYFUNCTION("""COMPUTED_VALUE"""),3.0)</f>
        <v>3</v>
      </c>
      <c r="I18" s="2">
        <f>IFERROR(__xludf.DUMMYFUNCTION("""COMPUTED_VALUE"""),12.6)</f>
        <v>12.6</v>
      </c>
      <c r="J18" s="4">
        <f>IFERROR(__xludf.DUMMYFUNCTION("""COMPUTED_VALUE"""),7.7)</f>
        <v>7.7</v>
      </c>
      <c r="K18" s="8">
        <f>IFERROR(__xludf.DUMMYFUNCTION("""COMPUTED_VALUE"""),0.0267)</f>
        <v>0.0267</v>
      </c>
    </row>
    <row r="19" ht="15.75" customHeight="1">
      <c r="C19" s="2" t="str">
        <f>IFERROR(__xludf.DUMMYFUNCTION("""COMPUTED_VALUE"""),"Austria [+]")</f>
        <v>Austria [+]</v>
      </c>
      <c r="D19" s="2">
        <f>IFERROR(__xludf.DUMMYFUNCTION("""COMPUTED_VALUE"""),2008.0)</f>
        <v>2008</v>
      </c>
      <c r="E19" s="2">
        <f>IFERROR(__xludf.DUMMYFUNCTION("""COMPUTED_VALUE"""),304.0)</f>
        <v>304</v>
      </c>
      <c r="F19" s="2">
        <f>IFERROR(__xludf.DUMMYFUNCTION("""COMPUTED_VALUE"""),963.0)</f>
        <v>963</v>
      </c>
      <c r="G19" s="6">
        <f>IFERROR(__xludf.DUMMYFUNCTION("""COMPUTED_VALUE"""),1267.0)</f>
        <v>1267</v>
      </c>
      <c r="H19" s="7">
        <f>IFERROR(__xludf.DUMMYFUNCTION("""COMPUTED_VALUE"""),7.1)</f>
        <v>7.1</v>
      </c>
      <c r="I19" s="2">
        <f>IFERROR(__xludf.DUMMYFUNCTION("""COMPUTED_VALUE"""),23.7)</f>
        <v>23.7</v>
      </c>
      <c r="J19" s="4">
        <f>IFERROR(__xludf.DUMMYFUNCTION("""COMPUTED_VALUE"""),15.2)</f>
        <v>15.2</v>
      </c>
      <c r="K19" s="8">
        <f>IFERROR(__xludf.DUMMYFUNCTION("""COMPUTED_VALUE"""),-0.0194)</f>
        <v>-0.0194</v>
      </c>
    </row>
    <row r="20" ht="15.75" customHeight="1">
      <c r="C20" s="2" t="str">
        <f>IFERROR(__xludf.DUMMYFUNCTION("""COMPUTED_VALUE"""),"Australia [+]")</f>
        <v>Australia [+]</v>
      </c>
      <c r="D20" s="5">
        <f>IFERROR(__xludf.DUMMYFUNCTION("""COMPUTED_VALUE"""),2008.0)</f>
        <v>2008</v>
      </c>
      <c r="E20" s="2">
        <f>IFERROR(__xludf.DUMMYFUNCTION("""COMPUTED_VALUE"""),508.0)</f>
        <v>508</v>
      </c>
      <c r="F20" s="6">
        <f>IFERROR(__xludf.DUMMYFUNCTION("""COMPUTED_VALUE"""),1832.0)</f>
        <v>1832</v>
      </c>
      <c r="G20" s="6">
        <f>IFERROR(__xludf.DUMMYFUNCTION("""COMPUTED_VALUE"""),2340.0)</f>
        <v>2340</v>
      </c>
      <c r="H20" s="7">
        <f>IFERROR(__xludf.DUMMYFUNCTION("""COMPUTED_VALUE"""),4.8)</f>
        <v>4.8</v>
      </c>
      <c r="I20" s="2">
        <f>IFERROR(__xludf.DUMMYFUNCTION("""COMPUTED_VALUE"""),17.3)</f>
        <v>17.3</v>
      </c>
      <c r="J20" s="4">
        <f>IFERROR(__xludf.DUMMYFUNCTION("""COMPUTED_VALUE"""),11.0)</f>
        <v>11</v>
      </c>
      <c r="K20" s="8">
        <f>IFERROR(__xludf.DUMMYFUNCTION("""COMPUTED_VALUE"""),0.028)</f>
        <v>0.028</v>
      </c>
    </row>
    <row r="21" ht="15.75" customHeight="1">
      <c r="C21" s="2" t="str">
        <f>IFERROR(__xludf.DUMMYFUNCTION("""COMPUTED_VALUE"""),"Azerbaiyán [+]")</f>
        <v>Azerbaiyán [+]</v>
      </c>
      <c r="D21" s="2">
        <f>IFERROR(__xludf.DUMMYFUNCTION("""COMPUTED_VALUE"""),2008.0)</f>
        <v>2008</v>
      </c>
      <c r="E21" s="2">
        <f>IFERROR(__xludf.DUMMYFUNCTION("""COMPUTED_VALUE"""),58.0)</f>
        <v>58</v>
      </c>
      <c r="F21" s="2">
        <f>IFERROR(__xludf.DUMMYFUNCTION("""COMPUTED_VALUE"""),264.0)</f>
        <v>264</v>
      </c>
      <c r="G21" s="2">
        <f>IFERROR(__xludf.DUMMYFUNCTION("""COMPUTED_VALUE"""),322.0)</f>
        <v>322</v>
      </c>
      <c r="H21" s="7">
        <f>IFERROR(__xludf.DUMMYFUNCTION("""COMPUTED_VALUE"""),1.28)</f>
        <v>1.28</v>
      </c>
      <c r="I21" s="2">
        <f>IFERROR(__xludf.DUMMYFUNCTION("""COMPUTED_VALUE"""),6.06)</f>
        <v>6.06</v>
      </c>
      <c r="J21" s="4">
        <f>IFERROR(__xludf.DUMMYFUNCTION("""COMPUTED_VALUE"""),3.62)</f>
        <v>3.62</v>
      </c>
      <c r="K21" s="8">
        <f>IFERROR(__xludf.DUMMYFUNCTION("""COMPUTED_VALUE"""),0.0372)</f>
        <v>0.0372</v>
      </c>
    </row>
    <row r="22" ht="15.75" customHeight="1">
      <c r="C22" s="2" t="str">
        <f>IFERROR(__xludf.DUMMYFUNCTION("""COMPUTED_VALUE"""),"Bosnia y Herzegovina [+]")</f>
        <v>Bosnia y Herzegovina [+]</v>
      </c>
      <c r="D22" s="2">
        <f>IFERROR(__xludf.DUMMYFUNCTION("""COMPUTED_VALUE"""),2008.0)</f>
        <v>2008</v>
      </c>
      <c r="E22" s="2">
        <f>IFERROR(__xludf.DUMMYFUNCTION("""COMPUTED_VALUE"""),53.0)</f>
        <v>53</v>
      </c>
      <c r="F22" s="2">
        <f>IFERROR(__xludf.DUMMYFUNCTION("""COMPUTED_VALUE"""),207.0)</f>
        <v>207</v>
      </c>
      <c r="G22" s="2">
        <f>IFERROR(__xludf.DUMMYFUNCTION("""COMPUTED_VALUE"""),260.0)</f>
        <v>260</v>
      </c>
      <c r="H22" s="7">
        <f>IFERROR(__xludf.DUMMYFUNCTION("""COMPUTED_VALUE"""),2.72)</f>
        <v>2.72</v>
      </c>
      <c r="I22" s="2">
        <f>IFERROR(__xludf.DUMMYFUNCTION("""COMPUTED_VALUE"""),11.01)</f>
        <v>11.01</v>
      </c>
      <c r="J22" s="4">
        <f>IFERROR(__xludf.DUMMYFUNCTION("""COMPUTED_VALUE"""),6.77)</f>
        <v>6.77</v>
      </c>
      <c r="K22" s="8">
        <f>IFERROR(__xludf.DUMMYFUNCTION("""COMPUTED_VALUE"""),-0.0985)</f>
        <v>-0.0985</v>
      </c>
    </row>
    <row r="23" ht="15.75" customHeight="1">
      <c r="C23" s="2" t="str">
        <f>IFERROR(__xludf.DUMMYFUNCTION("""COMPUTED_VALUE"""),"Barbados [+]")</f>
        <v>Barbados [+]</v>
      </c>
      <c r="D23" s="2">
        <f>IFERROR(__xludf.DUMMYFUNCTION("""COMPUTED_VALUE"""),2008.0)</f>
        <v>2008</v>
      </c>
      <c r="E23" s="2">
        <f>IFERROR(__xludf.DUMMYFUNCTION("""COMPUTED_VALUE"""),1.0)</f>
        <v>1</v>
      </c>
      <c r="F23" s="2">
        <f>IFERROR(__xludf.DUMMYFUNCTION("""COMPUTED_VALUE"""),2.0)</f>
        <v>2</v>
      </c>
      <c r="G23" s="2">
        <f>IFERROR(__xludf.DUMMYFUNCTION("""COMPUTED_VALUE"""),2.0)</f>
        <v>2</v>
      </c>
      <c r="H23" s="7">
        <f>IFERROR(__xludf.DUMMYFUNCTION("""COMPUTED_VALUE"""),0.44)</f>
        <v>0.44</v>
      </c>
      <c r="I23" s="2">
        <f>IFERROR(__xludf.DUMMYFUNCTION("""COMPUTED_VALUE"""),1.28)</f>
        <v>1.28</v>
      </c>
      <c r="J23" s="4">
        <f>IFERROR(__xludf.DUMMYFUNCTION("""COMPUTED_VALUE"""),0.85)</f>
        <v>0.85</v>
      </c>
      <c r="K23" s="8">
        <f>IFERROR(__xludf.DUMMYFUNCTION("""COMPUTED_VALUE"""),-0.3462)</f>
        <v>-0.3462</v>
      </c>
    </row>
    <row r="24" ht="15.75" customHeight="1">
      <c r="C24" s="2" t="str">
        <f>IFERROR(__xludf.DUMMYFUNCTION("""COMPUTED_VALUE"""),"Bangladés [+]")</f>
        <v>Bangladés [+]</v>
      </c>
      <c r="D24" s="2">
        <f>IFERROR(__xludf.DUMMYFUNCTION("""COMPUTED_VALUE"""),2008.0)</f>
        <v>2008</v>
      </c>
      <c r="E24" s="6">
        <f>IFERROR(__xludf.DUMMYFUNCTION("""COMPUTED_VALUE"""),6277.0)</f>
        <v>6277</v>
      </c>
      <c r="F24" s="6">
        <f>IFERROR(__xludf.DUMMYFUNCTION("""COMPUTED_VALUE"""),3304.0)</f>
        <v>3304</v>
      </c>
      <c r="G24" s="6">
        <f>IFERROR(__xludf.DUMMYFUNCTION("""COMPUTED_VALUE"""),9581.0)</f>
        <v>9581</v>
      </c>
      <c r="H24" s="7">
        <f>IFERROR(__xludf.DUMMYFUNCTION("""COMPUTED_VALUE"""),8.87)</f>
        <v>8.87</v>
      </c>
      <c r="I24" s="2">
        <f>IFERROR(__xludf.DUMMYFUNCTION("""COMPUTED_VALUE"""),4.49)</f>
        <v>4.49</v>
      </c>
      <c r="J24" s="4">
        <f>IFERROR(__xludf.DUMMYFUNCTION("""COMPUTED_VALUE"""),6.64)</f>
        <v>6.64</v>
      </c>
      <c r="K24" s="8">
        <f>IFERROR(__xludf.DUMMYFUNCTION("""COMPUTED_VALUE"""),-0.0192)</f>
        <v>-0.0192</v>
      </c>
    </row>
    <row r="25" ht="15.75" customHeight="1">
      <c r="C25" s="2" t="str">
        <f>IFERROR(__xludf.DUMMYFUNCTION("""COMPUTED_VALUE"""),"Bélgica [+]")</f>
        <v>Bélgica [+]</v>
      </c>
      <c r="D25" s="2">
        <f>IFERROR(__xludf.DUMMYFUNCTION("""COMPUTED_VALUE"""),2008.0)</f>
        <v>2008</v>
      </c>
      <c r="E25" s="2">
        <f>IFERROR(__xludf.DUMMYFUNCTION("""COMPUTED_VALUE"""),547.0)</f>
        <v>547</v>
      </c>
      <c r="F25" s="6">
        <f>IFERROR(__xludf.DUMMYFUNCTION("""COMPUTED_VALUE"""),1454.0)</f>
        <v>1454</v>
      </c>
      <c r="G25" s="6">
        <f>IFERROR(__xludf.DUMMYFUNCTION("""COMPUTED_VALUE"""),2001.0)</f>
        <v>2001</v>
      </c>
      <c r="H25" s="7">
        <f>IFERROR(__xludf.DUMMYFUNCTION("""COMPUTED_VALUE"""),10.0)</f>
        <v>10</v>
      </c>
      <c r="I25" s="2">
        <f>IFERROR(__xludf.DUMMYFUNCTION("""COMPUTED_VALUE"""),27.7)</f>
        <v>27.7</v>
      </c>
      <c r="J25" s="4">
        <f>IFERROR(__xludf.DUMMYFUNCTION("""COMPUTED_VALUE"""),18.7)</f>
        <v>18.7</v>
      </c>
      <c r="K25" s="8">
        <f>IFERROR(__xludf.DUMMYFUNCTION("""COMPUTED_VALUE"""),0.0686)</f>
        <v>0.0686</v>
      </c>
    </row>
    <row r="26" ht="15.75" customHeight="1">
      <c r="C26" s="2" t="str">
        <f>IFERROR(__xludf.DUMMYFUNCTION("""COMPUTED_VALUE"""),"Burkina Faso [+]")</f>
        <v>Burkina Faso [+]</v>
      </c>
      <c r="D26" s="2">
        <f>IFERROR(__xludf.DUMMYFUNCTION("""COMPUTED_VALUE"""),2008.0)</f>
        <v>2008</v>
      </c>
      <c r="E26" s="2">
        <f>IFERROR(__xludf.DUMMYFUNCTION("""COMPUTED_VALUE"""),408.0)</f>
        <v>408</v>
      </c>
      <c r="F26" s="2">
        <f>IFERROR(__xludf.DUMMYFUNCTION("""COMPUTED_VALUE"""),896.0)</f>
        <v>896</v>
      </c>
      <c r="G26" s="6">
        <f>IFERROR(__xludf.DUMMYFUNCTION("""COMPUTED_VALUE"""),1303.0)</f>
        <v>1303</v>
      </c>
      <c r="H26" s="7">
        <f>IFERROR(__xludf.DUMMYFUNCTION("""COMPUTED_VALUE"""),5.49)</f>
        <v>5.49</v>
      </c>
      <c r="I26" s="2">
        <f>IFERROR(__xludf.DUMMYFUNCTION("""COMPUTED_VALUE"""),12.32)</f>
        <v>12.32</v>
      </c>
      <c r="J26" s="4">
        <f>IFERROR(__xludf.DUMMYFUNCTION("""COMPUTED_VALUE"""),8.87)</f>
        <v>8.87</v>
      </c>
      <c r="K26" s="8">
        <f>IFERROR(__xludf.DUMMYFUNCTION("""COMPUTED_VALUE"""),0.0011)</f>
        <v>0.0011</v>
      </c>
    </row>
    <row r="27" ht="15.75" customHeight="1">
      <c r="C27" s="2" t="str">
        <f>IFERROR(__xludf.DUMMYFUNCTION("""COMPUTED_VALUE"""),"Bulgaria [+]")</f>
        <v>Bulgaria [+]</v>
      </c>
      <c r="D27" s="2">
        <f>IFERROR(__xludf.DUMMYFUNCTION("""COMPUTED_VALUE"""),2008.0)</f>
        <v>2008</v>
      </c>
      <c r="E27" s="2">
        <f>IFERROR(__xludf.DUMMYFUNCTION("""COMPUTED_VALUE"""),245.0)</f>
        <v>245</v>
      </c>
      <c r="F27" s="2">
        <f>IFERROR(__xludf.DUMMYFUNCTION("""COMPUTED_VALUE"""),694.0)</f>
        <v>694</v>
      </c>
      <c r="G27" s="2">
        <f>IFERROR(__xludf.DUMMYFUNCTION("""COMPUTED_VALUE"""),939.0)</f>
        <v>939</v>
      </c>
      <c r="H27" s="7">
        <f>IFERROR(__xludf.DUMMYFUNCTION("""COMPUTED_VALUE"""),6.4)</f>
        <v>6.4</v>
      </c>
      <c r="I27" s="2">
        <f>IFERROR(__xludf.DUMMYFUNCTION("""COMPUTED_VALUE"""),19.0)</f>
        <v>19</v>
      </c>
      <c r="J27" s="4">
        <f>IFERROR(__xludf.DUMMYFUNCTION("""COMPUTED_VALUE"""),12.5)</f>
        <v>12.5</v>
      </c>
      <c r="K27" s="8">
        <f>IFERROR(__xludf.DUMMYFUNCTION("""COMPUTED_VALUE"""),0.0417)</f>
        <v>0.0417</v>
      </c>
    </row>
    <row r="28" ht="15.75" customHeight="1">
      <c r="C28" s="2" t="str">
        <f>IFERROR(__xludf.DUMMYFUNCTION("""COMPUTED_VALUE"""),"Baréin [+]")</f>
        <v>Baréin [+]</v>
      </c>
      <c r="D28" s="2">
        <f>IFERROR(__xludf.DUMMYFUNCTION("""COMPUTED_VALUE"""),2008.0)</f>
        <v>2008</v>
      </c>
      <c r="E28" s="2">
        <f>IFERROR(__xludf.DUMMYFUNCTION("""COMPUTED_VALUE"""),12.0)</f>
        <v>12</v>
      </c>
      <c r="F28" s="2">
        <f>IFERROR(__xludf.DUMMYFUNCTION("""COMPUTED_VALUE"""),66.0)</f>
        <v>66</v>
      </c>
      <c r="G28" s="2">
        <f>IFERROR(__xludf.DUMMYFUNCTION("""COMPUTED_VALUE"""),78.0)</f>
        <v>78</v>
      </c>
      <c r="H28" s="7">
        <f>IFERROR(__xludf.DUMMYFUNCTION("""COMPUTED_VALUE"""),2.77)</f>
        <v>2.77</v>
      </c>
      <c r="I28" s="2">
        <f>IFERROR(__xludf.DUMMYFUNCTION("""COMPUTED_VALUE"""),9.59)</f>
        <v>9.59</v>
      </c>
      <c r="J28" s="4">
        <f>IFERROR(__xludf.DUMMYFUNCTION("""COMPUTED_VALUE"""),7.04)</f>
        <v>7.04</v>
      </c>
      <c r="K28" s="8">
        <f>IFERROR(__xludf.DUMMYFUNCTION("""COMPUTED_VALUE"""),0.0667)</f>
        <v>0.0667</v>
      </c>
    </row>
    <row r="29" ht="15.75" customHeight="1">
      <c r="C29" s="2" t="str">
        <f>IFERROR(__xludf.DUMMYFUNCTION("""COMPUTED_VALUE"""),"Burundi [+]")</f>
        <v>Burundi [+]</v>
      </c>
      <c r="D29" s="2">
        <f>IFERROR(__xludf.DUMMYFUNCTION("""COMPUTED_VALUE"""),2008.0)</f>
        <v>2008</v>
      </c>
      <c r="E29" s="2">
        <f>IFERROR(__xludf.DUMMYFUNCTION("""COMPUTED_VALUE"""),202.0)</f>
        <v>202</v>
      </c>
      <c r="F29" s="2">
        <f>IFERROR(__xludf.DUMMYFUNCTION("""COMPUTED_VALUE"""),576.0)</f>
        <v>576</v>
      </c>
      <c r="G29" s="2">
        <f>IFERROR(__xludf.DUMMYFUNCTION("""COMPUTED_VALUE"""),778.0)</f>
        <v>778</v>
      </c>
      <c r="H29" s="7">
        <f>IFERROR(__xludf.DUMMYFUNCTION("""COMPUTED_VALUE"""),4.91)</f>
        <v>4.91</v>
      </c>
      <c r="I29" s="2">
        <f>IFERROR(__xludf.DUMMYFUNCTION("""COMPUTED_VALUE"""),14.36)</f>
        <v>14.36</v>
      </c>
      <c r="J29" s="4">
        <f>IFERROR(__xludf.DUMMYFUNCTION("""COMPUTED_VALUE"""),9.45)</f>
        <v>9.45</v>
      </c>
      <c r="K29" s="8">
        <f>IFERROR(__xludf.DUMMYFUNCTION("""COMPUTED_VALUE"""),0.0118)</f>
        <v>0.0118</v>
      </c>
    </row>
    <row r="30" ht="15.75" customHeight="1">
      <c r="C30" s="2" t="str">
        <f>IFERROR(__xludf.DUMMYFUNCTION("""COMPUTED_VALUE"""),"Benin [+]")</f>
        <v>Benin [+]</v>
      </c>
      <c r="D30" s="5">
        <f>IFERROR(__xludf.DUMMYFUNCTION("""COMPUTED_VALUE"""),2008.0)</f>
        <v>2008</v>
      </c>
      <c r="E30" s="2">
        <f>IFERROR(__xludf.DUMMYFUNCTION("""COMPUTED_VALUE"""),233.0)</f>
        <v>233</v>
      </c>
      <c r="F30" s="6">
        <f>IFERROR(__xludf.DUMMYFUNCTION("""COMPUTED_VALUE"""),574.0)</f>
        <v>574</v>
      </c>
      <c r="G30" s="2">
        <f>IFERROR(__xludf.DUMMYFUNCTION("""COMPUTED_VALUE"""),808.0)</f>
        <v>808</v>
      </c>
      <c r="H30" s="7">
        <f>IFERROR(__xludf.DUMMYFUNCTION("""COMPUTED_VALUE"""),5.33)</f>
        <v>5.33</v>
      </c>
      <c r="I30" s="2">
        <f>IFERROR(__xludf.DUMMYFUNCTION("""COMPUTED_VALUE"""),13.3)</f>
        <v>13.3</v>
      </c>
      <c r="J30" s="4">
        <f>IFERROR(__xludf.DUMMYFUNCTION("""COMPUTED_VALUE"""),9.29)</f>
        <v>9.29</v>
      </c>
      <c r="K30" s="8">
        <f>IFERROR(__xludf.DUMMYFUNCTION("""COMPUTED_VALUE"""),0.0043)</f>
        <v>0.0043</v>
      </c>
    </row>
    <row r="31" ht="15.75" customHeight="1">
      <c r="C31" s="2" t="str">
        <f>IFERROR(__xludf.DUMMYFUNCTION("""COMPUTED_VALUE"""),"Brunéi [+]")</f>
        <v>Brunéi [+]</v>
      </c>
      <c r="D31" s="2">
        <f>IFERROR(__xludf.DUMMYFUNCTION("""COMPUTED_VALUE"""),2008.0)</f>
        <v>2008</v>
      </c>
      <c r="E31" s="2">
        <f>IFERROR(__xludf.DUMMYFUNCTION("""COMPUTED_VALUE"""),2.0)</f>
        <v>2</v>
      </c>
      <c r="F31" s="2">
        <f>IFERROR(__xludf.DUMMYFUNCTION("""COMPUTED_VALUE"""),4.0)</f>
        <v>4</v>
      </c>
      <c r="G31" s="2">
        <f>IFERROR(__xludf.DUMMYFUNCTION("""COMPUTED_VALUE"""),6.0)</f>
        <v>6</v>
      </c>
      <c r="H31" s="7">
        <f>IFERROR(__xludf.DUMMYFUNCTION("""COMPUTED_VALUE"""),0.98)</f>
        <v>0.98</v>
      </c>
      <c r="I31" s="2">
        <f>IFERROR(__xludf.DUMMYFUNCTION("""COMPUTED_VALUE"""),2.26)</f>
        <v>2.26</v>
      </c>
      <c r="J31" s="4">
        <f>IFERROR(__xludf.DUMMYFUNCTION("""COMPUTED_VALUE"""),1.66)</f>
        <v>1.66</v>
      </c>
      <c r="K31" s="8">
        <f>IFERROR(__xludf.DUMMYFUNCTION("""COMPUTED_VALUE"""),-0.349)</f>
        <v>-0.349</v>
      </c>
    </row>
    <row r="32" ht="15.75" customHeight="1">
      <c r="C32" s="2" t="str">
        <f>IFERROR(__xludf.DUMMYFUNCTION("""COMPUTED_VALUE"""),"Bolivia [+]")</f>
        <v>Bolivia [+]</v>
      </c>
      <c r="D32" s="2">
        <f>IFERROR(__xludf.DUMMYFUNCTION("""COMPUTED_VALUE"""),2008.0)</f>
        <v>2008</v>
      </c>
      <c r="E32" s="5">
        <f>IFERROR(__xludf.DUMMYFUNCTION("""COMPUTED_VALUE"""),732.0)</f>
        <v>732</v>
      </c>
      <c r="F32" s="6">
        <f>IFERROR(__xludf.DUMMYFUNCTION("""COMPUTED_VALUE"""),1321.0)</f>
        <v>1321</v>
      </c>
      <c r="G32" s="6">
        <f>IFERROR(__xludf.DUMMYFUNCTION("""COMPUTED_VALUE"""),2053.0)</f>
        <v>2053</v>
      </c>
      <c r="H32" s="7">
        <f>IFERROR(__xludf.DUMMYFUNCTION("""COMPUTED_VALUE"""),15.16)</f>
        <v>15.16</v>
      </c>
      <c r="I32" s="2">
        <f>IFERROR(__xludf.DUMMYFUNCTION("""COMPUTED_VALUE"""),26.99)</f>
        <v>26.99</v>
      </c>
      <c r="J32" s="4">
        <f>IFERROR(__xludf.DUMMYFUNCTION("""COMPUTED_VALUE"""),21.14)</f>
        <v>21.14</v>
      </c>
      <c r="K32" s="8">
        <f>IFERROR(__xludf.DUMMYFUNCTION("""COMPUTED_VALUE"""),-0.014)</f>
        <v>-0.014</v>
      </c>
    </row>
    <row r="33" ht="15.75" customHeight="1">
      <c r="C33" s="2" t="str">
        <f>IFERROR(__xludf.DUMMYFUNCTION("""COMPUTED_VALUE"""),"Brasil [+]")</f>
        <v>Brasil [+]</v>
      </c>
      <c r="D33" s="2">
        <f>IFERROR(__xludf.DUMMYFUNCTION("""COMPUTED_VALUE"""),2008.0)</f>
        <v>2008</v>
      </c>
      <c r="E33" s="6">
        <f>IFERROR(__xludf.DUMMYFUNCTION("""COMPUTED_VALUE"""),1917.0)</f>
        <v>1917</v>
      </c>
      <c r="F33" s="6">
        <f>IFERROR(__xludf.DUMMYFUNCTION("""COMPUTED_VALUE"""),7289.0)</f>
        <v>7289</v>
      </c>
      <c r="G33" s="6">
        <f>IFERROR(__xludf.DUMMYFUNCTION("""COMPUTED_VALUE"""),9206.0)</f>
        <v>9206</v>
      </c>
      <c r="H33" s="7">
        <f>IFERROR(__xludf.DUMMYFUNCTION("""COMPUTED_VALUE"""),2.0)</f>
        <v>2</v>
      </c>
      <c r="I33" s="2">
        <f>IFERROR(__xludf.DUMMYFUNCTION("""COMPUTED_VALUE"""),7.8)</f>
        <v>7.8</v>
      </c>
      <c r="J33" s="4">
        <f>IFERROR(__xludf.DUMMYFUNCTION("""COMPUTED_VALUE"""),4.8)</f>
        <v>4.8</v>
      </c>
      <c r="K33" s="8">
        <f>IFERROR(__xludf.DUMMYFUNCTION("""COMPUTED_VALUE"""),0.0213)</f>
        <v>0.0213</v>
      </c>
    </row>
    <row r="34" ht="15.75" customHeight="1">
      <c r="C34" s="2" t="str">
        <f>IFERROR(__xludf.DUMMYFUNCTION("""COMPUTED_VALUE"""),"Bahamas [+]")</f>
        <v>Bahamas [+]</v>
      </c>
      <c r="D34" s="2">
        <f>IFERROR(__xludf.DUMMYFUNCTION("""COMPUTED_VALUE"""),2008.0)</f>
        <v>2008</v>
      </c>
      <c r="E34" s="2">
        <f>IFERROR(__xludf.DUMMYFUNCTION("""COMPUTED_VALUE"""),1.0)</f>
        <v>1</v>
      </c>
      <c r="F34" s="2">
        <f>IFERROR(__xludf.DUMMYFUNCTION("""COMPUTED_VALUE"""),4.0)</f>
        <v>4</v>
      </c>
      <c r="G34" s="2">
        <f>IFERROR(__xludf.DUMMYFUNCTION("""COMPUTED_VALUE"""),5.0)</f>
        <v>5</v>
      </c>
      <c r="H34" s="7">
        <f>IFERROR(__xludf.DUMMYFUNCTION("""COMPUTED_VALUE"""),0.83)</f>
        <v>0.83</v>
      </c>
      <c r="I34" s="2">
        <f>IFERROR(__xludf.DUMMYFUNCTION("""COMPUTED_VALUE"""),2.34)</f>
        <v>2.34</v>
      </c>
      <c r="J34" s="4">
        <f>IFERROR(__xludf.DUMMYFUNCTION("""COMPUTED_VALUE"""),1.6)</f>
        <v>1.6</v>
      </c>
      <c r="K34" s="8">
        <f>IFERROR(__xludf.DUMMYFUNCTION("""COMPUTED_VALUE"""),0.0458)</f>
        <v>0.0458</v>
      </c>
    </row>
    <row r="35" ht="15.75" customHeight="1">
      <c r="C35" s="2" t="str">
        <f>IFERROR(__xludf.DUMMYFUNCTION("""COMPUTED_VALUE"""),"Bután [+]")</f>
        <v>Bután [+]</v>
      </c>
      <c r="D35" s="2">
        <f>IFERROR(__xludf.DUMMYFUNCTION("""COMPUTED_VALUE"""),2008.0)</f>
        <v>2008</v>
      </c>
      <c r="E35" s="2">
        <f>IFERROR(__xludf.DUMMYFUNCTION("""COMPUTED_VALUE"""),30.0)</f>
        <v>30</v>
      </c>
      <c r="F35" s="2">
        <f>IFERROR(__xludf.DUMMYFUNCTION("""COMPUTED_VALUE"""),51.0)</f>
        <v>51</v>
      </c>
      <c r="G35" s="2">
        <f>IFERROR(__xludf.DUMMYFUNCTION("""COMPUTED_VALUE"""),81.0)</f>
        <v>81</v>
      </c>
      <c r="H35" s="7">
        <f>IFERROR(__xludf.DUMMYFUNCTION("""COMPUTED_VALUE"""),9.38)</f>
        <v>9.38</v>
      </c>
      <c r="I35" s="2">
        <f>IFERROR(__xludf.DUMMYFUNCTION("""COMPUTED_VALUE"""),14.47)</f>
        <v>14.47</v>
      </c>
      <c r="J35" s="4">
        <f>IFERROR(__xludf.DUMMYFUNCTION("""COMPUTED_VALUE"""),12.43)</f>
        <v>12.43</v>
      </c>
      <c r="K35" s="8">
        <f>IFERROR(__xludf.DUMMYFUNCTION("""COMPUTED_VALUE"""),0.0057)</f>
        <v>0.0057</v>
      </c>
    </row>
    <row r="36" ht="15.75" customHeight="1">
      <c r="C36" s="2" t="str">
        <f>IFERROR(__xludf.DUMMYFUNCTION("""COMPUTED_VALUE"""),"Botsuana [+]")</f>
        <v>Botsuana [+]</v>
      </c>
      <c r="D36" s="5">
        <f>IFERROR(__xludf.DUMMYFUNCTION("""COMPUTED_VALUE"""),2008.0)</f>
        <v>2008</v>
      </c>
      <c r="E36" s="2">
        <f>IFERROR(__xludf.DUMMYFUNCTION("""COMPUTED_VALUE"""),52.0)</f>
        <v>52</v>
      </c>
      <c r="F36" s="6">
        <f>IFERROR(__xludf.DUMMYFUNCTION("""COMPUTED_VALUE"""),158.0)</f>
        <v>158</v>
      </c>
      <c r="G36" s="2">
        <f>IFERROR(__xludf.DUMMYFUNCTION("""COMPUTED_VALUE"""),210.0)</f>
        <v>210</v>
      </c>
      <c r="H36" s="7">
        <f>IFERROR(__xludf.DUMMYFUNCTION("""COMPUTED_VALUE"""),5.32)</f>
        <v>5.32</v>
      </c>
      <c r="I36" s="2">
        <f>IFERROR(__xludf.DUMMYFUNCTION("""COMPUTED_VALUE"""),16.84)</f>
        <v>16.84</v>
      </c>
      <c r="J36" s="4">
        <f>IFERROR(__xludf.DUMMYFUNCTION("""COMPUTED_VALUE"""),10.95)</f>
        <v>10.95</v>
      </c>
      <c r="K36" s="8">
        <f>IFERROR(__xludf.DUMMYFUNCTION("""COMPUTED_VALUE"""),0.0111)</f>
        <v>0.0111</v>
      </c>
    </row>
    <row r="37" ht="15.75" customHeight="1">
      <c r="C37" s="2" t="str">
        <f>IFERROR(__xludf.DUMMYFUNCTION("""COMPUTED_VALUE"""),"Bielorrusia [+]")</f>
        <v>Bielorrusia [+]</v>
      </c>
      <c r="D37" s="2">
        <f>IFERROR(__xludf.DUMMYFUNCTION("""COMPUTED_VALUE"""),2008.0)</f>
        <v>2008</v>
      </c>
      <c r="E37" s="2">
        <f>IFERROR(__xludf.DUMMYFUNCTION("""COMPUTED_VALUE"""),555.0)</f>
        <v>555</v>
      </c>
      <c r="F37" s="6">
        <f>IFERROR(__xludf.DUMMYFUNCTION("""COMPUTED_VALUE"""),2300.0)</f>
        <v>2300</v>
      </c>
      <c r="G37" s="6">
        <f>IFERROR(__xludf.DUMMYFUNCTION("""COMPUTED_VALUE"""),2855.0)</f>
        <v>2855</v>
      </c>
      <c r="H37" s="7">
        <f>IFERROR(__xludf.DUMMYFUNCTION("""COMPUTED_VALUE"""),10.76)</f>
        <v>10.76</v>
      </c>
      <c r="I37" s="2">
        <f>IFERROR(__xludf.DUMMYFUNCTION("""COMPUTED_VALUE"""),50.97)</f>
        <v>50.97</v>
      </c>
      <c r="J37" s="4">
        <f>IFERROR(__xludf.DUMMYFUNCTION("""COMPUTED_VALUE"""),29.52)</f>
        <v>29.52</v>
      </c>
      <c r="K37" s="8">
        <f>IFERROR(__xludf.DUMMYFUNCTION("""COMPUTED_VALUE"""),0.0037)</f>
        <v>0.0037</v>
      </c>
    </row>
    <row r="38" ht="15.75" customHeight="1">
      <c r="C38" s="2" t="str">
        <f>IFERROR(__xludf.DUMMYFUNCTION("""COMPUTED_VALUE"""),"Belice [+]")</f>
        <v>Belice [+]</v>
      </c>
      <c r="D38" s="5">
        <f>IFERROR(__xludf.DUMMYFUNCTION("""COMPUTED_VALUE"""),2008.0)</f>
        <v>2008</v>
      </c>
      <c r="E38" s="2">
        <f>IFERROR(__xludf.DUMMYFUNCTION("""COMPUTED_VALUE"""),2.0)</f>
        <v>2</v>
      </c>
      <c r="F38" s="6">
        <f>IFERROR(__xludf.DUMMYFUNCTION("""COMPUTED_VALUE"""),11.0)</f>
        <v>11</v>
      </c>
      <c r="G38" s="2">
        <f>IFERROR(__xludf.DUMMYFUNCTION("""COMPUTED_VALUE"""),13.0)</f>
        <v>13</v>
      </c>
      <c r="H38" s="7">
        <f>IFERROR(__xludf.DUMMYFUNCTION("""COMPUTED_VALUE"""),1.47)</f>
        <v>1.47</v>
      </c>
      <c r="I38" s="2">
        <f>IFERROR(__xludf.DUMMYFUNCTION("""COMPUTED_VALUE"""),7.09)</f>
        <v>7.09</v>
      </c>
      <c r="J38" s="4">
        <f>IFERROR(__xludf.DUMMYFUNCTION("""COMPUTED_VALUE"""),4.29)</f>
        <v>4.29</v>
      </c>
      <c r="K38" s="8">
        <f>IFERROR(__xludf.DUMMYFUNCTION("""COMPUTED_VALUE"""),-0.1245)</f>
        <v>-0.1245</v>
      </c>
    </row>
    <row r="39" ht="15.75" customHeight="1">
      <c r="C39" s="2" t="str">
        <f>IFERROR(__xludf.DUMMYFUNCTION("""COMPUTED_VALUE"""),"Canadá [+]")</f>
        <v>Canadá [+]</v>
      </c>
      <c r="D39" s="5">
        <f>IFERROR(__xludf.DUMMYFUNCTION("""COMPUTED_VALUE"""),2008.0)</f>
        <v>2008</v>
      </c>
      <c r="E39" s="2">
        <f>IFERROR(__xludf.DUMMYFUNCTION("""COMPUTED_VALUE"""),927.0)</f>
        <v>927</v>
      </c>
      <c r="F39" s="6">
        <f>IFERROR(__xludf.DUMMYFUNCTION("""COMPUTED_VALUE"""),2773.0)</f>
        <v>2773</v>
      </c>
      <c r="G39" s="6">
        <f>IFERROR(__xludf.DUMMYFUNCTION("""COMPUTED_VALUE"""),3700.0)</f>
        <v>3700</v>
      </c>
      <c r="H39" s="7">
        <f>IFERROR(__xludf.DUMMYFUNCTION("""COMPUTED_VALUE"""),5.5)</f>
        <v>5.5</v>
      </c>
      <c r="I39" s="2">
        <f>IFERROR(__xludf.DUMMYFUNCTION("""COMPUTED_VALUE"""),16.8)</f>
        <v>16.8</v>
      </c>
      <c r="J39" s="4">
        <f>IFERROR(__xludf.DUMMYFUNCTION("""COMPUTED_VALUE"""),11.1)</f>
        <v>11.1</v>
      </c>
      <c r="K39" s="8">
        <f>IFERROR(__xludf.DUMMYFUNCTION("""COMPUTED_VALUE"""),0.0091)</f>
        <v>0.0091</v>
      </c>
    </row>
    <row r="40" ht="15.75" customHeight="1">
      <c r="C40" s="2" t="str">
        <f>IFERROR(__xludf.DUMMYFUNCTION("""COMPUTED_VALUE"""),"República Democrática del Congo [+]")</f>
        <v>República Democrática del Congo [+]</v>
      </c>
      <c r="D40" s="5">
        <f>IFERROR(__xludf.DUMMYFUNCTION("""COMPUTED_VALUE"""),2008.0)</f>
        <v>2008</v>
      </c>
      <c r="E40" s="6">
        <f>IFERROR(__xludf.DUMMYFUNCTION("""COMPUTED_VALUE"""),1724.0)</f>
        <v>1724</v>
      </c>
      <c r="F40" s="6">
        <f>IFERROR(__xludf.DUMMYFUNCTION("""COMPUTED_VALUE"""),4133.0)</f>
        <v>4133</v>
      </c>
      <c r="G40" s="6">
        <f>IFERROR(__xludf.DUMMYFUNCTION("""COMPUTED_VALUE"""),5857.0)</f>
        <v>5857</v>
      </c>
      <c r="H40" s="7">
        <f>IFERROR(__xludf.DUMMYFUNCTION("""COMPUTED_VALUE"""),5.68)</f>
        <v>5.68</v>
      </c>
      <c r="I40" s="2">
        <f>IFERROR(__xludf.DUMMYFUNCTION("""COMPUTED_VALUE"""),13.75)</f>
        <v>13.75</v>
      </c>
      <c r="J40" s="4">
        <f>IFERROR(__xludf.DUMMYFUNCTION("""COMPUTED_VALUE"""),9.48)</f>
        <v>9.48</v>
      </c>
      <c r="K40" s="8">
        <f>IFERROR(__xludf.DUMMYFUNCTION("""COMPUTED_VALUE"""),-0.0042)</f>
        <v>-0.0042</v>
      </c>
    </row>
    <row r="41" ht="15.75" customHeight="1">
      <c r="C41" s="2" t="str">
        <f>IFERROR(__xludf.DUMMYFUNCTION("""COMPUTED_VALUE"""),"República Centroafricana [+]")</f>
        <v>República Centroafricana [+]</v>
      </c>
      <c r="D41" s="2">
        <f>IFERROR(__xludf.DUMMYFUNCTION("""COMPUTED_VALUE"""),2008.0)</f>
        <v>2008</v>
      </c>
      <c r="E41" s="2">
        <f>IFERROR(__xludf.DUMMYFUNCTION("""COMPUTED_VALUE"""),173.0)</f>
        <v>173</v>
      </c>
      <c r="F41" s="2">
        <f>IFERROR(__xludf.DUMMYFUNCTION("""COMPUTED_VALUE"""),542.0)</f>
        <v>542</v>
      </c>
      <c r="G41" s="2">
        <f>IFERROR(__xludf.DUMMYFUNCTION("""COMPUTED_VALUE"""),715.0)</f>
        <v>715</v>
      </c>
      <c r="H41" s="7">
        <f>IFERROR(__xludf.DUMMYFUNCTION("""COMPUTED_VALUE"""),8.01)</f>
        <v>8.01</v>
      </c>
      <c r="I41" s="2">
        <f>IFERROR(__xludf.DUMMYFUNCTION("""COMPUTED_VALUE"""),25.66)</f>
        <v>25.66</v>
      </c>
      <c r="J41" s="4">
        <f>IFERROR(__xludf.DUMMYFUNCTION("""COMPUTED_VALUE"""),16.74)</f>
        <v>16.74</v>
      </c>
      <c r="K41" s="8">
        <f>IFERROR(__xludf.DUMMYFUNCTION("""COMPUTED_VALUE"""),-0.0423)</f>
        <v>-0.0423</v>
      </c>
    </row>
    <row r="42" ht="15.75" customHeight="1">
      <c r="C42" s="2" t="str">
        <f>IFERROR(__xludf.DUMMYFUNCTION("""COMPUTED_VALUE"""),"República del Congo [+]")</f>
        <v>República del Congo [+]</v>
      </c>
      <c r="D42" s="2">
        <f>IFERROR(__xludf.DUMMYFUNCTION("""COMPUTED_VALUE"""),2008.0)</f>
        <v>2008</v>
      </c>
      <c r="E42" s="2">
        <f>IFERROR(__xludf.DUMMYFUNCTION("""COMPUTED_VALUE"""),118.0)</f>
        <v>118</v>
      </c>
      <c r="F42" s="2">
        <f>IFERROR(__xludf.DUMMYFUNCTION("""COMPUTED_VALUE"""),355.0)</f>
        <v>355</v>
      </c>
      <c r="G42" s="2">
        <f>IFERROR(__xludf.DUMMYFUNCTION("""COMPUTED_VALUE"""),473.0)</f>
        <v>473</v>
      </c>
      <c r="H42" s="7">
        <f>IFERROR(__xludf.DUMMYFUNCTION("""COMPUTED_VALUE"""),5.84)</f>
        <v>5.84</v>
      </c>
      <c r="I42" s="2">
        <f>IFERROR(__xludf.DUMMYFUNCTION("""COMPUTED_VALUE"""),17.82)</f>
        <v>17.82</v>
      </c>
      <c r="J42" s="4">
        <f>IFERROR(__xludf.DUMMYFUNCTION("""COMPUTED_VALUE"""),13.59)</f>
        <v>13.59</v>
      </c>
      <c r="K42" s="8">
        <f>IFERROR(__xludf.DUMMYFUNCTION("""COMPUTED_VALUE"""),-0.0443)</f>
        <v>-0.0443</v>
      </c>
    </row>
    <row r="43" ht="15.75" customHeight="1">
      <c r="C43" s="2" t="str">
        <f>IFERROR(__xludf.DUMMYFUNCTION("""COMPUTED_VALUE"""),"Suiza [+]")</f>
        <v>Suiza [+]</v>
      </c>
      <c r="D43" s="5">
        <f>IFERROR(__xludf.DUMMYFUNCTION("""COMPUTED_VALUE"""),2008.0)</f>
        <v>2008</v>
      </c>
      <c r="E43" s="2">
        <f>IFERROR(__xludf.DUMMYFUNCTION("""COMPUTED_VALUE"""),453.0)</f>
        <v>453</v>
      </c>
      <c r="F43" s="6">
        <f>IFERROR(__xludf.DUMMYFUNCTION("""COMPUTED_VALUE"""),861.0)</f>
        <v>861</v>
      </c>
      <c r="G43" s="6">
        <f>IFERROR(__xludf.DUMMYFUNCTION("""COMPUTED_VALUE"""),1314.0)</f>
        <v>1314</v>
      </c>
      <c r="H43" s="7">
        <f>IFERROR(__xludf.DUMMYFUNCTION("""COMPUTED_VALUE"""),11.6)</f>
        <v>11.6</v>
      </c>
      <c r="I43" s="2">
        <f>IFERROR(__xludf.DUMMYFUNCTION("""COMPUTED_VALUE"""),22.9)</f>
        <v>22.9</v>
      </c>
      <c r="J43" s="4">
        <f>IFERROR(__xludf.DUMMYFUNCTION("""COMPUTED_VALUE"""),17.2)</f>
        <v>17.2</v>
      </c>
      <c r="K43" s="8">
        <f>IFERROR(__xludf.DUMMYFUNCTION("""COMPUTED_VALUE"""),-0.0444)</f>
        <v>-0.0444</v>
      </c>
    </row>
    <row r="44" ht="15.75" customHeight="1">
      <c r="C44" s="2" t="str">
        <f>IFERROR(__xludf.DUMMYFUNCTION("""COMPUTED_VALUE"""),"Costa de Marfil [+]")</f>
        <v>Costa de Marfil [+]</v>
      </c>
      <c r="D44" s="2">
        <f>IFERROR(__xludf.DUMMYFUNCTION("""COMPUTED_VALUE"""),2008.0)</f>
        <v>2008</v>
      </c>
      <c r="E44" s="2">
        <f>IFERROR(__xludf.DUMMYFUNCTION("""COMPUTED_VALUE"""),788.0)</f>
        <v>788</v>
      </c>
      <c r="F44" s="6">
        <f>IFERROR(__xludf.DUMMYFUNCTION("""COMPUTED_VALUE"""),2510.0)</f>
        <v>2510</v>
      </c>
      <c r="G44" s="6">
        <f>IFERROR(__xludf.DUMMYFUNCTION("""COMPUTED_VALUE"""),3298.0)</f>
        <v>3298</v>
      </c>
      <c r="H44" s="7">
        <f>IFERROR(__xludf.DUMMYFUNCTION("""COMPUTED_VALUE"""),8.19)</f>
        <v>8.19</v>
      </c>
      <c r="I44" s="2">
        <f>IFERROR(__xludf.DUMMYFUNCTION("""COMPUTED_VALUE"""),25.15)</f>
        <v>25.15</v>
      </c>
      <c r="J44" s="4">
        <f>IFERROR(__xludf.DUMMYFUNCTION("""COMPUTED_VALUE"""),16.65)</f>
        <v>16.65</v>
      </c>
      <c r="K44" s="8">
        <f>IFERROR(__xludf.DUMMYFUNCTION("""COMPUTED_VALUE"""),0.0048)</f>
        <v>0.0048</v>
      </c>
    </row>
    <row r="45" ht="15.75" customHeight="1">
      <c r="C45" s="2" t="str">
        <f>IFERROR(__xludf.DUMMYFUNCTION("""COMPUTED_VALUE"""),"Chile [+]")</f>
        <v>Chile [+]</v>
      </c>
      <c r="D45" s="5">
        <f>IFERROR(__xludf.DUMMYFUNCTION("""COMPUTED_VALUE"""),2008.0)</f>
        <v>2008</v>
      </c>
      <c r="E45" s="2">
        <f>IFERROR(__xludf.DUMMYFUNCTION("""COMPUTED_VALUE"""),414.0)</f>
        <v>414</v>
      </c>
      <c r="F45" s="6">
        <f>IFERROR(__xludf.DUMMYFUNCTION("""COMPUTED_VALUE"""),1674.0)</f>
        <v>1674</v>
      </c>
      <c r="G45" s="6">
        <f>IFERROR(__xludf.DUMMYFUNCTION("""COMPUTED_VALUE"""),2088.0)</f>
        <v>2088</v>
      </c>
      <c r="H45" s="7">
        <f>IFERROR(__xludf.DUMMYFUNCTION("""COMPUTED_VALUE"""),4.9)</f>
        <v>4.9</v>
      </c>
      <c r="I45" s="2">
        <f>IFERROR(__xludf.DUMMYFUNCTION("""COMPUTED_VALUE"""),20.4)</f>
        <v>20.4</v>
      </c>
      <c r="J45" s="4">
        <f>IFERROR(__xludf.DUMMYFUNCTION("""COMPUTED_VALUE"""),12.5)</f>
        <v>12.5</v>
      </c>
      <c r="K45" s="8">
        <f>IFERROR(__xludf.DUMMYFUNCTION("""COMPUTED_VALUE"""),0.1161)</f>
        <v>0.1161</v>
      </c>
    </row>
    <row r="46" ht="15.75" customHeight="1">
      <c r="C46" s="2" t="str">
        <f>IFERROR(__xludf.DUMMYFUNCTION("""COMPUTED_VALUE"""),"Camerún [+]")</f>
        <v>Camerún [+]</v>
      </c>
      <c r="D46" s="2">
        <f>IFERROR(__xludf.DUMMYFUNCTION("""COMPUTED_VALUE"""),2008.0)</f>
        <v>2008</v>
      </c>
      <c r="E46" s="2">
        <f>IFERROR(__xludf.DUMMYFUNCTION("""COMPUTED_VALUE"""),542.0)</f>
        <v>542</v>
      </c>
      <c r="F46" s="6">
        <f>IFERROR(__xludf.DUMMYFUNCTION("""COMPUTED_VALUE"""),1801.0)</f>
        <v>1801</v>
      </c>
      <c r="G46" s="6">
        <f>IFERROR(__xludf.DUMMYFUNCTION("""COMPUTED_VALUE"""),2343.0)</f>
        <v>2343</v>
      </c>
      <c r="H46" s="7">
        <f>IFERROR(__xludf.DUMMYFUNCTION("""COMPUTED_VALUE"""),5.62)</f>
        <v>5.62</v>
      </c>
      <c r="I46" s="2">
        <f>IFERROR(__xludf.DUMMYFUNCTION("""COMPUTED_VALUE"""),18.75)</f>
        <v>18.75</v>
      </c>
      <c r="J46" s="4">
        <f>IFERROR(__xludf.DUMMYFUNCTION("""COMPUTED_VALUE"""),12.17)</f>
        <v>12.17</v>
      </c>
      <c r="K46" s="8">
        <f>IFERROR(__xludf.DUMMYFUNCTION("""COMPUTED_VALUE"""),0.015)</f>
        <v>0.015</v>
      </c>
    </row>
    <row r="47" ht="15.75" customHeight="1">
      <c r="C47" s="2" t="str">
        <f>IFERROR(__xludf.DUMMYFUNCTION("""COMPUTED_VALUE"""),"Colombia [+]")</f>
        <v>Colombia [+]</v>
      </c>
      <c r="D47" s="2">
        <f>IFERROR(__xludf.DUMMYFUNCTION("""COMPUTED_VALUE"""),2008.0)</f>
        <v>2008</v>
      </c>
      <c r="E47" s="2">
        <f>IFERROR(__xludf.DUMMYFUNCTION("""COMPUTED_VALUE"""),451.0)</f>
        <v>451</v>
      </c>
      <c r="F47" s="6">
        <f>IFERROR(__xludf.DUMMYFUNCTION("""COMPUTED_VALUE"""),1783.0)</f>
        <v>1783</v>
      </c>
      <c r="G47" s="6">
        <f>IFERROR(__xludf.DUMMYFUNCTION("""COMPUTED_VALUE"""),2234.0)</f>
        <v>2234</v>
      </c>
      <c r="H47" s="7">
        <f>IFERROR(__xludf.DUMMYFUNCTION("""COMPUTED_VALUE"""),2.0)</f>
        <v>2</v>
      </c>
      <c r="I47" s="2">
        <f>IFERROR(__xludf.DUMMYFUNCTION("""COMPUTED_VALUE"""),8.1)</f>
        <v>8.1</v>
      </c>
      <c r="J47" s="4">
        <f>IFERROR(__xludf.DUMMYFUNCTION("""COMPUTED_VALUE"""),5.0)</f>
        <v>5</v>
      </c>
      <c r="K47" s="4">
        <f>IFERROR(__xludf.DUMMYFUNCTION("""COMPUTED_VALUE"""),0.0)</f>
        <v>0</v>
      </c>
    </row>
    <row r="48" ht="15.75" customHeight="1">
      <c r="C48" s="2" t="str">
        <f>IFERROR(__xludf.DUMMYFUNCTION("""COMPUTED_VALUE"""),"Costa Rica [+]")</f>
        <v>Costa Rica [+]</v>
      </c>
      <c r="D48" s="2">
        <f>IFERROR(__xludf.DUMMYFUNCTION("""COMPUTED_VALUE"""),2008.0)</f>
        <v>2008</v>
      </c>
      <c r="E48" s="2">
        <f>IFERROR(__xludf.DUMMYFUNCTION("""COMPUTED_VALUE"""),34.0)</f>
        <v>34</v>
      </c>
      <c r="F48" s="2">
        <f>IFERROR(__xludf.DUMMYFUNCTION("""COMPUTED_VALUE"""),227.0)</f>
        <v>227</v>
      </c>
      <c r="G48" s="2">
        <f>IFERROR(__xludf.DUMMYFUNCTION("""COMPUTED_VALUE"""),261.0)</f>
        <v>261</v>
      </c>
      <c r="H48" s="7">
        <f>IFERROR(__xludf.DUMMYFUNCTION("""COMPUTED_VALUE"""),1.6)</f>
        <v>1.6</v>
      </c>
      <c r="I48" s="2">
        <f>IFERROR(__xludf.DUMMYFUNCTION("""COMPUTED_VALUE"""),10.2)</f>
        <v>10.2</v>
      </c>
      <c r="J48" s="4">
        <f>IFERROR(__xludf.DUMMYFUNCTION("""COMPUTED_VALUE"""),5.9)</f>
        <v>5.9</v>
      </c>
      <c r="K48" s="8">
        <f>IFERROR(__xludf.DUMMYFUNCTION("""COMPUTED_VALUE"""),-0.0484)</f>
        <v>-0.0484</v>
      </c>
    </row>
    <row r="49" ht="15.75" customHeight="1">
      <c r="C49" s="2" t="str">
        <f>IFERROR(__xludf.DUMMYFUNCTION("""COMPUTED_VALUE"""),"Cuba [+]")</f>
        <v>Cuba [+]</v>
      </c>
      <c r="D49" s="5">
        <f>IFERROR(__xludf.DUMMYFUNCTION("""COMPUTED_VALUE"""),2008.0)</f>
        <v>2008</v>
      </c>
      <c r="E49" s="2">
        <f>IFERROR(__xludf.DUMMYFUNCTION("""COMPUTED_VALUE"""),331.0)</f>
        <v>331</v>
      </c>
      <c r="F49" s="6">
        <f>IFERROR(__xludf.DUMMYFUNCTION("""COMPUTED_VALUE"""),1150.0)</f>
        <v>1150</v>
      </c>
      <c r="G49" s="6">
        <f>IFERROR(__xludf.DUMMYFUNCTION("""COMPUTED_VALUE"""),1480.0)</f>
        <v>1480</v>
      </c>
      <c r="H49" s="7">
        <f>IFERROR(__xludf.DUMMYFUNCTION("""COMPUTED_VALUE"""),5.86)</f>
        <v>5.86</v>
      </c>
      <c r="I49" s="2">
        <f>IFERROR(__xludf.DUMMYFUNCTION("""COMPUTED_VALUE"""),20.55)</f>
        <v>20.55</v>
      </c>
      <c r="J49" s="4">
        <f>IFERROR(__xludf.DUMMYFUNCTION("""COMPUTED_VALUE"""),13.17)</f>
        <v>13.17</v>
      </c>
      <c r="K49" s="8">
        <f>IFERROR(__xludf.DUMMYFUNCTION("""COMPUTED_VALUE"""),0.057)</f>
        <v>0.057</v>
      </c>
    </row>
    <row r="50" ht="15.75" customHeight="1">
      <c r="C50" s="2" t="str">
        <f>IFERROR(__xludf.DUMMYFUNCTION("""COMPUTED_VALUE"""),"Cabo Verde [+]")</f>
        <v>Cabo Verde [+]</v>
      </c>
      <c r="D50" s="5">
        <f>IFERROR(__xludf.DUMMYFUNCTION("""COMPUTED_VALUE"""),2008.0)</f>
        <v>2008</v>
      </c>
      <c r="E50" s="2">
        <f>IFERROR(__xludf.DUMMYFUNCTION("""COMPUTED_VALUE"""),14.0)</f>
        <v>14</v>
      </c>
      <c r="F50" s="2">
        <f>IFERROR(__xludf.DUMMYFUNCTION("""COMPUTED_VALUE"""),28.0)</f>
        <v>28</v>
      </c>
      <c r="G50" s="2">
        <f>IFERROR(__xludf.DUMMYFUNCTION("""COMPUTED_VALUE"""),42.0)</f>
        <v>42</v>
      </c>
      <c r="H50" s="7">
        <f>IFERROR(__xludf.DUMMYFUNCTION("""COMPUTED_VALUE"""),5.81)</f>
        <v>5.81</v>
      </c>
      <c r="I50" s="2">
        <f>IFERROR(__xludf.DUMMYFUNCTION("""COMPUTED_VALUE"""),11.58)</f>
        <v>11.58</v>
      </c>
      <c r="J50" s="4">
        <f>IFERROR(__xludf.DUMMYFUNCTION("""COMPUTED_VALUE"""),8.47)</f>
        <v>8.47</v>
      </c>
      <c r="K50" s="8">
        <f>IFERROR(__xludf.DUMMYFUNCTION("""COMPUTED_VALUE"""),0.0694)</f>
        <v>0.0694</v>
      </c>
    </row>
    <row r="51" ht="15.75" customHeight="1">
      <c r="C51" s="2" t="str">
        <f>IFERROR(__xludf.DUMMYFUNCTION("""COMPUTED_VALUE"""),"Chipre [+]")</f>
        <v>Chipre [+]</v>
      </c>
      <c r="D51" s="2">
        <f>IFERROR(__xludf.DUMMYFUNCTION("""COMPUTED_VALUE"""),2008.0)</f>
        <v>2008</v>
      </c>
      <c r="E51" s="2">
        <f>IFERROR(__xludf.DUMMYFUNCTION("""COMPUTED_VALUE"""),10.0)</f>
        <v>10</v>
      </c>
      <c r="F51" s="2">
        <f>IFERROR(__xludf.DUMMYFUNCTION("""COMPUTED_VALUE"""),32.0)</f>
        <v>32</v>
      </c>
      <c r="G51" s="2">
        <f>IFERROR(__xludf.DUMMYFUNCTION("""COMPUTED_VALUE"""),42.0)</f>
        <v>42</v>
      </c>
      <c r="H51" s="7">
        <f>IFERROR(__xludf.DUMMYFUNCTION("""COMPUTED_VALUE"""),2.5)</f>
        <v>2.5</v>
      </c>
      <c r="I51" s="2">
        <f>IFERROR(__xludf.DUMMYFUNCTION("""COMPUTED_VALUE"""),8.3)</f>
        <v>8.3</v>
      </c>
      <c r="J51" s="4">
        <f>IFERROR(__xludf.DUMMYFUNCTION("""COMPUTED_VALUE"""),5.3)</f>
        <v>5.3</v>
      </c>
      <c r="K51" s="8">
        <f>IFERROR(__xludf.DUMMYFUNCTION("""COMPUTED_VALUE"""),1.12)</f>
        <v>1.12</v>
      </c>
    </row>
    <row r="52" ht="15.75" customHeight="1">
      <c r="C52" s="2" t="str">
        <f>IFERROR(__xludf.DUMMYFUNCTION("""COMPUTED_VALUE"""),"Chequia [+]")</f>
        <v>Chequia [+]</v>
      </c>
      <c r="D52" s="5">
        <f>IFERROR(__xludf.DUMMYFUNCTION("""COMPUTED_VALUE"""),2008.0)</f>
        <v>2008</v>
      </c>
      <c r="E52" s="2">
        <f>IFERROR(__xludf.DUMMYFUNCTION("""COMPUTED_VALUE"""),256.0)</f>
        <v>256</v>
      </c>
      <c r="F52" s="6">
        <f>IFERROR(__xludf.DUMMYFUNCTION("""COMPUTED_VALUE"""),1123.0)</f>
        <v>1123</v>
      </c>
      <c r="G52" s="6">
        <f>IFERROR(__xludf.DUMMYFUNCTION("""COMPUTED_VALUE"""),1379.0)</f>
        <v>1379</v>
      </c>
      <c r="H52" s="7">
        <f>IFERROR(__xludf.DUMMYFUNCTION("""COMPUTED_VALUE"""),4.8)</f>
        <v>4.8</v>
      </c>
      <c r="I52" s="2">
        <f>IFERROR(__xludf.DUMMYFUNCTION("""COMPUTED_VALUE"""),22.1)</f>
        <v>22.1</v>
      </c>
      <c r="J52" s="4">
        <f>IFERROR(__xludf.DUMMYFUNCTION("""COMPUTED_VALUE"""),13.3)</f>
        <v>13.3</v>
      </c>
      <c r="K52" s="8">
        <f>IFERROR(__xludf.DUMMYFUNCTION("""COMPUTED_VALUE"""),-0.0075)</f>
        <v>-0.0075</v>
      </c>
    </row>
    <row r="53" ht="15.75" customHeight="1">
      <c r="C53" s="2" t="str">
        <f>IFERROR(__xludf.DUMMYFUNCTION("""COMPUTED_VALUE"""),"Yibuti [+]")</f>
        <v>Yibuti [+]</v>
      </c>
      <c r="D53" s="5">
        <f>IFERROR(__xludf.DUMMYFUNCTION("""COMPUTED_VALUE"""),2008.0)</f>
        <v>2008</v>
      </c>
      <c r="E53" s="2">
        <f>IFERROR(__xludf.DUMMYFUNCTION("""COMPUTED_VALUE"""),21.0)</f>
        <v>21</v>
      </c>
      <c r="F53" s="6">
        <f>IFERROR(__xludf.DUMMYFUNCTION("""COMPUTED_VALUE"""),44.0)</f>
        <v>44</v>
      </c>
      <c r="G53" s="2">
        <f>IFERROR(__xludf.DUMMYFUNCTION("""COMPUTED_VALUE"""),65.0)</f>
        <v>65</v>
      </c>
      <c r="H53" s="7">
        <f>IFERROR(__xludf.DUMMYFUNCTION("""COMPUTED_VALUE"""),5.44)</f>
        <v>5.44</v>
      </c>
      <c r="I53" s="2">
        <f>IFERROR(__xludf.DUMMYFUNCTION("""COMPUTED_VALUE"""),10.25)</f>
        <v>10.25</v>
      </c>
      <c r="J53" s="4">
        <f>IFERROR(__xludf.DUMMYFUNCTION("""COMPUTED_VALUE"""),7.95)</f>
        <v>7.95</v>
      </c>
      <c r="K53" s="8">
        <f>IFERROR(__xludf.DUMMYFUNCTION("""COMPUTED_VALUE"""),-0.0185)</f>
        <v>-0.0185</v>
      </c>
    </row>
    <row r="54" ht="15.75" customHeight="1">
      <c r="C54" s="2" t="str">
        <f>IFERROR(__xludf.DUMMYFUNCTION("""COMPUTED_VALUE"""),"Dinamarca [+]")</f>
        <v>Dinamarca [+]</v>
      </c>
      <c r="D54" s="5">
        <f>IFERROR(__xludf.DUMMYFUNCTION("""COMPUTED_VALUE"""),2008.0)</f>
        <v>2008</v>
      </c>
      <c r="E54" s="2">
        <f>IFERROR(__xludf.DUMMYFUNCTION("""COMPUTED_VALUE"""),185.0)</f>
        <v>185</v>
      </c>
      <c r="F54" s="6">
        <f>IFERROR(__xludf.DUMMYFUNCTION("""COMPUTED_VALUE"""),418.0)</f>
        <v>418</v>
      </c>
      <c r="G54" s="2">
        <f>IFERROR(__xludf.DUMMYFUNCTION("""COMPUTED_VALUE"""),603.0)</f>
        <v>603</v>
      </c>
      <c r="H54" s="7">
        <f>IFERROR(__xludf.DUMMYFUNCTION("""COMPUTED_VALUE"""),6.7)</f>
        <v>6.7</v>
      </c>
      <c r="I54" s="2">
        <f>IFERROR(__xludf.DUMMYFUNCTION("""COMPUTED_VALUE"""),15.4)</f>
        <v>15.4</v>
      </c>
      <c r="J54" s="4">
        <f>IFERROR(__xludf.DUMMYFUNCTION("""COMPUTED_VALUE"""),11.0)</f>
        <v>11</v>
      </c>
      <c r="K54" s="8">
        <f>IFERROR(__xludf.DUMMYFUNCTION("""COMPUTED_VALUE"""),0.0377)</f>
        <v>0.0377</v>
      </c>
    </row>
    <row r="55" ht="15.75" customHeight="1">
      <c r="C55" s="2" t="str">
        <f>IFERROR(__xludf.DUMMYFUNCTION("""COMPUTED_VALUE"""),"República Dominicana [+]")</f>
        <v>República Dominicana [+]</v>
      </c>
      <c r="D55" s="2">
        <f>IFERROR(__xludf.DUMMYFUNCTION("""COMPUTED_VALUE"""),2008.0)</f>
        <v>2008</v>
      </c>
      <c r="E55" s="2">
        <f>IFERROR(__xludf.DUMMYFUNCTION("""COMPUTED_VALUE"""),96.0)</f>
        <v>96</v>
      </c>
      <c r="F55" s="2">
        <f>IFERROR(__xludf.DUMMYFUNCTION("""COMPUTED_VALUE"""),484.0)</f>
        <v>484</v>
      </c>
      <c r="G55" s="2">
        <f>IFERROR(__xludf.DUMMYFUNCTION("""COMPUTED_VALUE"""),579.0)</f>
        <v>579</v>
      </c>
      <c r="H55" s="7">
        <f>IFERROR(__xludf.DUMMYFUNCTION("""COMPUTED_VALUE"""),2.04)</f>
        <v>2.04</v>
      </c>
      <c r="I55" s="2">
        <f>IFERROR(__xludf.DUMMYFUNCTION("""COMPUTED_VALUE"""),10.17)</f>
        <v>10.17</v>
      </c>
      <c r="J55" s="4">
        <f>IFERROR(__xludf.DUMMYFUNCTION("""COMPUTED_VALUE"""),6.24)</f>
        <v>6.24</v>
      </c>
      <c r="K55" s="8">
        <f>IFERROR(__xludf.DUMMYFUNCTION("""COMPUTED_VALUE"""),0.0163)</f>
        <v>0.0163</v>
      </c>
    </row>
    <row r="56" ht="15.75" customHeight="1">
      <c r="C56" s="2" t="str">
        <f>IFERROR(__xludf.DUMMYFUNCTION("""COMPUTED_VALUE"""),"Argelia [+]")</f>
        <v>Argelia [+]</v>
      </c>
      <c r="D56" s="5">
        <f>IFERROR(__xludf.DUMMYFUNCTION("""COMPUTED_VALUE"""),2008.0)</f>
        <v>2008</v>
      </c>
      <c r="E56" s="2">
        <f>IFERROR(__xludf.DUMMYFUNCTION("""COMPUTED_VALUE"""),289.0)</f>
        <v>289</v>
      </c>
      <c r="F56" s="6">
        <f>IFERROR(__xludf.DUMMYFUNCTION("""COMPUTED_VALUE"""),987.0)</f>
        <v>987</v>
      </c>
      <c r="G56" s="6">
        <f>IFERROR(__xludf.DUMMYFUNCTION("""COMPUTED_VALUE"""),1277.0)</f>
        <v>1277</v>
      </c>
      <c r="H56" s="7">
        <f>IFERROR(__xludf.DUMMYFUNCTION("""COMPUTED_VALUE"""),1.68)</f>
        <v>1.68</v>
      </c>
      <c r="I56" s="2">
        <f>IFERROR(__xludf.DUMMYFUNCTION("""COMPUTED_VALUE"""),5.63)</f>
        <v>5.63</v>
      </c>
      <c r="J56" s="4">
        <f>IFERROR(__xludf.DUMMYFUNCTION("""COMPUTED_VALUE"""),3.69)</f>
        <v>3.69</v>
      </c>
      <c r="K56" s="8">
        <f>IFERROR(__xludf.DUMMYFUNCTION("""COMPUTED_VALUE"""),-0.0134)</f>
        <v>-0.0134</v>
      </c>
    </row>
    <row r="57" ht="15.75" customHeight="1">
      <c r="C57" s="2" t="str">
        <f>IFERROR(__xludf.DUMMYFUNCTION("""COMPUTED_VALUE"""),"Ecuador [+]")</f>
        <v>Ecuador [+]</v>
      </c>
      <c r="D57" s="2">
        <f>IFERROR(__xludf.DUMMYFUNCTION("""COMPUTED_VALUE"""),2008.0)</f>
        <v>2008</v>
      </c>
      <c r="E57" s="2">
        <f>IFERROR(__xludf.DUMMYFUNCTION("""COMPUTED_VALUE"""),331.0)</f>
        <v>331</v>
      </c>
      <c r="F57" s="2">
        <f>IFERROR(__xludf.DUMMYFUNCTION("""COMPUTED_VALUE"""),954.0)</f>
        <v>954</v>
      </c>
      <c r="G57" s="6">
        <f>IFERROR(__xludf.DUMMYFUNCTION("""COMPUTED_VALUE"""),1285.0)</f>
        <v>1285</v>
      </c>
      <c r="H57" s="7">
        <f>IFERROR(__xludf.DUMMYFUNCTION("""COMPUTED_VALUE"""),4.57)</f>
        <v>4.57</v>
      </c>
      <c r="I57" s="2">
        <f>IFERROR(__xludf.DUMMYFUNCTION("""COMPUTED_VALUE"""),13.09)</f>
        <v>13.09</v>
      </c>
      <c r="J57" s="4">
        <f>IFERROR(__xludf.DUMMYFUNCTION("""COMPUTED_VALUE"""),8.88)</f>
        <v>8.88</v>
      </c>
      <c r="K57" s="8">
        <f>IFERROR(__xludf.DUMMYFUNCTION("""COMPUTED_VALUE"""),-0.0462)</f>
        <v>-0.0462</v>
      </c>
    </row>
    <row r="58" ht="15.75" customHeight="1">
      <c r="C58" s="2" t="str">
        <f>IFERROR(__xludf.DUMMYFUNCTION("""COMPUTED_VALUE"""),"Estonia [+]")</f>
        <v>Estonia [+]</v>
      </c>
      <c r="D58" s="5">
        <f>IFERROR(__xludf.DUMMYFUNCTION("""COMPUTED_VALUE"""),2008.0)</f>
        <v>2008</v>
      </c>
      <c r="E58" s="2">
        <f>IFERROR(__xludf.DUMMYFUNCTION("""COMPUTED_VALUE"""),53.0)</f>
        <v>53</v>
      </c>
      <c r="F58" s="6">
        <f>IFERROR(__xludf.DUMMYFUNCTION("""COMPUTED_VALUE"""),189.0)</f>
        <v>189</v>
      </c>
      <c r="G58" s="2">
        <f>IFERROR(__xludf.DUMMYFUNCTION("""COMPUTED_VALUE"""),242.0)</f>
        <v>242</v>
      </c>
      <c r="H58" s="7">
        <f>IFERROR(__xludf.DUMMYFUNCTION("""COMPUTED_VALUE"""),7.4)</f>
        <v>7.4</v>
      </c>
      <c r="I58" s="2">
        <f>IFERROR(__xludf.DUMMYFUNCTION("""COMPUTED_VALUE"""),30.3)</f>
        <v>30.3</v>
      </c>
      <c r="J58" s="4">
        <f>IFERROR(__xludf.DUMMYFUNCTION("""COMPUTED_VALUE"""),18.1)</f>
        <v>18.1</v>
      </c>
      <c r="K58" s="8">
        <f>IFERROR(__xludf.DUMMYFUNCTION("""COMPUTED_VALUE"""),-0.0372)</f>
        <v>-0.0372</v>
      </c>
    </row>
    <row r="59" ht="15.75" customHeight="1">
      <c r="C59" s="2" t="str">
        <f>IFERROR(__xludf.DUMMYFUNCTION("""COMPUTED_VALUE"""),"Egipto [+]")</f>
        <v>Egipto [+]</v>
      </c>
      <c r="D59" s="5">
        <f>IFERROR(__xludf.DUMMYFUNCTION("""COMPUTED_VALUE"""),2008.0)</f>
        <v>2008</v>
      </c>
      <c r="E59" s="2">
        <f>IFERROR(__xludf.DUMMYFUNCTION("""COMPUTED_VALUE"""),619.0)</f>
        <v>619</v>
      </c>
      <c r="F59" s="6">
        <f>IFERROR(__xludf.DUMMYFUNCTION("""COMPUTED_VALUE"""),1351.0)</f>
        <v>1351</v>
      </c>
      <c r="G59" s="6">
        <f>IFERROR(__xludf.DUMMYFUNCTION("""COMPUTED_VALUE"""),1970.0)</f>
        <v>1970</v>
      </c>
      <c r="H59" s="7">
        <f>IFERROR(__xludf.DUMMYFUNCTION("""COMPUTED_VALUE"""),1.57)</f>
        <v>1.57</v>
      </c>
      <c r="I59" s="2">
        <f>IFERROR(__xludf.DUMMYFUNCTION("""COMPUTED_VALUE"""),3.36)</f>
        <v>3.36</v>
      </c>
      <c r="J59" s="4">
        <f>IFERROR(__xludf.DUMMYFUNCTION("""COMPUTED_VALUE"""),2.62)</f>
        <v>2.62</v>
      </c>
      <c r="K59" s="8">
        <f>IFERROR(__xludf.DUMMYFUNCTION("""COMPUTED_VALUE"""),-0.0187)</f>
        <v>-0.0187</v>
      </c>
    </row>
    <row r="60" ht="15.75" customHeight="1">
      <c r="C60" s="2" t="str">
        <f>IFERROR(__xludf.DUMMYFUNCTION("""COMPUTED_VALUE"""),"Eritrea [+]")</f>
        <v>Eritrea [+]</v>
      </c>
      <c r="D60" s="2">
        <f>IFERROR(__xludf.DUMMYFUNCTION("""COMPUTED_VALUE"""),2008.0)</f>
        <v>2008</v>
      </c>
      <c r="E60" s="2">
        <f>IFERROR(__xludf.DUMMYFUNCTION("""COMPUTED_VALUE"""),82.0)</f>
        <v>82</v>
      </c>
      <c r="F60" s="2">
        <f>IFERROR(__xludf.DUMMYFUNCTION("""COMPUTED_VALUE"""),315.0)</f>
        <v>315</v>
      </c>
      <c r="G60" s="2">
        <f>IFERROR(__xludf.DUMMYFUNCTION("""COMPUTED_VALUE"""),398.0)</f>
        <v>398</v>
      </c>
      <c r="H60" s="7">
        <f>IFERROR(__xludf.DUMMYFUNCTION("""COMPUTED_VALUE"""),5.36)</f>
        <v>5.36</v>
      </c>
      <c r="I60" s="2">
        <f>IFERROR(__xludf.DUMMYFUNCTION("""COMPUTED_VALUE"""),20.63)</f>
        <v>20.63</v>
      </c>
      <c r="J60" s="4">
        <f>IFERROR(__xludf.DUMMYFUNCTION("""COMPUTED_VALUE"""),12.99)</f>
        <v>12.99</v>
      </c>
      <c r="K60" s="8">
        <f>IFERROR(__xludf.DUMMYFUNCTION("""COMPUTED_VALUE"""),-0.0092)</f>
        <v>-0.0092</v>
      </c>
    </row>
    <row r="61" ht="15.75" customHeight="1">
      <c r="C61" s="2" t="str">
        <f>IFERROR(__xludf.DUMMYFUNCTION("""COMPUTED_VALUE"""),"Etiopía [+]")</f>
        <v>Etiopía [+]</v>
      </c>
      <c r="D61" s="2">
        <f>IFERROR(__xludf.DUMMYFUNCTION("""COMPUTED_VALUE"""),2008.0)</f>
        <v>2008</v>
      </c>
      <c r="E61" s="6">
        <f>IFERROR(__xludf.DUMMYFUNCTION("""COMPUTED_VALUE"""),1452.0)</f>
        <v>1452</v>
      </c>
      <c r="F61" s="6">
        <f>IFERROR(__xludf.DUMMYFUNCTION("""COMPUTED_VALUE"""),5078.0)</f>
        <v>5078</v>
      </c>
      <c r="G61" s="6">
        <f>IFERROR(__xludf.DUMMYFUNCTION("""COMPUTED_VALUE"""),6530.0)</f>
        <v>6530</v>
      </c>
      <c r="H61" s="7">
        <f>IFERROR(__xludf.DUMMYFUNCTION("""COMPUTED_VALUE"""),3.49)</f>
        <v>3.49</v>
      </c>
      <c r="I61" s="2">
        <f>IFERROR(__xludf.DUMMYFUNCTION("""COMPUTED_VALUE"""),12.28)</f>
        <v>12.28</v>
      </c>
      <c r="J61" s="4">
        <f>IFERROR(__xludf.DUMMYFUNCTION("""COMPUTED_VALUE"""),8.13)</f>
        <v>8.13</v>
      </c>
      <c r="K61" s="8">
        <f>IFERROR(__xludf.DUMMYFUNCTION("""COMPUTED_VALUE"""),0.0226)</f>
        <v>0.0226</v>
      </c>
    </row>
    <row r="62" ht="15.75" customHeight="1">
      <c r="C62" s="2" t="str">
        <f>IFERROR(__xludf.DUMMYFUNCTION("""COMPUTED_VALUE"""),"Finlandia [+]")</f>
        <v>Finlandia [+]</v>
      </c>
      <c r="D62" s="2">
        <f>IFERROR(__xludf.DUMMYFUNCTION("""COMPUTED_VALUE"""),2008.0)</f>
        <v>2008</v>
      </c>
      <c r="E62" s="2">
        <f>IFERROR(__xludf.DUMMYFUNCTION("""COMPUTED_VALUE"""),232.0)</f>
        <v>232</v>
      </c>
      <c r="F62" s="2">
        <f>IFERROR(__xludf.DUMMYFUNCTION("""COMPUTED_VALUE"""),801.0)</f>
        <v>801</v>
      </c>
      <c r="G62" s="6">
        <f>IFERROR(__xludf.DUMMYFUNCTION("""COMPUTED_VALUE"""),1033.0)</f>
        <v>1033</v>
      </c>
      <c r="H62" s="7">
        <f>IFERROR(__xludf.DUMMYFUNCTION("""COMPUTED_VALUE"""),8.6)</f>
        <v>8.6</v>
      </c>
      <c r="I62" s="2">
        <f>IFERROR(__xludf.DUMMYFUNCTION("""COMPUTED_VALUE"""),30.8)</f>
        <v>30.8</v>
      </c>
      <c r="J62" s="4">
        <f>IFERROR(__xludf.DUMMYFUNCTION("""COMPUTED_VALUE"""),19.4)</f>
        <v>19.4</v>
      </c>
      <c r="K62" s="8">
        <f>IFERROR(__xludf.DUMMYFUNCTION("""COMPUTED_VALUE"""),0.0319)</f>
        <v>0.0319</v>
      </c>
    </row>
    <row r="63" ht="15.75" customHeight="1">
      <c r="C63" s="2" t="str">
        <f>IFERROR(__xludf.DUMMYFUNCTION("""COMPUTED_VALUE"""),"Fiyi [+]")</f>
        <v>Fiyi [+]</v>
      </c>
      <c r="D63" s="2">
        <f>IFERROR(__xludf.DUMMYFUNCTION("""COMPUTED_VALUE"""),2008.0)</f>
        <v>2008</v>
      </c>
      <c r="E63" s="2">
        <f>IFERROR(__xludf.DUMMYFUNCTION("""COMPUTED_VALUE"""),20.0)</f>
        <v>20</v>
      </c>
      <c r="F63" s="2">
        <f>IFERROR(__xludf.DUMMYFUNCTION("""COMPUTED_VALUE"""),61.0)</f>
        <v>61</v>
      </c>
      <c r="G63" s="2">
        <f>IFERROR(__xludf.DUMMYFUNCTION("""COMPUTED_VALUE"""),80.0)</f>
        <v>80</v>
      </c>
      <c r="H63" s="7">
        <f>IFERROR(__xludf.DUMMYFUNCTION("""COMPUTED_VALUE"""),4.77)</f>
        <v>4.77</v>
      </c>
      <c r="I63" s="2">
        <f>IFERROR(__xludf.DUMMYFUNCTION("""COMPUTED_VALUE"""),14.07)</f>
        <v>14.07</v>
      </c>
      <c r="J63" s="4">
        <f>IFERROR(__xludf.DUMMYFUNCTION("""COMPUTED_VALUE"""),9.57)</f>
        <v>9.57</v>
      </c>
      <c r="K63" s="8">
        <f>IFERROR(__xludf.DUMMYFUNCTION("""COMPUTED_VALUE"""),0.0235)</f>
        <v>0.0235</v>
      </c>
    </row>
    <row r="64" ht="15.75" customHeight="1">
      <c r="C64" s="2" t="str">
        <f>IFERROR(__xludf.DUMMYFUNCTION("""COMPUTED_VALUE"""),"Estados Federados de Micronesia [+]")</f>
        <v>Estados Federados de Micronesia [+]</v>
      </c>
      <c r="D64" s="2">
        <f>IFERROR(__xludf.DUMMYFUNCTION("""COMPUTED_VALUE"""),2008.0)</f>
        <v>2008</v>
      </c>
      <c r="E64" s="2">
        <f>IFERROR(__xludf.DUMMYFUNCTION("""COMPUTED_VALUE"""),4.0)</f>
        <v>4</v>
      </c>
      <c r="F64" s="2">
        <f>IFERROR(__xludf.DUMMYFUNCTION("""COMPUTED_VALUE"""),8.0)</f>
        <v>8</v>
      </c>
      <c r="G64" s="2">
        <f>IFERROR(__xludf.DUMMYFUNCTION("""COMPUTED_VALUE"""),12.0)</f>
        <v>12</v>
      </c>
      <c r="H64" s="7">
        <f>IFERROR(__xludf.DUMMYFUNCTION("""COMPUTED_VALUE"""),7.39)</f>
        <v>7.39</v>
      </c>
      <c r="I64" s="2">
        <f>IFERROR(__xludf.DUMMYFUNCTION("""COMPUTED_VALUE"""),15.33)</f>
        <v>15.33</v>
      </c>
      <c r="J64" s="4">
        <f>IFERROR(__xludf.DUMMYFUNCTION("""COMPUTED_VALUE"""),11.38)</f>
        <v>11.38</v>
      </c>
      <c r="K64" s="8">
        <f>IFERROR(__xludf.DUMMYFUNCTION("""COMPUTED_VALUE"""),-0.0061)</f>
        <v>-0.0061</v>
      </c>
    </row>
    <row r="65" ht="15.75" customHeight="1">
      <c r="C65" s="2" t="str">
        <f>IFERROR(__xludf.DUMMYFUNCTION("""COMPUTED_VALUE"""),"Gabón [+]")</f>
        <v>Gabón [+]</v>
      </c>
      <c r="D65" s="2">
        <f>IFERROR(__xludf.DUMMYFUNCTION("""COMPUTED_VALUE"""),2008.0)</f>
        <v>2008</v>
      </c>
      <c r="E65" s="2">
        <f>IFERROR(__xludf.DUMMYFUNCTION("""COMPUTED_VALUE"""),48.0)</f>
        <v>48</v>
      </c>
      <c r="F65" s="6">
        <f>IFERROR(__xludf.DUMMYFUNCTION("""COMPUTED_VALUE"""),125.0)</f>
        <v>125</v>
      </c>
      <c r="G65" s="2">
        <f>IFERROR(__xludf.DUMMYFUNCTION("""COMPUTED_VALUE"""),172.0)</f>
        <v>172</v>
      </c>
      <c r="H65" s="7">
        <f>IFERROR(__xludf.DUMMYFUNCTION("""COMPUTED_VALUE"""),6.3)</f>
        <v>6.3</v>
      </c>
      <c r="I65" s="2">
        <f>IFERROR(__xludf.DUMMYFUNCTION("""COMPUTED_VALUE"""),16.3)</f>
        <v>16.3</v>
      </c>
      <c r="J65" s="4">
        <f>IFERROR(__xludf.DUMMYFUNCTION("""COMPUTED_VALUE"""),11.52)</f>
        <v>11.52</v>
      </c>
      <c r="K65" s="8">
        <f>IFERROR(__xludf.DUMMYFUNCTION("""COMPUTED_VALUE"""),0.0295)</f>
        <v>0.0295</v>
      </c>
    </row>
    <row r="66" ht="15.75" customHeight="1">
      <c r="C66" s="2" t="str">
        <f>IFERROR(__xludf.DUMMYFUNCTION("""COMPUTED_VALUE"""),"Granada [+]")</f>
        <v>Granada [+]</v>
      </c>
      <c r="D66" s="2">
        <f>IFERROR(__xludf.DUMMYFUNCTION("""COMPUTED_VALUE"""),2008.0)</f>
        <v>2008</v>
      </c>
      <c r="E66" s="2">
        <f>IFERROR(__xludf.DUMMYFUNCTION("""COMPUTED_VALUE"""),0.0)</f>
        <v>0</v>
      </c>
      <c r="F66" s="2">
        <f>IFERROR(__xludf.DUMMYFUNCTION("""COMPUTED_VALUE"""),1.0)</f>
        <v>1</v>
      </c>
      <c r="G66" s="2">
        <f>IFERROR(__xludf.DUMMYFUNCTION("""COMPUTED_VALUE"""),2.0)</f>
        <v>2</v>
      </c>
      <c r="H66" s="7">
        <f>IFERROR(__xludf.DUMMYFUNCTION("""COMPUTED_VALUE"""),0.63)</f>
        <v>0.63</v>
      </c>
      <c r="I66" s="2">
        <f>IFERROR(__xludf.DUMMYFUNCTION("""COMPUTED_VALUE"""),2.29)</f>
        <v>2.29</v>
      </c>
      <c r="J66" s="4">
        <f>IFERROR(__xludf.DUMMYFUNCTION("""COMPUTED_VALUE"""),1.47)</f>
        <v>1.47</v>
      </c>
      <c r="K66" s="8">
        <f>IFERROR(__xludf.DUMMYFUNCTION("""COMPUTED_VALUE"""),0.0889)</f>
        <v>0.0889</v>
      </c>
    </row>
    <row r="67" ht="15.75" customHeight="1">
      <c r="C67" s="2" t="str">
        <f>IFERROR(__xludf.DUMMYFUNCTION("""COMPUTED_VALUE"""),"Georgia [+]")</f>
        <v>Georgia [+]</v>
      </c>
      <c r="D67" s="2">
        <f>IFERROR(__xludf.DUMMYFUNCTION("""COMPUTED_VALUE"""),2008.0)</f>
        <v>2008</v>
      </c>
      <c r="E67" s="2">
        <f>IFERROR(__xludf.DUMMYFUNCTION("""COMPUTED_VALUE"""),47.0)</f>
        <v>47</v>
      </c>
      <c r="F67" s="2">
        <f>IFERROR(__xludf.DUMMYFUNCTION("""COMPUTED_VALUE"""),169.0)</f>
        <v>169</v>
      </c>
      <c r="G67" s="2">
        <f>IFERROR(__xludf.DUMMYFUNCTION("""COMPUTED_VALUE"""),216.0)</f>
        <v>216</v>
      </c>
      <c r="H67" s="7">
        <f>IFERROR(__xludf.DUMMYFUNCTION("""COMPUTED_VALUE"""),2.04)</f>
        <v>2.04</v>
      </c>
      <c r="I67" s="2">
        <f>IFERROR(__xludf.DUMMYFUNCTION("""COMPUTED_VALUE"""),8.11)</f>
        <v>8.11</v>
      </c>
      <c r="J67" s="4">
        <f>IFERROR(__xludf.DUMMYFUNCTION("""COMPUTED_VALUE"""),4.92)</f>
        <v>4.92</v>
      </c>
      <c r="K67" s="8">
        <f>IFERROR(__xludf.DUMMYFUNCTION("""COMPUTED_VALUE"""),-0.002)</f>
        <v>-0.002</v>
      </c>
    </row>
    <row r="68" ht="15.75" customHeight="1">
      <c r="C68" s="2" t="str">
        <f>IFERROR(__xludf.DUMMYFUNCTION("""COMPUTED_VALUE"""),"Ghana [+]")</f>
        <v>Ghana [+]</v>
      </c>
      <c r="D68" s="5">
        <f>IFERROR(__xludf.DUMMYFUNCTION("""COMPUTED_VALUE"""),2008.0)</f>
        <v>2008</v>
      </c>
      <c r="E68" s="2">
        <f>IFERROR(__xludf.DUMMYFUNCTION("""COMPUTED_VALUE"""),315.0)</f>
        <v>315</v>
      </c>
      <c r="F68" s="6">
        <f>IFERROR(__xludf.DUMMYFUNCTION("""COMPUTED_VALUE"""),1069.0)</f>
        <v>1069</v>
      </c>
      <c r="G68" s="6">
        <f>IFERROR(__xludf.DUMMYFUNCTION("""COMPUTED_VALUE"""),1383.0)</f>
        <v>1383</v>
      </c>
      <c r="H68" s="7">
        <f>IFERROR(__xludf.DUMMYFUNCTION("""COMPUTED_VALUE"""),2.7)</f>
        <v>2.7</v>
      </c>
      <c r="I68" s="2">
        <f>IFERROR(__xludf.DUMMYFUNCTION("""COMPUTED_VALUE"""),8.97)</f>
        <v>8.97</v>
      </c>
      <c r="J68" s="4">
        <f>IFERROR(__xludf.DUMMYFUNCTION("""COMPUTED_VALUE"""),6.04)</f>
        <v>6.04</v>
      </c>
      <c r="K68" s="8">
        <f>IFERROR(__xludf.DUMMYFUNCTION("""COMPUTED_VALUE"""),0.0414)</f>
        <v>0.0414</v>
      </c>
    </row>
    <row r="69" ht="15.75" customHeight="1">
      <c r="C69" s="2" t="str">
        <f>IFERROR(__xludf.DUMMYFUNCTION("""COMPUTED_VALUE"""),"Gambia [+]")</f>
        <v>Gambia [+]</v>
      </c>
      <c r="D69" s="5">
        <f>IFERROR(__xludf.DUMMYFUNCTION("""COMPUTED_VALUE"""),2008.0)</f>
        <v>2008</v>
      </c>
      <c r="E69" s="2">
        <f>IFERROR(__xludf.DUMMYFUNCTION("""COMPUTED_VALUE"""),32.0)</f>
        <v>32</v>
      </c>
      <c r="F69" s="6">
        <f>IFERROR(__xludf.DUMMYFUNCTION("""COMPUTED_VALUE"""),70.0)</f>
        <v>70</v>
      </c>
      <c r="G69" s="2">
        <f>IFERROR(__xludf.DUMMYFUNCTION("""COMPUTED_VALUE"""),102.0)</f>
        <v>102</v>
      </c>
      <c r="H69" s="7">
        <f>IFERROR(__xludf.DUMMYFUNCTION("""COMPUTED_VALUE"""),3.81)</f>
        <v>3.81</v>
      </c>
      <c r="I69" s="2">
        <f>IFERROR(__xludf.DUMMYFUNCTION("""COMPUTED_VALUE"""),8.33)</f>
        <v>8.33</v>
      </c>
      <c r="J69" s="4">
        <f>IFERROR(__xludf.DUMMYFUNCTION("""COMPUTED_VALUE"""),6.06)</f>
        <v>6.06</v>
      </c>
      <c r="K69" s="8">
        <f>IFERROR(__xludf.DUMMYFUNCTION("""COMPUTED_VALUE"""),0.0236)</f>
        <v>0.0236</v>
      </c>
    </row>
    <row r="70" ht="15.75" customHeight="1">
      <c r="C70" s="2" t="str">
        <f>IFERROR(__xludf.DUMMYFUNCTION("""COMPUTED_VALUE"""),"Guinea [+]")</f>
        <v>Guinea [+]</v>
      </c>
      <c r="D70" s="5">
        <f>IFERROR(__xludf.DUMMYFUNCTION("""COMPUTED_VALUE"""),2008.0)</f>
        <v>2008</v>
      </c>
      <c r="E70" s="2">
        <f>IFERROR(__xludf.DUMMYFUNCTION("""COMPUTED_VALUE"""),216.0)</f>
        <v>216</v>
      </c>
      <c r="F70" s="6">
        <f>IFERROR(__xludf.DUMMYFUNCTION("""COMPUTED_VALUE"""),573.0)</f>
        <v>573</v>
      </c>
      <c r="G70" s="2">
        <f>IFERROR(__xludf.DUMMYFUNCTION("""COMPUTED_VALUE"""),790.0)</f>
        <v>790</v>
      </c>
      <c r="H70" s="7">
        <f>IFERROR(__xludf.DUMMYFUNCTION("""COMPUTED_VALUE"""),4.24)</f>
        <v>4.24</v>
      </c>
      <c r="I70" s="2">
        <f>IFERROR(__xludf.DUMMYFUNCTION("""COMPUTED_VALUE"""),12.36)</f>
        <v>12.36</v>
      </c>
      <c r="J70" s="4">
        <f>IFERROR(__xludf.DUMMYFUNCTION("""COMPUTED_VALUE"""),7.66)</f>
        <v>7.66</v>
      </c>
      <c r="K70" s="8">
        <f>IFERROR(__xludf.DUMMYFUNCTION("""COMPUTED_VALUE"""),0.0079)</f>
        <v>0.0079</v>
      </c>
    </row>
    <row r="71" ht="15.75" customHeight="1">
      <c r="C71" s="2" t="str">
        <f>IFERROR(__xludf.DUMMYFUNCTION("""COMPUTED_VALUE"""),"Guinea Ecuatorial [+]")</f>
        <v>Guinea Ecuatorial [+]</v>
      </c>
      <c r="D71" s="2">
        <f>IFERROR(__xludf.DUMMYFUNCTION("""COMPUTED_VALUE"""),2008.0)</f>
        <v>2008</v>
      </c>
      <c r="E71" s="2">
        <f>IFERROR(__xludf.DUMMYFUNCTION("""COMPUTED_VALUE"""),39.0)</f>
        <v>39</v>
      </c>
      <c r="F71" s="2">
        <f>IFERROR(__xludf.DUMMYFUNCTION("""COMPUTED_VALUE"""),118.0)</f>
        <v>118</v>
      </c>
      <c r="G71" s="2">
        <f>IFERROR(__xludf.DUMMYFUNCTION("""COMPUTED_VALUE"""),156.0)</f>
        <v>156</v>
      </c>
      <c r="H71" s="7">
        <f>IFERROR(__xludf.DUMMYFUNCTION("""COMPUTED_VALUE"""),9.74)</f>
        <v>9.74</v>
      </c>
      <c r="I71" s="2">
        <f>IFERROR(__xludf.DUMMYFUNCTION("""COMPUTED_VALUE"""),25.35)</f>
        <v>25.35</v>
      </c>
      <c r="J71" s="4">
        <f>IFERROR(__xludf.DUMMYFUNCTION("""COMPUTED_VALUE"""),18.0)</f>
        <v>18</v>
      </c>
      <c r="K71" s="8">
        <f>IFERROR(__xludf.DUMMYFUNCTION("""COMPUTED_VALUE"""),-0.0566)</f>
        <v>-0.0566</v>
      </c>
    </row>
    <row r="72" ht="15.75" customHeight="1">
      <c r="C72" s="2" t="str">
        <f>IFERROR(__xludf.DUMMYFUNCTION("""COMPUTED_VALUE"""),"Grecia [+]")</f>
        <v>Grecia [+]</v>
      </c>
      <c r="D72" s="2">
        <f>IFERROR(__xludf.DUMMYFUNCTION("""COMPUTED_VALUE"""),2008.0)</f>
        <v>2008</v>
      </c>
      <c r="E72" s="2">
        <f>IFERROR(__xludf.DUMMYFUNCTION("""COMPUTED_VALUE"""),65.0)</f>
        <v>65</v>
      </c>
      <c r="F72" s="2">
        <f>IFERROR(__xludf.DUMMYFUNCTION("""COMPUTED_VALUE"""),308.0)</f>
        <v>308</v>
      </c>
      <c r="G72" s="2">
        <f>IFERROR(__xludf.DUMMYFUNCTION("""COMPUTED_VALUE"""),373.0)</f>
        <v>373</v>
      </c>
      <c r="H72" s="7">
        <f>IFERROR(__xludf.DUMMYFUNCTION("""COMPUTED_VALUE"""),1.1)</f>
        <v>1.1</v>
      </c>
      <c r="I72" s="2">
        <f>IFERROR(__xludf.DUMMYFUNCTION("""COMPUTED_VALUE"""),5.5)</f>
        <v>5.5</v>
      </c>
      <c r="J72" s="4">
        <f>IFERROR(__xludf.DUMMYFUNCTION("""COMPUTED_VALUE"""),3.3)</f>
        <v>3.3</v>
      </c>
      <c r="K72" s="8">
        <f>IFERROR(__xludf.DUMMYFUNCTION("""COMPUTED_VALUE"""),0.1379)</f>
        <v>0.1379</v>
      </c>
    </row>
    <row r="73" ht="15.75" customHeight="1">
      <c r="C73" s="2" t="str">
        <f>IFERROR(__xludf.DUMMYFUNCTION("""COMPUTED_VALUE"""),"Guatemala [+]")</f>
        <v>Guatemala [+]</v>
      </c>
      <c r="D73" s="2">
        <f>IFERROR(__xludf.DUMMYFUNCTION("""COMPUTED_VALUE"""),2008.0)</f>
        <v>2008</v>
      </c>
      <c r="E73" s="2">
        <f>IFERROR(__xludf.DUMMYFUNCTION("""COMPUTED_VALUE"""),184.0)</f>
        <v>184</v>
      </c>
      <c r="F73" s="2">
        <f>IFERROR(__xludf.DUMMYFUNCTION("""COMPUTED_VALUE"""),552.0)</f>
        <v>552</v>
      </c>
      <c r="G73" s="2">
        <f>IFERROR(__xludf.DUMMYFUNCTION("""COMPUTED_VALUE"""),736.0)</f>
        <v>736</v>
      </c>
      <c r="H73" s="7">
        <f>IFERROR(__xludf.DUMMYFUNCTION("""COMPUTED_VALUE"""),2.63)</f>
        <v>2.63</v>
      </c>
      <c r="I73" s="2">
        <f>IFERROR(__xludf.DUMMYFUNCTION("""COMPUTED_VALUE"""),8.19)</f>
        <v>8.19</v>
      </c>
      <c r="J73" s="4">
        <f>IFERROR(__xludf.DUMMYFUNCTION("""COMPUTED_VALUE"""),5.26)</f>
        <v>5.26</v>
      </c>
      <c r="K73" s="8">
        <f>IFERROR(__xludf.DUMMYFUNCTION("""COMPUTED_VALUE"""),0.1485)</f>
        <v>0.1485</v>
      </c>
    </row>
    <row r="74" ht="15.75" customHeight="1">
      <c r="C74" s="2" t="str">
        <f>IFERROR(__xludf.DUMMYFUNCTION("""COMPUTED_VALUE"""),"Guinea-Bisáu [+]")</f>
        <v>Guinea-Bisáu [+]</v>
      </c>
      <c r="D74" s="5">
        <f>IFERROR(__xludf.DUMMYFUNCTION("""COMPUTED_VALUE"""),2008.0)</f>
        <v>2008</v>
      </c>
      <c r="E74" s="2">
        <f>IFERROR(__xludf.DUMMYFUNCTION("""COMPUTED_VALUE"""),32.0)</f>
        <v>32</v>
      </c>
      <c r="F74" s="2">
        <f>IFERROR(__xludf.DUMMYFUNCTION("""COMPUTED_VALUE"""),74.0)</f>
        <v>74</v>
      </c>
      <c r="G74" s="2">
        <f>IFERROR(__xludf.DUMMYFUNCTION("""COMPUTED_VALUE"""),106.0)</f>
        <v>106</v>
      </c>
      <c r="H74" s="7">
        <f>IFERROR(__xludf.DUMMYFUNCTION("""COMPUTED_VALUE"""),4.26)</f>
        <v>4.26</v>
      </c>
      <c r="I74" s="2">
        <f>IFERROR(__xludf.DUMMYFUNCTION("""COMPUTED_VALUE"""),10.64)</f>
        <v>10.64</v>
      </c>
      <c r="J74" s="4">
        <f>IFERROR(__xludf.DUMMYFUNCTION("""COMPUTED_VALUE"""),7.5)</f>
        <v>7.5</v>
      </c>
      <c r="K74" s="8">
        <f>IFERROR(__xludf.DUMMYFUNCTION("""COMPUTED_VALUE"""),-0.0027)</f>
        <v>-0.0027</v>
      </c>
    </row>
    <row r="75" ht="15.75" customHeight="1">
      <c r="C75" s="2" t="str">
        <f>IFERROR(__xludf.DUMMYFUNCTION("""COMPUTED_VALUE"""),"Guyana [+]")</f>
        <v>Guyana [+]</v>
      </c>
      <c r="D75" s="2">
        <f>IFERROR(__xludf.DUMMYFUNCTION("""COMPUTED_VALUE"""),2008.0)</f>
        <v>2008</v>
      </c>
      <c r="E75" s="2">
        <f>IFERROR(__xludf.DUMMYFUNCTION("""COMPUTED_VALUE"""),46.0)</f>
        <v>46</v>
      </c>
      <c r="F75" s="2">
        <f>IFERROR(__xludf.DUMMYFUNCTION("""COMPUTED_VALUE"""),113.0)</f>
        <v>113</v>
      </c>
      <c r="G75" s="2">
        <f>IFERROR(__xludf.DUMMYFUNCTION("""COMPUTED_VALUE"""),159.0)</f>
        <v>159</v>
      </c>
      <c r="H75" s="7">
        <f>IFERROR(__xludf.DUMMYFUNCTION("""COMPUTED_VALUE"""),12.19)</f>
        <v>12.19</v>
      </c>
      <c r="I75" s="2">
        <f>IFERROR(__xludf.DUMMYFUNCTION("""COMPUTED_VALUE"""),30.48)</f>
        <v>30.48</v>
      </c>
      <c r="J75" s="4">
        <f>IFERROR(__xludf.DUMMYFUNCTION("""COMPUTED_VALUE"""),21.26)</f>
        <v>21.26</v>
      </c>
      <c r="K75" s="8">
        <f>IFERROR(__xludf.DUMMYFUNCTION("""COMPUTED_VALUE"""),-0.1682)</f>
        <v>-0.1682</v>
      </c>
    </row>
    <row r="76" ht="15.75" customHeight="1">
      <c r="C76" s="2" t="str">
        <f>IFERROR(__xludf.DUMMYFUNCTION("""COMPUTED_VALUE"""),"Honduras [+]")</f>
        <v>Honduras [+]</v>
      </c>
      <c r="D76" s="5">
        <f>IFERROR(__xludf.DUMMYFUNCTION("""COMPUTED_VALUE"""),2008.0)</f>
        <v>2008</v>
      </c>
      <c r="E76" s="2">
        <f>IFERROR(__xludf.DUMMYFUNCTION("""COMPUTED_VALUE"""),109.0)</f>
        <v>109</v>
      </c>
      <c r="F76" s="6">
        <f>IFERROR(__xludf.DUMMYFUNCTION("""COMPUTED_VALUE"""),190.0)</f>
        <v>190</v>
      </c>
      <c r="G76" s="2">
        <f>IFERROR(__xludf.DUMMYFUNCTION("""COMPUTED_VALUE"""),299.0)</f>
        <v>299</v>
      </c>
      <c r="H76" s="7">
        <f>IFERROR(__xludf.DUMMYFUNCTION("""COMPUTED_VALUE"""),2.72)</f>
        <v>2.72</v>
      </c>
      <c r="I76" s="2">
        <f>IFERROR(__xludf.DUMMYFUNCTION("""COMPUTED_VALUE"""),4.78)</f>
        <v>4.78</v>
      </c>
      <c r="J76" s="4">
        <f>IFERROR(__xludf.DUMMYFUNCTION("""COMPUTED_VALUE"""),3.75)</f>
        <v>3.75</v>
      </c>
      <c r="K76" s="8">
        <f>IFERROR(__xludf.DUMMYFUNCTION("""COMPUTED_VALUE"""),-0.0285)</f>
        <v>-0.0285</v>
      </c>
    </row>
    <row r="77" ht="15.75" customHeight="1">
      <c r="C77" s="2" t="str">
        <f>IFERROR(__xludf.DUMMYFUNCTION("""COMPUTED_VALUE"""),"Croacia [+]")</f>
        <v>Croacia [+]</v>
      </c>
      <c r="D77" s="2">
        <f>IFERROR(__xludf.DUMMYFUNCTION("""COMPUTED_VALUE"""),2008.0)</f>
        <v>2008</v>
      </c>
      <c r="E77" s="2">
        <f>IFERROR(__xludf.DUMMYFUNCTION("""COMPUTED_VALUE"""),184.0)</f>
        <v>184</v>
      </c>
      <c r="F77" s="2">
        <f>IFERROR(__xludf.DUMMYFUNCTION("""COMPUTED_VALUE"""),611.0)</f>
        <v>611</v>
      </c>
      <c r="G77" s="2">
        <f>IFERROR(__xludf.DUMMYFUNCTION("""COMPUTED_VALUE"""),795.0)</f>
        <v>795</v>
      </c>
      <c r="H77" s="7">
        <f>IFERROR(__xludf.DUMMYFUNCTION("""COMPUTED_VALUE"""),8.0)</f>
        <v>8</v>
      </c>
      <c r="I77" s="2">
        <f>IFERROR(__xludf.DUMMYFUNCTION("""COMPUTED_VALUE"""),28.6)</f>
        <v>28.6</v>
      </c>
      <c r="J77" s="4">
        <f>IFERROR(__xludf.DUMMYFUNCTION("""COMPUTED_VALUE"""),17.9)</f>
        <v>17.9</v>
      </c>
      <c r="K77" s="8">
        <f>IFERROR(__xludf.DUMMYFUNCTION("""COMPUTED_VALUE"""),0.0229)</f>
        <v>0.0229</v>
      </c>
    </row>
    <row r="78" ht="15.75" customHeight="1">
      <c r="C78" s="2" t="str">
        <f>IFERROR(__xludf.DUMMYFUNCTION("""COMPUTED_VALUE"""),"Haití [+]")</f>
        <v>Haití [+]</v>
      </c>
      <c r="D78" s="2">
        <f>IFERROR(__xludf.DUMMYFUNCTION("""COMPUTED_VALUE"""),2008.0)</f>
        <v>2008</v>
      </c>
      <c r="E78" s="2">
        <f>IFERROR(__xludf.DUMMYFUNCTION("""COMPUTED_VALUE"""),214.0)</f>
        <v>214</v>
      </c>
      <c r="F78" s="2">
        <f>IFERROR(__xludf.DUMMYFUNCTION("""COMPUTED_VALUE"""),641.0)</f>
        <v>641</v>
      </c>
      <c r="G78" s="2">
        <f>IFERROR(__xludf.DUMMYFUNCTION("""COMPUTED_VALUE"""),855.0)</f>
        <v>855</v>
      </c>
      <c r="H78" s="7">
        <f>IFERROR(__xludf.DUMMYFUNCTION("""COMPUTED_VALUE"""),4.39)</f>
        <v>4.39</v>
      </c>
      <c r="I78" s="2">
        <f>IFERROR(__xludf.DUMMYFUNCTION("""COMPUTED_VALUE"""),13.47)</f>
        <v>13.47</v>
      </c>
      <c r="J78" s="4">
        <f>IFERROR(__xludf.DUMMYFUNCTION("""COMPUTED_VALUE"""),8.86)</f>
        <v>8.86</v>
      </c>
      <c r="K78" s="8">
        <f>IFERROR(__xludf.DUMMYFUNCTION("""COMPUTED_VALUE"""),0.0137)</f>
        <v>0.0137</v>
      </c>
    </row>
    <row r="79" ht="15.75" customHeight="1">
      <c r="C79" s="2" t="str">
        <f>IFERROR(__xludf.DUMMYFUNCTION("""COMPUTED_VALUE"""),"Hungría [+]")</f>
        <v>Hungría [+]</v>
      </c>
      <c r="D79" s="2">
        <f>IFERROR(__xludf.DUMMYFUNCTION("""COMPUTED_VALUE"""),2008.0)</f>
        <v>2008</v>
      </c>
      <c r="E79" s="2">
        <f>IFERROR(__xludf.DUMMYFUNCTION("""COMPUTED_VALUE"""),566.0)</f>
        <v>566</v>
      </c>
      <c r="F79" s="6">
        <f>IFERROR(__xludf.DUMMYFUNCTION("""COMPUTED_VALUE"""),1911.0)</f>
        <v>1911</v>
      </c>
      <c r="G79" s="6">
        <f>IFERROR(__xludf.DUMMYFUNCTION("""COMPUTED_VALUE"""),2477.0)</f>
        <v>2477</v>
      </c>
      <c r="H79" s="7">
        <f>IFERROR(__xludf.DUMMYFUNCTION("""COMPUTED_VALUE"""),10.7)</f>
        <v>10.7</v>
      </c>
      <c r="I79" s="2">
        <f>IFERROR(__xludf.DUMMYFUNCTION("""COMPUTED_VALUE"""),40.1)</f>
        <v>40.1</v>
      </c>
      <c r="J79" s="4">
        <f>IFERROR(__xludf.DUMMYFUNCTION("""COMPUTED_VALUE"""),24.7)</f>
        <v>24.7</v>
      </c>
      <c r="K79" s="8">
        <f>IFERROR(__xludf.DUMMYFUNCTION("""COMPUTED_VALUE"""),0.0123)</f>
        <v>0.0123</v>
      </c>
    </row>
    <row r="80" ht="15.75" customHeight="1">
      <c r="C80" s="2" t="str">
        <f>IFERROR(__xludf.DUMMYFUNCTION("""COMPUTED_VALUE"""),"Indonesia [+]")</f>
        <v>Indonesia [+]</v>
      </c>
      <c r="D80" s="2">
        <f>IFERROR(__xludf.DUMMYFUNCTION("""COMPUTED_VALUE"""),2008.0)</f>
        <v>2008</v>
      </c>
      <c r="E80" s="6">
        <f>IFERROR(__xludf.DUMMYFUNCTION("""COMPUTED_VALUE"""),2129.0)</f>
        <v>2129</v>
      </c>
      <c r="F80" s="6">
        <f>IFERROR(__xludf.DUMMYFUNCTION("""COMPUTED_VALUE"""),5558.0)</f>
        <v>5558</v>
      </c>
      <c r="G80" s="6">
        <f>IFERROR(__xludf.DUMMYFUNCTION("""COMPUTED_VALUE"""),7687.0)</f>
        <v>7687</v>
      </c>
      <c r="H80" s="7">
        <f>IFERROR(__xludf.DUMMYFUNCTION("""COMPUTED_VALUE"""),1.82)</f>
        <v>1.82</v>
      </c>
      <c r="I80" s="2">
        <f>IFERROR(__xludf.DUMMYFUNCTION("""COMPUTED_VALUE"""),4.69)</f>
        <v>4.69</v>
      </c>
      <c r="J80" s="4">
        <f>IFERROR(__xludf.DUMMYFUNCTION("""COMPUTED_VALUE"""),3.33)</f>
        <v>3.33</v>
      </c>
      <c r="K80" s="4">
        <f>IFERROR(__xludf.DUMMYFUNCTION("""COMPUTED_VALUE"""),0.0)</f>
        <v>0</v>
      </c>
    </row>
    <row r="81" ht="15.75" customHeight="1">
      <c r="C81" s="2" t="str">
        <f>IFERROR(__xludf.DUMMYFUNCTION("""COMPUTED_VALUE"""),"Irlanda [+]")</f>
        <v>Irlanda [+]</v>
      </c>
      <c r="D81" s="2">
        <f>IFERROR(__xludf.DUMMYFUNCTION("""COMPUTED_VALUE"""),2008.0)</f>
        <v>2008</v>
      </c>
      <c r="E81" s="2">
        <f>IFERROR(__xludf.DUMMYFUNCTION("""COMPUTED_VALUE"""),120.0)</f>
        <v>120</v>
      </c>
      <c r="F81" s="2">
        <f>IFERROR(__xludf.DUMMYFUNCTION("""COMPUTED_VALUE"""),386.0)</f>
        <v>386</v>
      </c>
      <c r="G81" s="2">
        <f>IFERROR(__xludf.DUMMYFUNCTION("""COMPUTED_VALUE"""),506.0)</f>
        <v>506</v>
      </c>
      <c r="H81" s="7">
        <f>IFERROR(__xludf.DUMMYFUNCTION("""COMPUTED_VALUE"""),5.3)</f>
        <v>5.3</v>
      </c>
      <c r="I81" s="2">
        <f>IFERROR(__xludf.DUMMYFUNCTION("""COMPUTED_VALUE"""),17.2)</f>
        <v>17.2</v>
      </c>
      <c r="J81" s="4">
        <f>IFERROR(__xludf.DUMMYFUNCTION("""COMPUTED_VALUE"""),11.3)</f>
        <v>11.3</v>
      </c>
      <c r="K81" s="8">
        <f>IFERROR(__xludf.DUMMYFUNCTION("""COMPUTED_VALUE"""),0.0865)</f>
        <v>0.0865</v>
      </c>
    </row>
    <row r="82" ht="15.75" customHeight="1">
      <c r="C82" s="2" t="str">
        <f>IFERROR(__xludf.DUMMYFUNCTION("""COMPUTED_VALUE"""),"Israel [+]")</f>
        <v>Israel [+]</v>
      </c>
      <c r="D82" s="2">
        <f>IFERROR(__xludf.DUMMYFUNCTION("""COMPUTED_VALUE"""),2008.0)</f>
        <v>2008</v>
      </c>
      <c r="E82" s="2">
        <f>IFERROR(__xludf.DUMMYFUNCTION("""COMPUTED_VALUE"""),59.0)</f>
        <v>59</v>
      </c>
      <c r="F82" s="2">
        <f>IFERROR(__xludf.DUMMYFUNCTION("""COMPUTED_VALUE"""),294.0)</f>
        <v>294</v>
      </c>
      <c r="G82" s="2">
        <f>IFERROR(__xludf.DUMMYFUNCTION("""COMPUTED_VALUE"""),353.0)</f>
        <v>353</v>
      </c>
      <c r="H82" s="7">
        <f>IFERROR(__xludf.DUMMYFUNCTION("""COMPUTED_VALUE"""),1.6)</f>
        <v>1.6</v>
      </c>
      <c r="I82" s="2">
        <f>IFERROR(__xludf.DUMMYFUNCTION("""COMPUTED_VALUE"""),8.1)</f>
        <v>8.1</v>
      </c>
      <c r="J82" s="4">
        <f>IFERROR(__xludf.DUMMYFUNCTION("""COMPUTED_VALUE"""),4.8)</f>
        <v>4.8</v>
      </c>
      <c r="K82" s="8">
        <f>IFERROR(__xludf.DUMMYFUNCTION("""COMPUTED_VALUE"""),0.0667)</f>
        <v>0.0667</v>
      </c>
    </row>
    <row r="83" ht="15.75" customHeight="1">
      <c r="C83" s="2" t="str">
        <f>IFERROR(__xludf.DUMMYFUNCTION("""COMPUTED_VALUE"""),"India [+]")</f>
        <v>India [+]</v>
      </c>
      <c r="D83" s="2">
        <f>IFERROR(__xludf.DUMMYFUNCTION("""COMPUTED_VALUE"""),2008.0)</f>
        <v>2008</v>
      </c>
      <c r="E83" s="6">
        <f>IFERROR(__xludf.DUMMYFUNCTION("""COMPUTED_VALUE"""),96164.0)</f>
        <v>96164</v>
      </c>
      <c r="F83" s="6">
        <f>IFERROR(__xludf.DUMMYFUNCTION("""COMPUTED_VALUE"""),112874.0)</f>
        <v>112874</v>
      </c>
      <c r="G83" s="6">
        <f>IFERROR(__xludf.DUMMYFUNCTION("""COMPUTED_VALUE"""),209038.0)</f>
        <v>209038</v>
      </c>
      <c r="H83" s="7">
        <f>IFERROR(__xludf.DUMMYFUNCTION("""COMPUTED_VALUE"""),16.7)</f>
        <v>16.7</v>
      </c>
      <c r="I83" s="2">
        <f>IFERROR(__xludf.DUMMYFUNCTION("""COMPUTED_VALUE"""),18.07)</f>
        <v>18.07</v>
      </c>
      <c r="J83" s="4">
        <f>IFERROR(__xludf.DUMMYFUNCTION("""COMPUTED_VALUE"""),17.41)</f>
        <v>17.41</v>
      </c>
      <c r="K83" s="8">
        <f>IFERROR(__xludf.DUMMYFUNCTION("""COMPUTED_VALUE"""),-0.0068)</f>
        <v>-0.0068</v>
      </c>
    </row>
    <row r="84" ht="15.75" customHeight="1">
      <c r="C84" s="2" t="str">
        <f>IFERROR(__xludf.DUMMYFUNCTION("""COMPUTED_VALUE"""),"Irak [+]")</f>
        <v>Irak [+]</v>
      </c>
      <c r="D84" s="5">
        <f>IFERROR(__xludf.DUMMYFUNCTION("""COMPUTED_VALUE"""),2008.0)</f>
        <v>2008</v>
      </c>
      <c r="E84" s="2">
        <f>IFERROR(__xludf.DUMMYFUNCTION("""COMPUTED_VALUE"""),315.0)</f>
        <v>315</v>
      </c>
      <c r="F84" s="2">
        <f>IFERROR(__xludf.DUMMYFUNCTION("""COMPUTED_VALUE"""),420.0)</f>
        <v>420</v>
      </c>
      <c r="G84" s="2">
        <f>IFERROR(__xludf.DUMMYFUNCTION("""COMPUTED_VALUE"""),735.0)</f>
        <v>735</v>
      </c>
      <c r="H84" s="7">
        <f>IFERROR(__xludf.DUMMYFUNCTION("""COMPUTED_VALUE"""),2.24)</f>
        <v>2.24</v>
      </c>
      <c r="I84" s="2">
        <f>IFERROR(__xludf.DUMMYFUNCTION("""COMPUTED_VALUE"""),2.93)</f>
        <v>2.93</v>
      </c>
      <c r="J84" s="4">
        <f>IFERROR(__xludf.DUMMYFUNCTION("""COMPUTED_VALUE"""),2.5)</f>
        <v>2.5</v>
      </c>
      <c r="K84" s="8">
        <f>IFERROR(__xludf.DUMMYFUNCTION("""COMPUTED_VALUE"""),0.0204)</f>
        <v>0.0204</v>
      </c>
    </row>
    <row r="85" ht="15.75" customHeight="1">
      <c r="C85" s="2" t="str">
        <f>IFERROR(__xludf.DUMMYFUNCTION("""COMPUTED_VALUE"""),"Irán [+]")</f>
        <v>Irán [+]</v>
      </c>
      <c r="D85" s="5">
        <f>IFERROR(__xludf.DUMMYFUNCTION("""COMPUTED_VALUE"""),2008.0)</f>
        <v>2008</v>
      </c>
      <c r="E85" s="6">
        <f>IFERROR(__xludf.DUMMYFUNCTION("""COMPUTED_VALUE"""),2393.0)</f>
        <v>2393</v>
      </c>
      <c r="F85" s="6">
        <f>IFERROR(__xludf.DUMMYFUNCTION("""COMPUTED_VALUE"""),5060.0)</f>
        <v>5060</v>
      </c>
      <c r="G85" s="6">
        <f>IFERROR(__xludf.DUMMYFUNCTION("""COMPUTED_VALUE"""),7452.0)</f>
        <v>7452</v>
      </c>
      <c r="H85" s="7">
        <f>IFERROR(__xludf.DUMMYFUNCTION("""COMPUTED_VALUE"""),6.71)</f>
        <v>6.71</v>
      </c>
      <c r="I85" s="2">
        <f>IFERROR(__xludf.DUMMYFUNCTION("""COMPUTED_VALUE"""),13.88)</f>
        <v>13.88</v>
      </c>
      <c r="J85" s="4">
        <f>IFERROR(__xludf.DUMMYFUNCTION("""COMPUTED_VALUE"""),10.31)</f>
        <v>10.31</v>
      </c>
      <c r="K85" s="8">
        <f>IFERROR(__xludf.DUMMYFUNCTION("""COMPUTED_VALUE"""),-0.0391)</f>
        <v>-0.0391</v>
      </c>
    </row>
    <row r="86" ht="15.75" customHeight="1">
      <c r="C86" s="2" t="str">
        <f>IFERROR(__xludf.DUMMYFUNCTION("""COMPUTED_VALUE"""),"Islandia [+]")</f>
        <v>Islandia [+]</v>
      </c>
      <c r="D86" s="5">
        <f>IFERROR(__xludf.DUMMYFUNCTION("""COMPUTED_VALUE"""),2008.0)</f>
        <v>2008</v>
      </c>
      <c r="E86" s="2">
        <f>IFERROR(__xludf.DUMMYFUNCTION("""COMPUTED_VALUE"""),11.0)</f>
        <v>11</v>
      </c>
      <c r="F86" s="6">
        <f>IFERROR(__xludf.DUMMYFUNCTION("""COMPUTED_VALUE"""),27.0)</f>
        <v>27</v>
      </c>
      <c r="G86" s="2">
        <f>IFERROR(__xludf.DUMMYFUNCTION("""COMPUTED_VALUE"""),38.0)</f>
        <v>38</v>
      </c>
      <c r="H86" s="7">
        <f>IFERROR(__xludf.DUMMYFUNCTION("""COMPUTED_VALUE"""),7.1)</f>
        <v>7.1</v>
      </c>
      <c r="I86" s="2">
        <f>IFERROR(__xludf.DUMMYFUNCTION("""COMPUTED_VALUE"""),16.7)</f>
        <v>16.7</v>
      </c>
      <c r="J86" s="4">
        <f>IFERROR(__xludf.DUMMYFUNCTION("""COMPUTED_VALUE"""),12.0)</f>
        <v>12</v>
      </c>
      <c r="K86" s="8">
        <f>IFERROR(__xludf.DUMMYFUNCTION("""COMPUTED_VALUE"""),0.0084)</f>
        <v>0.0084</v>
      </c>
    </row>
    <row r="87" ht="15.75" customHeight="1">
      <c r="C87" s="2" t="str">
        <f>IFERROR(__xludf.DUMMYFUNCTION("""COMPUTED_VALUE"""),"Jamaica [+]")</f>
        <v>Jamaica [+]</v>
      </c>
      <c r="D87" s="2">
        <f>IFERROR(__xludf.DUMMYFUNCTION("""COMPUTED_VALUE"""),2008.0)</f>
        <v>2008</v>
      </c>
      <c r="E87" s="2">
        <f>IFERROR(__xludf.DUMMYFUNCTION("""COMPUTED_VALUE"""),5.0)</f>
        <v>5</v>
      </c>
      <c r="F87" s="2">
        <f>IFERROR(__xludf.DUMMYFUNCTION("""COMPUTED_VALUE"""),21.0)</f>
        <v>21</v>
      </c>
      <c r="G87" s="2">
        <f>IFERROR(__xludf.DUMMYFUNCTION("""COMPUTED_VALUE"""),26.0)</f>
        <v>26</v>
      </c>
      <c r="H87" s="7">
        <f>IFERROR(__xludf.DUMMYFUNCTION("""COMPUTED_VALUE"""),0.36)</f>
        <v>0.36</v>
      </c>
      <c r="I87" s="2">
        <f>IFERROR(__xludf.DUMMYFUNCTION("""COMPUTED_VALUE"""),1.51)</f>
        <v>1.51</v>
      </c>
      <c r="J87" s="4">
        <f>IFERROR(__xludf.DUMMYFUNCTION("""COMPUTED_VALUE"""),0.97)</f>
        <v>0.97</v>
      </c>
      <c r="K87" s="8">
        <f>IFERROR(__xludf.DUMMYFUNCTION("""COMPUTED_VALUE"""),0.3288)</f>
        <v>0.3288</v>
      </c>
    </row>
    <row r="88" ht="15.75" customHeight="1">
      <c r="C88" s="2" t="str">
        <f>IFERROR(__xludf.DUMMYFUNCTION("""COMPUTED_VALUE"""),"Jordania [+]")</f>
        <v>Jordania [+]</v>
      </c>
      <c r="D88" s="2">
        <f>IFERROR(__xludf.DUMMYFUNCTION("""COMPUTED_VALUE"""),2008.0)</f>
        <v>2008</v>
      </c>
      <c r="E88" s="2">
        <f>IFERROR(__xludf.DUMMYFUNCTION("""COMPUTED_VALUE"""),58.0)</f>
        <v>58</v>
      </c>
      <c r="F88" s="2">
        <f>IFERROR(__xludf.DUMMYFUNCTION("""COMPUTED_VALUE"""),138.0)</f>
        <v>138</v>
      </c>
      <c r="G88" s="2">
        <f>IFERROR(__xludf.DUMMYFUNCTION("""COMPUTED_VALUE"""),196.0)</f>
        <v>196</v>
      </c>
      <c r="H88" s="7">
        <f>IFERROR(__xludf.DUMMYFUNCTION("""COMPUTED_VALUE"""),1.8)</f>
        <v>1.8</v>
      </c>
      <c r="I88" s="2">
        <f>IFERROR(__xludf.DUMMYFUNCTION("""COMPUTED_VALUE"""),4.12)</f>
        <v>4.12</v>
      </c>
      <c r="J88" s="4">
        <f>IFERROR(__xludf.DUMMYFUNCTION("""COMPUTED_VALUE"""),2.99)</f>
        <v>2.99</v>
      </c>
      <c r="K88" s="4">
        <f>IFERROR(__xludf.DUMMYFUNCTION("""COMPUTED_VALUE"""),0.0)</f>
        <v>0</v>
      </c>
    </row>
    <row r="89" ht="15.75" customHeight="1">
      <c r="C89" s="2" t="str">
        <f>IFERROR(__xludf.DUMMYFUNCTION("""COMPUTED_VALUE"""),"Kenia [+]")</f>
        <v>Kenia [+]</v>
      </c>
      <c r="D89" s="5">
        <f>IFERROR(__xludf.DUMMYFUNCTION("""COMPUTED_VALUE"""),2008.0)</f>
        <v>2008</v>
      </c>
      <c r="E89" s="2">
        <f>IFERROR(__xludf.DUMMYFUNCTION("""COMPUTED_VALUE"""),536.0)</f>
        <v>536</v>
      </c>
      <c r="F89" s="6">
        <f>IFERROR(__xludf.DUMMYFUNCTION("""COMPUTED_VALUE"""),2061.0)</f>
        <v>2061</v>
      </c>
      <c r="G89" s="6">
        <f>IFERROR(__xludf.DUMMYFUNCTION("""COMPUTED_VALUE"""),2598.0)</f>
        <v>2598</v>
      </c>
      <c r="H89" s="7">
        <f>IFERROR(__xludf.DUMMYFUNCTION("""COMPUTED_VALUE"""),2.68)</f>
        <v>2.68</v>
      </c>
      <c r="I89" s="2">
        <f>IFERROR(__xludf.DUMMYFUNCTION("""COMPUTED_VALUE"""),10.44)</f>
        <v>10.44</v>
      </c>
      <c r="J89" s="4">
        <f>IFERROR(__xludf.DUMMYFUNCTION("""COMPUTED_VALUE"""),7.08)</f>
        <v>7.08</v>
      </c>
      <c r="K89" s="8">
        <f>IFERROR(__xludf.DUMMYFUNCTION("""COMPUTED_VALUE"""),-0.007)</f>
        <v>-0.007</v>
      </c>
    </row>
    <row r="90" ht="15.75" customHeight="1">
      <c r="C90" s="2" t="str">
        <f>IFERROR(__xludf.DUMMYFUNCTION("""COMPUTED_VALUE"""),"Kirguistán [+]")</f>
        <v>Kirguistán [+]</v>
      </c>
      <c r="D90" s="5">
        <f>IFERROR(__xludf.DUMMYFUNCTION("""COMPUTED_VALUE"""),2008.0)</f>
        <v>2008</v>
      </c>
      <c r="E90" s="2">
        <f>IFERROR(__xludf.DUMMYFUNCTION("""COMPUTED_VALUE"""),100.0)</f>
        <v>100</v>
      </c>
      <c r="F90" s="2">
        <f>IFERROR(__xludf.DUMMYFUNCTION("""COMPUTED_VALUE"""),425.0)</f>
        <v>425</v>
      </c>
      <c r="G90" s="2">
        <f>IFERROR(__xludf.DUMMYFUNCTION("""COMPUTED_VALUE"""),526.0)</f>
        <v>526</v>
      </c>
      <c r="H90" s="7">
        <f>IFERROR(__xludf.DUMMYFUNCTION("""COMPUTED_VALUE"""),3.73)</f>
        <v>3.73</v>
      </c>
      <c r="I90" s="2">
        <f>IFERROR(__xludf.DUMMYFUNCTION("""COMPUTED_VALUE"""),16.16)</f>
        <v>16.16</v>
      </c>
      <c r="J90" s="4">
        <f>IFERROR(__xludf.DUMMYFUNCTION("""COMPUTED_VALUE"""),9.94)</f>
        <v>9.94</v>
      </c>
      <c r="K90" s="8">
        <f>IFERROR(__xludf.DUMMYFUNCTION("""COMPUTED_VALUE"""),-0.056)</f>
        <v>-0.056</v>
      </c>
    </row>
    <row r="91" ht="15.75" customHeight="1">
      <c r="C91" s="2" t="str">
        <f>IFERROR(__xludf.DUMMYFUNCTION("""COMPUTED_VALUE"""),"Camboya [+]")</f>
        <v>Camboya [+]</v>
      </c>
      <c r="D91" s="2">
        <f>IFERROR(__xludf.DUMMYFUNCTION("""COMPUTED_VALUE"""),2008.0)</f>
        <v>2008</v>
      </c>
      <c r="E91" s="2">
        <f>IFERROR(__xludf.DUMMYFUNCTION("""COMPUTED_VALUE"""),584.0)</f>
        <v>584</v>
      </c>
      <c r="F91" s="2">
        <f>IFERROR(__xludf.DUMMYFUNCTION("""COMPUTED_VALUE"""),968.0)</f>
        <v>968</v>
      </c>
      <c r="G91" s="6">
        <f>IFERROR(__xludf.DUMMYFUNCTION("""COMPUTED_VALUE"""),1552.0)</f>
        <v>1552</v>
      </c>
      <c r="H91" s="7">
        <f>IFERROR(__xludf.DUMMYFUNCTION("""COMPUTED_VALUE"""),8.19)</f>
        <v>8.19</v>
      </c>
      <c r="I91" s="2">
        <f>IFERROR(__xludf.DUMMYFUNCTION("""COMPUTED_VALUE"""),14.34)</f>
        <v>14.34</v>
      </c>
      <c r="J91" s="4">
        <f>IFERROR(__xludf.DUMMYFUNCTION("""COMPUTED_VALUE"""),11.13)</f>
        <v>11.13</v>
      </c>
      <c r="K91" s="8">
        <f>IFERROR(__xludf.DUMMYFUNCTION("""COMPUTED_VALUE"""),0.0441)</f>
        <v>0.0441</v>
      </c>
    </row>
    <row r="92" ht="15.75" customHeight="1">
      <c r="C92" s="2" t="str">
        <f>IFERROR(__xludf.DUMMYFUNCTION("""COMPUTED_VALUE"""),"Kiribati [+]")</f>
        <v>Kiribati [+]</v>
      </c>
      <c r="D92" s="5">
        <f>IFERROR(__xludf.DUMMYFUNCTION("""COMPUTED_VALUE"""),2008.0)</f>
        <v>2008</v>
      </c>
      <c r="E92" s="2">
        <f>IFERROR(__xludf.DUMMYFUNCTION("""COMPUTED_VALUE"""),3.0)</f>
        <v>3</v>
      </c>
      <c r="F92" s="6">
        <f>IFERROR(__xludf.DUMMYFUNCTION("""COMPUTED_VALUE"""),11.0)</f>
        <v>11</v>
      </c>
      <c r="G92" s="2">
        <f>IFERROR(__xludf.DUMMYFUNCTION("""COMPUTED_VALUE"""),14.0)</f>
        <v>14</v>
      </c>
      <c r="H92" s="7">
        <f>IFERROR(__xludf.DUMMYFUNCTION("""COMPUTED_VALUE"""),6.88)</f>
        <v>6.88</v>
      </c>
      <c r="I92" s="2">
        <f>IFERROR(__xludf.DUMMYFUNCTION("""COMPUTED_VALUE"""),22.54)</f>
        <v>22.54</v>
      </c>
      <c r="J92" s="4">
        <f>IFERROR(__xludf.DUMMYFUNCTION("""COMPUTED_VALUE"""),14.56)</f>
        <v>14.56</v>
      </c>
      <c r="K92" s="8">
        <f>IFERROR(__xludf.DUMMYFUNCTION("""COMPUTED_VALUE"""),-0.0109)</f>
        <v>-0.0109</v>
      </c>
    </row>
    <row r="93" ht="15.75" customHeight="1">
      <c r="C93" s="2" t="str">
        <f>IFERROR(__xludf.DUMMYFUNCTION("""COMPUTED_VALUE"""),"Comoras [+]")</f>
        <v>Comoras [+]</v>
      </c>
      <c r="D93" s="2">
        <f>IFERROR(__xludf.DUMMYFUNCTION("""COMPUTED_VALUE"""),2008.0)</f>
        <v>2008</v>
      </c>
      <c r="E93" s="2">
        <f>IFERROR(__xludf.DUMMYFUNCTION("""COMPUTED_VALUE"""),19.0)</f>
        <v>19</v>
      </c>
      <c r="F93" s="2">
        <f>IFERROR(__xludf.DUMMYFUNCTION("""COMPUTED_VALUE"""),34.0)</f>
        <v>34</v>
      </c>
      <c r="G93" s="2">
        <f>IFERROR(__xludf.DUMMYFUNCTION("""COMPUTED_VALUE"""),53.0)</f>
        <v>53</v>
      </c>
      <c r="H93" s="7">
        <f>IFERROR(__xludf.DUMMYFUNCTION("""COMPUTED_VALUE"""),5.77)</f>
        <v>5.77</v>
      </c>
      <c r="I93" s="2">
        <f>IFERROR(__xludf.DUMMYFUNCTION("""COMPUTED_VALUE"""),10.39)</f>
        <v>10.39</v>
      </c>
      <c r="J93" s="4">
        <f>IFERROR(__xludf.DUMMYFUNCTION("""COMPUTED_VALUE"""),8.16)</f>
        <v>8.16</v>
      </c>
      <c r="K93" s="8">
        <f>IFERROR(__xludf.DUMMYFUNCTION("""COMPUTED_VALUE"""),0.0737)</f>
        <v>0.0737</v>
      </c>
    </row>
    <row r="94" ht="15.75" customHeight="1">
      <c r="C94" s="2" t="str">
        <f>IFERROR(__xludf.DUMMYFUNCTION("""COMPUTED_VALUE"""),"Corea del Norte [+]")</f>
        <v>Corea del Norte [+]</v>
      </c>
      <c r="D94" s="5">
        <f>IFERROR(__xludf.DUMMYFUNCTION("""COMPUTED_VALUE"""),2008.0)</f>
        <v>2008</v>
      </c>
      <c r="E94" s="6">
        <f>IFERROR(__xludf.DUMMYFUNCTION("""COMPUTED_VALUE"""),2527.0)</f>
        <v>2527</v>
      </c>
      <c r="F94" s="6">
        <f>IFERROR(__xludf.DUMMYFUNCTION("""COMPUTED_VALUE"""),2447.0)</f>
        <v>2447</v>
      </c>
      <c r="G94" s="6">
        <f>IFERROR(__xludf.DUMMYFUNCTION("""COMPUTED_VALUE"""),4973.0)</f>
        <v>4973</v>
      </c>
      <c r="H94" s="7">
        <f>IFERROR(__xludf.DUMMYFUNCTION("""COMPUTED_VALUE"""),20.32)</f>
        <v>20.32</v>
      </c>
      <c r="I94" s="2">
        <f>IFERROR(__xludf.DUMMYFUNCTION("""COMPUTED_VALUE"""),20.6)</f>
        <v>20.6</v>
      </c>
      <c r="J94" s="4">
        <f>IFERROR(__xludf.DUMMYFUNCTION("""COMPUTED_VALUE"""),20.46)</f>
        <v>20.46</v>
      </c>
      <c r="K94" s="8">
        <f>IFERROR(__xludf.DUMMYFUNCTION("""COMPUTED_VALUE"""),-0.0121)</f>
        <v>-0.0121</v>
      </c>
    </row>
    <row r="95" ht="15.75" customHeight="1">
      <c r="C95" s="2" t="str">
        <f>IFERROR(__xludf.DUMMYFUNCTION("""COMPUTED_VALUE"""),"Corea del Sur [+]")</f>
        <v>Corea del Sur [+]</v>
      </c>
      <c r="D95" s="5">
        <f>IFERROR(__xludf.DUMMYFUNCTION("""COMPUTED_VALUE"""),2008.0)</f>
        <v>2008</v>
      </c>
      <c r="E95" s="6">
        <f>IFERROR(__xludf.DUMMYFUNCTION("""COMPUTED_VALUE"""),4598.0)</f>
        <v>4598</v>
      </c>
      <c r="F95" s="6">
        <f>IFERROR(__xludf.DUMMYFUNCTION("""COMPUTED_VALUE"""),8260.0)</f>
        <v>8260</v>
      </c>
      <c r="G95" s="6">
        <f>IFERROR(__xludf.DUMMYFUNCTION("""COMPUTED_VALUE"""),12858.0)</f>
        <v>12858</v>
      </c>
      <c r="H95" s="7">
        <f>IFERROR(__xludf.DUMMYFUNCTION("""COMPUTED_VALUE"""),18.9)</f>
        <v>18.9</v>
      </c>
      <c r="I95" s="2">
        <f>IFERROR(__xludf.DUMMYFUNCTION("""COMPUTED_VALUE"""),33.5)</f>
        <v>33.5</v>
      </c>
      <c r="J95" s="4">
        <f>IFERROR(__xludf.DUMMYFUNCTION("""COMPUTED_VALUE"""),26.2)</f>
        <v>26.2</v>
      </c>
      <c r="K95" s="8">
        <f>IFERROR(__xludf.DUMMYFUNCTION("""COMPUTED_VALUE"""),0.0397)</f>
        <v>0.0397</v>
      </c>
    </row>
    <row r="96" ht="15.75" customHeight="1">
      <c r="C96" s="2" t="str">
        <f>IFERROR(__xludf.DUMMYFUNCTION("""COMPUTED_VALUE"""),"Kuwait [+]")</f>
        <v>Kuwait [+]</v>
      </c>
      <c r="D96" s="2">
        <f>IFERROR(__xludf.DUMMYFUNCTION("""COMPUTED_VALUE"""),2008.0)</f>
        <v>2008</v>
      </c>
      <c r="E96" s="2">
        <f>IFERROR(__xludf.DUMMYFUNCTION("""COMPUTED_VALUE"""),20.0)</f>
        <v>20</v>
      </c>
      <c r="F96" s="2">
        <f>IFERROR(__xludf.DUMMYFUNCTION("""COMPUTED_VALUE"""),59.0)</f>
        <v>59</v>
      </c>
      <c r="G96" s="2">
        <f>IFERROR(__xludf.DUMMYFUNCTION("""COMPUTED_VALUE"""),79.0)</f>
        <v>79</v>
      </c>
      <c r="H96" s="7">
        <f>IFERROR(__xludf.DUMMYFUNCTION("""COMPUTED_VALUE"""),1.82)</f>
        <v>1.82</v>
      </c>
      <c r="I96" s="2">
        <f>IFERROR(__xludf.DUMMYFUNCTION("""COMPUTED_VALUE"""),3.81)</f>
        <v>3.81</v>
      </c>
      <c r="J96" s="4">
        <f>IFERROR(__xludf.DUMMYFUNCTION("""COMPUTED_VALUE"""),2.3)</f>
        <v>2.3</v>
      </c>
      <c r="K96" s="8">
        <f>IFERROR(__xludf.DUMMYFUNCTION("""COMPUTED_VALUE"""),0.0952)</f>
        <v>0.0952</v>
      </c>
    </row>
    <row r="97" ht="15.75" customHeight="1">
      <c r="C97" s="2" t="str">
        <f>IFERROR(__xludf.DUMMYFUNCTION("""COMPUTED_VALUE"""),"Kazajistán [+]")</f>
        <v>Kazajistán [+]</v>
      </c>
      <c r="D97" s="2">
        <f>IFERROR(__xludf.DUMMYFUNCTION("""COMPUTED_VALUE"""),2008.0)</f>
        <v>2008</v>
      </c>
      <c r="E97" s="2">
        <f>IFERROR(__xludf.DUMMYFUNCTION("""COMPUTED_VALUE"""),905.0)</f>
        <v>905</v>
      </c>
      <c r="F97" s="6">
        <f>IFERROR(__xludf.DUMMYFUNCTION("""COMPUTED_VALUE"""),3849.0)</f>
        <v>3849</v>
      </c>
      <c r="G97" s="6">
        <f>IFERROR(__xludf.DUMMYFUNCTION("""COMPUTED_VALUE"""),4754.0)</f>
        <v>4754</v>
      </c>
      <c r="H97" s="7">
        <f>IFERROR(__xludf.DUMMYFUNCTION("""COMPUTED_VALUE"""),11.09)</f>
        <v>11.09</v>
      </c>
      <c r="I97" s="2">
        <f>IFERROR(__xludf.DUMMYFUNCTION("""COMPUTED_VALUE"""),50.53)</f>
        <v>50.53</v>
      </c>
      <c r="J97" s="4">
        <f>IFERROR(__xludf.DUMMYFUNCTION("""COMPUTED_VALUE"""),29.75)</f>
        <v>29.75</v>
      </c>
      <c r="K97" s="8">
        <f>IFERROR(__xludf.DUMMYFUNCTION("""COMPUTED_VALUE"""),-0.0729)</f>
        <v>-0.0729</v>
      </c>
    </row>
    <row r="98" ht="15.75" customHeight="1">
      <c r="C98" s="2" t="str">
        <f>IFERROR(__xludf.DUMMYFUNCTION("""COMPUTED_VALUE"""),"Laos [+]")</f>
        <v>Laos [+]</v>
      </c>
      <c r="D98" s="2">
        <f>IFERROR(__xludf.DUMMYFUNCTION("""COMPUTED_VALUE"""),2008.0)</f>
        <v>2008</v>
      </c>
      <c r="E98" s="2">
        <f>IFERROR(__xludf.DUMMYFUNCTION("""COMPUTED_VALUE"""),310.0)</f>
        <v>310</v>
      </c>
      <c r="F98" s="2">
        <f>IFERROR(__xludf.DUMMYFUNCTION("""COMPUTED_VALUE"""),488.0)</f>
        <v>488</v>
      </c>
      <c r="G98" s="2">
        <f>IFERROR(__xludf.DUMMYFUNCTION("""COMPUTED_VALUE"""),798.0)</f>
        <v>798</v>
      </c>
      <c r="H98" s="7">
        <f>IFERROR(__xludf.DUMMYFUNCTION("""COMPUTED_VALUE"""),10.15)</f>
        <v>10.15</v>
      </c>
      <c r="I98" s="2">
        <f>IFERROR(__xludf.DUMMYFUNCTION("""COMPUTED_VALUE"""),16.32)</f>
        <v>16.32</v>
      </c>
      <c r="J98" s="4">
        <f>IFERROR(__xludf.DUMMYFUNCTION("""COMPUTED_VALUE"""),13.2)</f>
        <v>13.2</v>
      </c>
      <c r="K98" s="8">
        <f>IFERROR(__xludf.DUMMYFUNCTION("""COMPUTED_VALUE"""),0.0169)</f>
        <v>0.0169</v>
      </c>
    </row>
    <row r="99" ht="15.75" customHeight="1">
      <c r="C99" s="2" t="str">
        <f>IFERROR(__xludf.DUMMYFUNCTION("""COMPUTED_VALUE"""),"Líbano [+]")</f>
        <v>Líbano [+]</v>
      </c>
      <c r="D99" s="5">
        <f>IFERROR(__xludf.DUMMYFUNCTION("""COMPUTED_VALUE"""),2008.0)</f>
        <v>2008</v>
      </c>
      <c r="E99" s="2">
        <f>IFERROR(__xludf.DUMMYFUNCTION("""COMPUTED_VALUE"""),40.0)</f>
        <v>40</v>
      </c>
      <c r="F99" s="6">
        <f>IFERROR(__xludf.DUMMYFUNCTION("""COMPUTED_VALUE"""),77.0)</f>
        <v>77</v>
      </c>
      <c r="G99" s="2">
        <f>IFERROR(__xludf.DUMMYFUNCTION("""COMPUTED_VALUE"""),117.0)</f>
        <v>117</v>
      </c>
      <c r="H99" s="7">
        <f>IFERROR(__xludf.DUMMYFUNCTION("""COMPUTED_VALUE"""),1.72)</f>
        <v>1.72</v>
      </c>
      <c r="I99" s="2">
        <f>IFERROR(__xludf.DUMMYFUNCTION("""COMPUTED_VALUE"""),3.15)</f>
        <v>3.15</v>
      </c>
      <c r="J99" s="4">
        <f>IFERROR(__xludf.DUMMYFUNCTION("""COMPUTED_VALUE"""),2.45)</f>
        <v>2.45</v>
      </c>
      <c r="K99" s="8">
        <f>IFERROR(__xludf.DUMMYFUNCTION("""COMPUTED_VALUE"""),0.0082)</f>
        <v>0.0082</v>
      </c>
    </row>
    <row r="100" ht="15.75" customHeight="1">
      <c r="C100" s="2" t="str">
        <f>IFERROR(__xludf.DUMMYFUNCTION("""COMPUTED_VALUE"""),"Santa Lucía [+]")</f>
        <v>Santa Lucía [+]</v>
      </c>
      <c r="D100" s="2">
        <f>IFERROR(__xludf.DUMMYFUNCTION("""COMPUTED_VALUE"""),2008.0)</f>
        <v>2008</v>
      </c>
      <c r="E100" s="2">
        <f>IFERROR(__xludf.DUMMYFUNCTION("""COMPUTED_VALUE"""),0.0)</f>
        <v>0</v>
      </c>
      <c r="F100" s="2">
        <f>IFERROR(__xludf.DUMMYFUNCTION("""COMPUTED_VALUE"""),5.0)</f>
        <v>5</v>
      </c>
      <c r="G100" s="2">
        <f>IFERROR(__xludf.DUMMYFUNCTION("""COMPUTED_VALUE"""),5.0)</f>
        <v>5</v>
      </c>
      <c r="H100" s="7">
        <f>IFERROR(__xludf.DUMMYFUNCTION("""COMPUTED_VALUE"""),0.0)</f>
        <v>0</v>
      </c>
      <c r="I100" s="2">
        <f>IFERROR(__xludf.DUMMYFUNCTION("""COMPUTED_VALUE"""),5.48)</f>
        <v>5.48</v>
      </c>
      <c r="J100" s="4">
        <f>IFERROR(__xludf.DUMMYFUNCTION("""COMPUTED_VALUE"""),2.69)</f>
        <v>2.69</v>
      </c>
      <c r="K100" s="8">
        <f>IFERROR(__xludf.DUMMYFUNCTION("""COMPUTED_VALUE"""),-0.2465)</f>
        <v>-0.2465</v>
      </c>
    </row>
    <row r="101" ht="15.75" customHeight="1">
      <c r="C101" s="2" t="str">
        <f>IFERROR(__xludf.DUMMYFUNCTION("""COMPUTED_VALUE"""),"Sri Lanka [+]")</f>
        <v>Sri Lanka [+]</v>
      </c>
      <c r="D101" s="5">
        <f>IFERROR(__xludf.DUMMYFUNCTION("""COMPUTED_VALUE"""),2008.0)</f>
        <v>2008</v>
      </c>
      <c r="E101" s="6">
        <f>IFERROR(__xludf.DUMMYFUNCTION("""COMPUTED_VALUE"""),1254.0)</f>
        <v>1254</v>
      </c>
      <c r="F101" s="6">
        <f>IFERROR(__xludf.DUMMYFUNCTION("""COMPUTED_VALUE"""),4327.0)</f>
        <v>4327</v>
      </c>
      <c r="G101" s="6">
        <f>IFERROR(__xludf.DUMMYFUNCTION("""COMPUTED_VALUE"""),5581.0)</f>
        <v>5581</v>
      </c>
      <c r="H101" s="7">
        <f>IFERROR(__xludf.DUMMYFUNCTION("""COMPUTED_VALUE"""),12.29)</f>
        <v>12.29</v>
      </c>
      <c r="I101" s="2">
        <f>IFERROR(__xludf.DUMMYFUNCTION("""COMPUTED_VALUE"""),44.24)</f>
        <v>44.24</v>
      </c>
      <c r="J101" s="4">
        <f>IFERROR(__xludf.DUMMYFUNCTION("""COMPUTED_VALUE"""),27.93)</f>
        <v>27.93</v>
      </c>
      <c r="K101" s="8">
        <f>IFERROR(__xludf.DUMMYFUNCTION("""COMPUTED_VALUE"""),-0.0075)</f>
        <v>-0.0075</v>
      </c>
    </row>
    <row r="102" ht="15.75" customHeight="1">
      <c r="C102" s="2" t="str">
        <f>IFERROR(__xludf.DUMMYFUNCTION("""COMPUTED_VALUE"""),"Liberia [+]")</f>
        <v>Liberia [+]</v>
      </c>
      <c r="D102" s="5">
        <f>IFERROR(__xludf.DUMMYFUNCTION("""COMPUTED_VALUE"""),2008.0)</f>
        <v>2008</v>
      </c>
      <c r="E102" s="2">
        <f>IFERROR(__xludf.DUMMYFUNCTION("""COMPUTED_VALUE"""),45.0)</f>
        <v>45</v>
      </c>
      <c r="F102" s="6">
        <f>IFERROR(__xludf.DUMMYFUNCTION("""COMPUTED_VALUE"""),177.0)</f>
        <v>177</v>
      </c>
      <c r="G102" s="2">
        <f>IFERROR(__xludf.DUMMYFUNCTION("""COMPUTED_VALUE"""),222.0)</f>
        <v>222</v>
      </c>
      <c r="H102" s="7">
        <f>IFERROR(__xludf.DUMMYFUNCTION("""COMPUTED_VALUE"""),2.48)</f>
        <v>2.48</v>
      </c>
      <c r="I102" s="2">
        <f>IFERROR(__xludf.DUMMYFUNCTION("""COMPUTED_VALUE"""),9.82)</f>
        <v>9.82</v>
      </c>
      <c r="J102" s="4">
        <f>IFERROR(__xludf.DUMMYFUNCTION("""COMPUTED_VALUE"""),6.15)</f>
        <v>6.15</v>
      </c>
      <c r="K102" s="8">
        <f>IFERROR(__xludf.DUMMYFUNCTION("""COMPUTED_VALUE"""),-0.0081)</f>
        <v>-0.0081</v>
      </c>
    </row>
    <row r="103" ht="15.75" customHeight="1">
      <c r="C103" s="2" t="str">
        <f>IFERROR(__xludf.DUMMYFUNCTION("""COMPUTED_VALUE"""),"Lesoto [+]")</f>
        <v>Lesoto [+]</v>
      </c>
      <c r="D103" s="2">
        <f>IFERROR(__xludf.DUMMYFUNCTION("""COMPUTED_VALUE"""),2008.0)</f>
        <v>2008</v>
      </c>
      <c r="E103" s="2">
        <f>IFERROR(__xludf.DUMMYFUNCTION("""COMPUTED_VALUE"""),65.0)</f>
        <v>65</v>
      </c>
      <c r="F103" s="2">
        <f>IFERROR(__xludf.DUMMYFUNCTION("""COMPUTED_VALUE"""),155.0)</f>
        <v>155</v>
      </c>
      <c r="G103" s="2">
        <f>IFERROR(__xludf.DUMMYFUNCTION("""COMPUTED_VALUE"""),219.0)</f>
        <v>219</v>
      </c>
      <c r="H103" s="7">
        <f>IFERROR(__xludf.DUMMYFUNCTION("""COMPUTED_VALUE"""),6.31)</f>
        <v>6.31</v>
      </c>
      <c r="I103" s="2">
        <f>IFERROR(__xludf.DUMMYFUNCTION("""COMPUTED_VALUE"""),16.05)</f>
        <v>16.05</v>
      </c>
      <c r="J103" s="4">
        <f>IFERROR(__xludf.DUMMYFUNCTION("""COMPUTED_VALUE"""),11.52)</f>
        <v>11.52</v>
      </c>
      <c r="K103" s="8">
        <f>IFERROR(__xludf.DUMMYFUNCTION("""COMPUTED_VALUE"""),-0.0103)</f>
        <v>-0.0103</v>
      </c>
    </row>
    <row r="104" ht="15.75" customHeight="1">
      <c r="C104" s="2" t="str">
        <f>IFERROR(__xludf.DUMMYFUNCTION("""COMPUTED_VALUE"""),"Lituania [+]")</f>
        <v>Lituania [+]</v>
      </c>
      <c r="D104" s="2">
        <f>IFERROR(__xludf.DUMMYFUNCTION("""COMPUTED_VALUE"""),2008.0)</f>
        <v>2008</v>
      </c>
      <c r="E104" s="2">
        <f>IFERROR(__xludf.DUMMYFUNCTION("""COMPUTED_VALUE"""),193.0)</f>
        <v>193</v>
      </c>
      <c r="F104" s="2">
        <f>IFERROR(__xludf.DUMMYFUNCTION("""COMPUTED_VALUE"""),918.0)</f>
        <v>918</v>
      </c>
      <c r="G104" s="6">
        <f>IFERROR(__xludf.DUMMYFUNCTION("""COMPUTED_VALUE"""),1111.0)</f>
        <v>1111</v>
      </c>
      <c r="H104" s="7">
        <f>IFERROR(__xludf.DUMMYFUNCTION("""COMPUTED_VALUE"""),11.2)</f>
        <v>11.2</v>
      </c>
      <c r="I104" s="2">
        <f>IFERROR(__xludf.DUMMYFUNCTION("""COMPUTED_VALUE"""),62.0)</f>
        <v>62</v>
      </c>
      <c r="J104" s="4">
        <f>IFERROR(__xludf.DUMMYFUNCTION("""COMPUTED_VALUE"""),34.7)</f>
        <v>34.7</v>
      </c>
      <c r="K104" s="8">
        <f>IFERROR(__xludf.DUMMYFUNCTION("""COMPUTED_VALUE"""),0.0946)</f>
        <v>0.0946</v>
      </c>
    </row>
    <row r="105" ht="15.75" customHeight="1">
      <c r="C105" s="2" t="str">
        <f>IFERROR(__xludf.DUMMYFUNCTION("""COMPUTED_VALUE"""),"Luxemburgo [+]")</f>
        <v>Luxemburgo [+]</v>
      </c>
      <c r="D105" s="2">
        <f>IFERROR(__xludf.DUMMYFUNCTION("""COMPUTED_VALUE"""),2008.0)</f>
        <v>2008</v>
      </c>
      <c r="E105" s="2">
        <f>IFERROR(__xludf.DUMMYFUNCTION("""COMPUTED_VALUE"""),8.0)</f>
        <v>8</v>
      </c>
      <c r="F105" s="2">
        <f>IFERROR(__xludf.DUMMYFUNCTION("""COMPUTED_VALUE"""),35.0)</f>
        <v>35</v>
      </c>
      <c r="G105" s="2">
        <f>IFERROR(__xludf.DUMMYFUNCTION("""COMPUTED_VALUE"""),43.0)</f>
        <v>43</v>
      </c>
      <c r="H105" s="7">
        <f>IFERROR(__xludf.DUMMYFUNCTION("""COMPUTED_VALUE"""),3.2)</f>
        <v>3.2</v>
      </c>
      <c r="I105" s="2">
        <f>IFERROR(__xludf.DUMMYFUNCTION("""COMPUTED_VALUE"""),14.4)</f>
        <v>14.4</v>
      </c>
      <c r="J105" s="4">
        <f>IFERROR(__xludf.DUMMYFUNCTION("""COMPUTED_VALUE"""),8.8)</f>
        <v>8.8</v>
      </c>
      <c r="K105" s="8">
        <f>IFERROR(__xludf.DUMMYFUNCTION("""COMPUTED_VALUE"""),-0.4601)</f>
        <v>-0.4601</v>
      </c>
    </row>
    <row r="106" ht="15.75" customHeight="1">
      <c r="C106" s="2" t="str">
        <f>IFERROR(__xludf.DUMMYFUNCTION("""COMPUTED_VALUE"""),"Letonia [+]")</f>
        <v>Letonia [+]</v>
      </c>
      <c r="D106" s="2">
        <f>IFERROR(__xludf.DUMMYFUNCTION("""COMPUTED_VALUE"""),2008.0)</f>
        <v>2008</v>
      </c>
      <c r="E106" s="2">
        <f>IFERROR(__xludf.DUMMYFUNCTION("""COMPUTED_VALUE"""),100.0)</f>
        <v>100</v>
      </c>
      <c r="F106" s="2">
        <f>IFERROR(__xludf.DUMMYFUNCTION("""COMPUTED_VALUE"""),427.0)</f>
        <v>427</v>
      </c>
      <c r="G106" s="2">
        <f>IFERROR(__xludf.DUMMYFUNCTION("""COMPUTED_VALUE"""),527.0)</f>
        <v>527</v>
      </c>
      <c r="H106" s="7">
        <f>IFERROR(__xludf.DUMMYFUNCTION("""COMPUTED_VALUE"""),8.5)</f>
        <v>8.5</v>
      </c>
      <c r="I106" s="2">
        <f>IFERROR(__xludf.DUMMYFUNCTION("""COMPUTED_VALUE"""),42.7)</f>
        <v>42.7</v>
      </c>
      <c r="J106" s="4">
        <f>IFERROR(__xludf.DUMMYFUNCTION("""COMPUTED_VALUE"""),24.2)</f>
        <v>24.2</v>
      </c>
      <c r="K106" s="8">
        <f>IFERROR(__xludf.DUMMYFUNCTION("""COMPUTED_VALUE"""),0.1748)</f>
        <v>0.1748</v>
      </c>
    </row>
    <row r="107" ht="15.75" customHeight="1">
      <c r="C107" s="2" t="str">
        <f>IFERROR(__xludf.DUMMYFUNCTION("""COMPUTED_VALUE"""),"Libia [+]")</f>
        <v>Libia [+]</v>
      </c>
      <c r="D107" s="2">
        <f>IFERROR(__xludf.DUMMYFUNCTION("""COMPUTED_VALUE"""),2008.0)</f>
        <v>2008</v>
      </c>
      <c r="E107" s="2">
        <f>IFERROR(__xludf.DUMMYFUNCTION("""COMPUTED_VALUE"""),91.0)</f>
        <v>91</v>
      </c>
      <c r="F107" s="2">
        <f>IFERROR(__xludf.DUMMYFUNCTION("""COMPUTED_VALUE"""),256.0)</f>
        <v>256</v>
      </c>
      <c r="G107" s="2">
        <f>IFERROR(__xludf.DUMMYFUNCTION("""COMPUTED_VALUE"""),347.0)</f>
        <v>347</v>
      </c>
      <c r="H107" s="7">
        <f>IFERROR(__xludf.DUMMYFUNCTION("""COMPUTED_VALUE"""),3.07)</f>
        <v>3.07</v>
      </c>
      <c r="I107" s="2">
        <f>IFERROR(__xludf.DUMMYFUNCTION("""COMPUTED_VALUE"""),8.24)</f>
        <v>8.24</v>
      </c>
      <c r="J107" s="4">
        <f>IFERROR(__xludf.DUMMYFUNCTION("""COMPUTED_VALUE"""),5.89)</f>
        <v>5.89</v>
      </c>
      <c r="K107" s="8">
        <f>IFERROR(__xludf.DUMMYFUNCTION("""COMPUTED_VALUE"""),-0.0232)</f>
        <v>-0.0232</v>
      </c>
    </row>
    <row r="108" ht="15.75" customHeight="1">
      <c r="C108" s="2" t="str">
        <f>IFERROR(__xludf.DUMMYFUNCTION("""COMPUTED_VALUE"""),"Marruecos [+]")</f>
        <v>Marruecos [+]</v>
      </c>
      <c r="D108" s="2">
        <f>IFERROR(__xludf.DUMMYFUNCTION("""COMPUTED_VALUE"""),2008.0)</f>
        <v>2008</v>
      </c>
      <c r="E108" s="2">
        <f>IFERROR(__xludf.DUMMYFUNCTION("""COMPUTED_VALUE"""),679.0)</f>
        <v>679</v>
      </c>
      <c r="F108" s="6">
        <f>IFERROR(__xludf.DUMMYFUNCTION("""COMPUTED_VALUE"""),1296.0)</f>
        <v>1296</v>
      </c>
      <c r="G108" s="6">
        <f>IFERROR(__xludf.DUMMYFUNCTION("""COMPUTED_VALUE"""),1975.0)</f>
        <v>1975</v>
      </c>
      <c r="H108" s="7">
        <f>IFERROR(__xludf.DUMMYFUNCTION("""COMPUTED_VALUE"""),4.25)</f>
        <v>4.25</v>
      </c>
      <c r="I108" s="2">
        <f>IFERROR(__xludf.DUMMYFUNCTION("""COMPUTED_VALUE"""),8.33)</f>
        <v>8.33</v>
      </c>
      <c r="J108" s="4">
        <f>IFERROR(__xludf.DUMMYFUNCTION("""COMPUTED_VALUE"""),6.29)</f>
        <v>6.29</v>
      </c>
      <c r="K108" s="8">
        <f>IFERROR(__xludf.DUMMYFUNCTION("""COMPUTED_VALUE"""),-0.0513)</f>
        <v>-0.0513</v>
      </c>
    </row>
    <row r="109" ht="15.75" customHeight="1">
      <c r="C109" s="2" t="str">
        <f>IFERROR(__xludf.DUMMYFUNCTION("""COMPUTED_VALUE"""),"Moldavia [+]")</f>
        <v>Moldavia [+]</v>
      </c>
      <c r="D109" s="2">
        <f>IFERROR(__xludf.DUMMYFUNCTION("""COMPUTED_VALUE"""),2008.0)</f>
        <v>2008</v>
      </c>
      <c r="E109" s="2">
        <f>IFERROR(__xludf.DUMMYFUNCTION("""COMPUTED_VALUE"""),143.0)</f>
        <v>143</v>
      </c>
      <c r="F109" s="2">
        <f>IFERROR(__xludf.DUMMYFUNCTION("""COMPUTED_VALUE"""),628.0)</f>
        <v>628</v>
      </c>
      <c r="G109" s="2">
        <f>IFERROR(__xludf.DUMMYFUNCTION("""COMPUTED_VALUE"""),771.0)</f>
        <v>771</v>
      </c>
      <c r="H109" s="7">
        <f>IFERROR(__xludf.DUMMYFUNCTION("""COMPUTED_VALUE"""),7.72)</f>
        <v>7.72</v>
      </c>
      <c r="I109" s="2">
        <f>IFERROR(__xludf.DUMMYFUNCTION("""COMPUTED_VALUE"""),36.64)</f>
        <v>36.64</v>
      </c>
      <c r="J109" s="4">
        <f>IFERROR(__xludf.DUMMYFUNCTION("""COMPUTED_VALUE"""),21.62)</f>
        <v>21.62</v>
      </c>
      <c r="K109" s="8">
        <f>IFERROR(__xludf.DUMMYFUNCTION("""COMPUTED_VALUE"""),0.0708)</f>
        <v>0.0708</v>
      </c>
    </row>
    <row r="110" ht="15.75" customHeight="1">
      <c r="C110" s="2" t="str">
        <f>IFERROR(__xludf.DUMMYFUNCTION("""COMPUTED_VALUE"""),"Montenegro [+]")</f>
        <v>Montenegro [+]</v>
      </c>
      <c r="D110" s="2">
        <f>IFERROR(__xludf.DUMMYFUNCTION("""COMPUTED_VALUE"""),2008.0)</f>
        <v>2008</v>
      </c>
      <c r="E110" s="2">
        <f>IFERROR(__xludf.DUMMYFUNCTION("""COMPUTED_VALUE"""),23.0)</f>
        <v>23</v>
      </c>
      <c r="F110" s="2">
        <f>IFERROR(__xludf.DUMMYFUNCTION("""COMPUTED_VALUE"""),49.0)</f>
        <v>49</v>
      </c>
      <c r="G110" s="2">
        <f>IFERROR(__xludf.DUMMYFUNCTION("""COMPUTED_VALUE"""),72.0)</f>
        <v>72</v>
      </c>
      <c r="H110" s="7">
        <f>IFERROR(__xludf.DUMMYFUNCTION("""COMPUTED_VALUE"""),7.46)</f>
        <v>7.46</v>
      </c>
      <c r="I110" s="2">
        <f>IFERROR(__xludf.DUMMYFUNCTION("""COMPUTED_VALUE"""),16.15)</f>
        <v>16.15</v>
      </c>
      <c r="J110" s="4">
        <f>IFERROR(__xludf.DUMMYFUNCTION("""COMPUTED_VALUE"""),11.74)</f>
        <v>11.74</v>
      </c>
      <c r="K110" s="8">
        <f>IFERROR(__xludf.DUMMYFUNCTION("""COMPUTED_VALUE"""),0.0069)</f>
        <v>0.0069</v>
      </c>
    </row>
    <row r="111" ht="15.75" customHeight="1">
      <c r="C111" s="2" t="str">
        <f>IFERROR(__xludf.DUMMYFUNCTION("""COMPUTED_VALUE"""),"Madagascar [+]")</f>
        <v>Madagascar [+]</v>
      </c>
      <c r="D111" s="2">
        <f>IFERROR(__xludf.DUMMYFUNCTION("""COMPUTED_VALUE"""),2008.0)</f>
        <v>2008</v>
      </c>
      <c r="E111" s="2">
        <f>IFERROR(__xludf.DUMMYFUNCTION("""COMPUTED_VALUE"""),309.0)</f>
        <v>309</v>
      </c>
      <c r="F111" s="2">
        <f>IFERROR(__xludf.DUMMYFUNCTION("""COMPUTED_VALUE"""),791.0)</f>
        <v>791</v>
      </c>
      <c r="G111" s="6">
        <f>IFERROR(__xludf.DUMMYFUNCTION("""COMPUTED_VALUE"""),1100.0)</f>
        <v>1100</v>
      </c>
      <c r="H111" s="7">
        <f>IFERROR(__xludf.DUMMYFUNCTION("""COMPUTED_VALUE"""),3.07)</f>
        <v>3.07</v>
      </c>
      <c r="I111" s="2">
        <f>IFERROR(__xludf.DUMMYFUNCTION("""COMPUTED_VALUE"""),7.94)</f>
        <v>7.94</v>
      </c>
      <c r="J111" s="4">
        <f>IFERROR(__xludf.DUMMYFUNCTION("""COMPUTED_VALUE"""),5.76)</f>
        <v>5.76</v>
      </c>
      <c r="K111" s="8">
        <f>IFERROR(__xludf.DUMMYFUNCTION("""COMPUTED_VALUE"""),0.007)</f>
        <v>0.007</v>
      </c>
    </row>
    <row r="112" ht="15.75" customHeight="1">
      <c r="C112" s="2" t="str">
        <f>IFERROR(__xludf.DUMMYFUNCTION("""COMPUTED_VALUE"""),"Macedonia del Norte [+]")</f>
        <v>Macedonia del Norte [+]</v>
      </c>
      <c r="D112" s="2">
        <f>IFERROR(__xludf.DUMMYFUNCTION("""COMPUTED_VALUE"""),2008.0)</f>
        <v>2008</v>
      </c>
      <c r="E112" s="2">
        <f>IFERROR(__xludf.DUMMYFUNCTION("""COMPUTED_VALUE"""),45.0)</f>
        <v>45</v>
      </c>
      <c r="F112" s="2">
        <f>IFERROR(__xludf.DUMMYFUNCTION("""COMPUTED_VALUE"""),116.0)</f>
        <v>116</v>
      </c>
      <c r="G112" s="2">
        <f>IFERROR(__xludf.DUMMYFUNCTION("""COMPUTED_VALUE"""),161.0)</f>
        <v>161</v>
      </c>
      <c r="H112" s="7">
        <f>IFERROR(__xludf.DUMMYFUNCTION("""COMPUTED_VALUE"""),4.4)</f>
        <v>4.4</v>
      </c>
      <c r="I112" s="2">
        <f>IFERROR(__xludf.DUMMYFUNCTION("""COMPUTED_VALUE"""),11.3)</f>
        <v>11.3</v>
      </c>
      <c r="J112" s="4">
        <f>IFERROR(__xludf.DUMMYFUNCTION("""COMPUTED_VALUE"""),7.9)</f>
        <v>7.9</v>
      </c>
      <c r="K112" s="8">
        <f>IFERROR(__xludf.DUMMYFUNCTION("""COMPUTED_VALUE"""),0.0128)</f>
        <v>0.0128</v>
      </c>
    </row>
    <row r="113" ht="15.75" customHeight="1">
      <c r="C113" s="2" t="str">
        <f>IFERROR(__xludf.DUMMYFUNCTION("""COMPUTED_VALUE"""),"Malí [+]")</f>
        <v>Malí [+]</v>
      </c>
      <c r="D113" s="5">
        <f>IFERROR(__xludf.DUMMYFUNCTION("""COMPUTED_VALUE"""),2008.0)</f>
        <v>2008</v>
      </c>
      <c r="E113" s="2">
        <f>IFERROR(__xludf.DUMMYFUNCTION("""COMPUTED_VALUE"""),265.0)</f>
        <v>265</v>
      </c>
      <c r="F113" s="6">
        <f>IFERROR(__xludf.DUMMYFUNCTION("""COMPUTED_VALUE"""),574.0)</f>
        <v>574</v>
      </c>
      <c r="G113" s="2">
        <f>IFERROR(__xludf.DUMMYFUNCTION("""COMPUTED_VALUE"""),839.0)</f>
        <v>839</v>
      </c>
      <c r="H113" s="7">
        <f>IFERROR(__xludf.DUMMYFUNCTION("""COMPUTED_VALUE"""),3.75)</f>
        <v>3.75</v>
      </c>
      <c r="I113" s="2">
        <f>IFERROR(__xludf.DUMMYFUNCTION("""COMPUTED_VALUE"""),8.15)</f>
        <v>8.15</v>
      </c>
      <c r="J113" s="4">
        <f>IFERROR(__xludf.DUMMYFUNCTION("""COMPUTED_VALUE"""),5.95)</f>
        <v>5.95</v>
      </c>
      <c r="K113" s="8">
        <f>IFERROR(__xludf.DUMMYFUNCTION("""COMPUTED_VALUE"""),0.0102)</f>
        <v>0.0102</v>
      </c>
    </row>
    <row r="114" ht="15.75" customHeight="1">
      <c r="C114" s="2" t="str">
        <f>IFERROR(__xludf.DUMMYFUNCTION("""COMPUTED_VALUE"""),"Myanmar [+]")</f>
        <v>Myanmar [+]</v>
      </c>
      <c r="D114" s="5">
        <f>IFERROR(__xludf.DUMMYFUNCTION("""COMPUTED_VALUE"""),2008.0)</f>
        <v>2008</v>
      </c>
      <c r="E114" s="2">
        <f>IFERROR(__xludf.DUMMYFUNCTION("""COMPUTED_VALUE"""),762.0)</f>
        <v>762</v>
      </c>
      <c r="F114" s="6">
        <f>IFERROR(__xludf.DUMMYFUNCTION("""COMPUTED_VALUE"""),1063.0)</f>
        <v>1063</v>
      </c>
      <c r="G114" s="6">
        <f>IFERROR(__xludf.DUMMYFUNCTION("""COMPUTED_VALUE"""),1825.0)</f>
        <v>1825</v>
      </c>
      <c r="H114" s="7">
        <f>IFERROR(__xludf.DUMMYFUNCTION("""COMPUTED_VALUE"""),2.95)</f>
        <v>2.95</v>
      </c>
      <c r="I114" s="2">
        <f>IFERROR(__xludf.DUMMYFUNCTION("""COMPUTED_VALUE"""),4.41)</f>
        <v>4.41</v>
      </c>
      <c r="J114" s="4">
        <f>IFERROR(__xludf.DUMMYFUNCTION("""COMPUTED_VALUE"""),3.76)</f>
        <v>3.76</v>
      </c>
      <c r="K114" s="4">
        <f>IFERROR(__xludf.DUMMYFUNCTION("""COMPUTED_VALUE"""),0.0)</f>
        <v>0</v>
      </c>
    </row>
    <row r="115" ht="15.75" customHeight="1">
      <c r="C115" s="2" t="str">
        <f>IFERROR(__xludf.DUMMYFUNCTION("""COMPUTED_VALUE"""),"Mongolia [+]")</f>
        <v>Mongolia [+]</v>
      </c>
      <c r="D115" s="2">
        <f>IFERROR(__xludf.DUMMYFUNCTION("""COMPUTED_VALUE"""),2008.0)</f>
        <v>2008</v>
      </c>
      <c r="E115" s="2">
        <f>IFERROR(__xludf.DUMMYFUNCTION("""COMPUTED_VALUE"""),117.0)</f>
        <v>117</v>
      </c>
      <c r="F115" s="2">
        <f>IFERROR(__xludf.DUMMYFUNCTION("""COMPUTED_VALUE"""),604.0)</f>
        <v>604</v>
      </c>
      <c r="G115" s="2">
        <f>IFERROR(__xludf.DUMMYFUNCTION("""COMPUTED_VALUE"""),721.0)</f>
        <v>721</v>
      </c>
      <c r="H115" s="7">
        <f>IFERROR(__xludf.DUMMYFUNCTION("""COMPUTED_VALUE"""),8.85)</f>
        <v>8.85</v>
      </c>
      <c r="I115" s="2">
        <f>IFERROR(__xludf.DUMMYFUNCTION("""COMPUTED_VALUE"""),46.22)</f>
        <v>46.22</v>
      </c>
      <c r="J115" s="4">
        <f>IFERROR(__xludf.DUMMYFUNCTION("""COMPUTED_VALUE"""),27.06)</f>
        <v>27.06</v>
      </c>
      <c r="K115" s="8">
        <f>IFERROR(__xludf.DUMMYFUNCTION("""COMPUTED_VALUE"""),-0.1099)</f>
        <v>-0.1099</v>
      </c>
    </row>
    <row r="116" ht="15.75" customHeight="1">
      <c r="C116" s="2" t="str">
        <f>IFERROR(__xludf.DUMMYFUNCTION("""COMPUTED_VALUE"""),"Mauritania [+]")</f>
        <v>Mauritania [+]</v>
      </c>
      <c r="D116" s="2">
        <f>IFERROR(__xludf.DUMMYFUNCTION("""COMPUTED_VALUE"""),2008.0)</f>
        <v>2008</v>
      </c>
      <c r="E116" s="2">
        <f>IFERROR(__xludf.DUMMYFUNCTION("""COMPUTED_VALUE"""),55.0)</f>
        <v>55</v>
      </c>
      <c r="F116" s="2">
        <f>IFERROR(__xludf.DUMMYFUNCTION("""COMPUTED_VALUE"""),132.0)</f>
        <v>132</v>
      </c>
      <c r="G116" s="2">
        <f>IFERROR(__xludf.DUMMYFUNCTION("""COMPUTED_VALUE"""),187.0)</f>
        <v>187</v>
      </c>
      <c r="H116" s="7">
        <f>IFERROR(__xludf.DUMMYFUNCTION("""COMPUTED_VALUE"""),3.36)</f>
        <v>3.36</v>
      </c>
      <c r="I116" s="2">
        <f>IFERROR(__xludf.DUMMYFUNCTION("""COMPUTED_VALUE"""),8.02)</f>
        <v>8.02</v>
      </c>
      <c r="J116" s="4">
        <f>IFERROR(__xludf.DUMMYFUNCTION("""COMPUTED_VALUE"""),6.01)</f>
        <v>6.01</v>
      </c>
      <c r="K116" s="8">
        <f>IFERROR(__xludf.DUMMYFUNCTION("""COMPUTED_VALUE"""),0.0204)</f>
        <v>0.0204</v>
      </c>
    </row>
    <row r="117" ht="15.75" customHeight="1">
      <c r="C117" s="2" t="str">
        <f>IFERROR(__xludf.DUMMYFUNCTION("""COMPUTED_VALUE"""),"Malta [+]")</f>
        <v>Malta [+]</v>
      </c>
      <c r="D117" s="2">
        <f>IFERROR(__xludf.DUMMYFUNCTION("""COMPUTED_VALUE"""),2008.0)</f>
        <v>2008</v>
      </c>
      <c r="E117" s="2">
        <f>IFERROR(__xludf.DUMMYFUNCTION("""COMPUTED_VALUE"""),2.0)</f>
        <v>2</v>
      </c>
      <c r="F117" s="2">
        <f>IFERROR(__xludf.DUMMYFUNCTION("""COMPUTED_VALUE"""),12.0)</f>
        <v>12</v>
      </c>
      <c r="G117" s="2">
        <f>IFERROR(__xludf.DUMMYFUNCTION("""COMPUTED_VALUE"""),14.0)</f>
        <v>14</v>
      </c>
      <c r="H117" s="7">
        <f>IFERROR(__xludf.DUMMYFUNCTION("""COMPUTED_VALUE"""),1.0)</f>
        <v>1</v>
      </c>
      <c r="I117" s="2">
        <f>IFERROR(__xludf.DUMMYFUNCTION("""COMPUTED_VALUE"""),5.9)</f>
        <v>5.9</v>
      </c>
      <c r="J117" s="4">
        <f>IFERROR(__xludf.DUMMYFUNCTION("""COMPUTED_VALUE"""),3.4)</f>
        <v>3.4</v>
      </c>
      <c r="K117" s="8">
        <f>IFERROR(__xludf.DUMMYFUNCTION("""COMPUTED_VALUE"""),-0.4688)</f>
        <v>-0.4688</v>
      </c>
    </row>
    <row r="118" ht="15.75" customHeight="1">
      <c r="C118" s="4" t="str">
        <f>IFERROR(__xludf.DUMMYFUNCTION("""COMPUTED_VALUE"""),"Mauricio [+]")</f>
        <v>Mauricio [+]</v>
      </c>
      <c r="D118" s="4">
        <f>IFERROR(__xludf.DUMMYFUNCTION("""COMPUTED_VALUE"""),2008.0)</f>
        <v>2008</v>
      </c>
      <c r="E118" s="4">
        <f>IFERROR(__xludf.DUMMYFUNCTION("""COMPUTED_VALUE"""),13.0)</f>
        <v>13</v>
      </c>
      <c r="F118" s="4">
        <f>IFERROR(__xludf.DUMMYFUNCTION("""COMPUTED_VALUE"""),77.0)</f>
        <v>77</v>
      </c>
      <c r="G118" s="4">
        <f>IFERROR(__xludf.DUMMYFUNCTION("""COMPUTED_VALUE"""),90.0)</f>
        <v>90</v>
      </c>
      <c r="H118" s="4">
        <f>IFERROR(__xludf.DUMMYFUNCTION("""COMPUTED_VALUE"""),2.13)</f>
        <v>2.13</v>
      </c>
      <c r="I118" s="4">
        <f>IFERROR(__xludf.DUMMYFUNCTION("""COMPUTED_VALUE"""),12.47)</f>
        <v>12.47</v>
      </c>
      <c r="J118" s="4">
        <f>IFERROR(__xludf.DUMMYFUNCTION("""COMPUTED_VALUE"""),7.26)</f>
        <v>7.26</v>
      </c>
      <c r="K118" s="8">
        <f>IFERROR(__xludf.DUMMYFUNCTION("""COMPUTED_VALUE"""),-0.3489)</f>
        <v>-0.3489</v>
      </c>
    </row>
    <row r="119" ht="15.75" customHeight="1">
      <c r="C119" s="4" t="str">
        <f>IFERROR(__xludf.DUMMYFUNCTION("""COMPUTED_VALUE"""),"Maldivas [+]")</f>
        <v>Maldivas [+]</v>
      </c>
      <c r="D119" s="4">
        <f>IFERROR(__xludf.DUMMYFUNCTION("""COMPUTED_VALUE"""),2008.0)</f>
        <v>2008</v>
      </c>
      <c r="E119" s="4">
        <f>IFERROR(__xludf.DUMMYFUNCTION("""COMPUTED_VALUE"""),13.0)</f>
        <v>13</v>
      </c>
      <c r="F119" s="4">
        <f>IFERROR(__xludf.DUMMYFUNCTION("""COMPUTED_VALUE"""),20.0)</f>
        <v>20</v>
      </c>
      <c r="G119" s="4">
        <f>IFERROR(__xludf.DUMMYFUNCTION("""COMPUTED_VALUE"""),33.0)</f>
        <v>33</v>
      </c>
      <c r="H119" s="4">
        <f>IFERROR(__xludf.DUMMYFUNCTION("""COMPUTED_VALUE"""),8.36)</f>
        <v>8.36</v>
      </c>
      <c r="I119" s="4">
        <f>IFERROR(__xludf.DUMMYFUNCTION("""COMPUTED_VALUE"""),10.87)</f>
        <v>10.87</v>
      </c>
      <c r="J119" s="4">
        <f>IFERROR(__xludf.DUMMYFUNCTION("""COMPUTED_VALUE"""),10.74)</f>
        <v>10.74</v>
      </c>
      <c r="K119" s="8">
        <f>IFERROR(__xludf.DUMMYFUNCTION("""COMPUTED_VALUE"""),0.018)</f>
        <v>0.018</v>
      </c>
    </row>
    <row r="120" ht="15.75" customHeight="1">
      <c r="C120" s="4" t="str">
        <f>IFERROR(__xludf.DUMMYFUNCTION("""COMPUTED_VALUE"""),"Malaui [+]")</f>
        <v>Malaui [+]</v>
      </c>
      <c r="D120" s="4">
        <f>IFERROR(__xludf.DUMMYFUNCTION("""COMPUTED_VALUE"""),2008.0)</f>
        <v>2008</v>
      </c>
      <c r="E120" s="4">
        <f>IFERROR(__xludf.DUMMYFUNCTION("""COMPUTED_VALUE"""),149.0)</f>
        <v>149</v>
      </c>
      <c r="F120" s="4">
        <f>IFERROR(__xludf.DUMMYFUNCTION("""COMPUTED_VALUE"""),573.0)</f>
        <v>573</v>
      </c>
      <c r="G120" s="4">
        <f>IFERROR(__xludf.DUMMYFUNCTION("""COMPUTED_VALUE"""),722.0)</f>
        <v>722</v>
      </c>
      <c r="H120" s="4">
        <f>IFERROR(__xludf.DUMMYFUNCTION("""COMPUTED_VALUE"""),2.13)</f>
        <v>2.13</v>
      </c>
      <c r="I120" s="4">
        <f>IFERROR(__xludf.DUMMYFUNCTION("""COMPUTED_VALUE"""),8.49)</f>
        <v>8.49</v>
      </c>
      <c r="J120" s="4">
        <f>IFERROR(__xludf.DUMMYFUNCTION("""COMPUTED_VALUE"""),4.86)</f>
        <v>4.86</v>
      </c>
      <c r="K120" s="8">
        <f>IFERROR(__xludf.DUMMYFUNCTION("""COMPUTED_VALUE"""),-0.0122)</f>
        <v>-0.0122</v>
      </c>
    </row>
    <row r="121" ht="15.75" customHeight="1">
      <c r="C121" s="4" t="str">
        <f>IFERROR(__xludf.DUMMYFUNCTION("""COMPUTED_VALUE"""),"México [+]")</f>
        <v>México [+]</v>
      </c>
      <c r="D121" s="4">
        <f>IFERROR(__xludf.DUMMYFUNCTION("""COMPUTED_VALUE"""),2008.0)</f>
        <v>2008</v>
      </c>
      <c r="E121" s="4">
        <f>IFERROR(__xludf.DUMMYFUNCTION("""COMPUTED_VALUE"""),861.0)</f>
        <v>861</v>
      </c>
      <c r="F121" s="9">
        <f>IFERROR(__xludf.DUMMYFUNCTION("""COMPUTED_VALUE"""),3807.0)</f>
        <v>3807</v>
      </c>
      <c r="G121" s="9">
        <f>IFERROR(__xludf.DUMMYFUNCTION("""COMPUTED_VALUE"""),4681.0)</f>
        <v>4681</v>
      </c>
      <c r="H121" s="4">
        <f>IFERROR(__xludf.DUMMYFUNCTION("""COMPUTED_VALUE"""),1.5)</f>
        <v>1.5</v>
      </c>
      <c r="I121" s="4">
        <f>IFERROR(__xludf.DUMMYFUNCTION("""COMPUTED_VALUE"""),7.0)</f>
        <v>7</v>
      </c>
      <c r="J121" s="4">
        <f>IFERROR(__xludf.DUMMYFUNCTION("""COMPUTED_VALUE"""),4.2)</f>
        <v>4.2</v>
      </c>
      <c r="K121" s="8">
        <f>IFERROR(__xludf.DUMMYFUNCTION("""COMPUTED_VALUE"""),0.05)</f>
        <v>0.05</v>
      </c>
    </row>
    <row r="122" ht="15.75" customHeight="1">
      <c r="C122" s="4" t="str">
        <f>IFERROR(__xludf.DUMMYFUNCTION("""COMPUTED_VALUE"""),"Malasia [+]")</f>
        <v>Malasia [+]</v>
      </c>
      <c r="D122" s="4">
        <f>IFERROR(__xludf.DUMMYFUNCTION("""COMPUTED_VALUE"""),2008.0)</f>
        <v>2008</v>
      </c>
      <c r="E122" s="4">
        <f>IFERROR(__xludf.DUMMYFUNCTION("""COMPUTED_VALUE"""),396.0)</f>
        <v>396</v>
      </c>
      <c r="F122" s="9">
        <f>IFERROR(__xludf.DUMMYFUNCTION("""COMPUTED_VALUE"""),1048.0)</f>
        <v>1048</v>
      </c>
      <c r="G122" s="9">
        <f>IFERROR(__xludf.DUMMYFUNCTION("""COMPUTED_VALUE"""),1444.0)</f>
        <v>1444</v>
      </c>
      <c r="H122" s="4">
        <f>IFERROR(__xludf.DUMMYFUNCTION("""COMPUTED_VALUE"""),3.0)</f>
        <v>3</v>
      </c>
      <c r="I122" s="4">
        <f>IFERROR(__xludf.DUMMYFUNCTION("""COMPUTED_VALUE"""),7.47)</f>
        <v>7.47</v>
      </c>
      <c r="J122" s="4">
        <f>IFERROR(__xludf.DUMMYFUNCTION("""COMPUTED_VALUE"""),5.23)</f>
        <v>5.23</v>
      </c>
      <c r="K122" s="4">
        <f>IFERROR(__xludf.DUMMYFUNCTION("""COMPUTED_VALUE"""),0.0)</f>
        <v>0</v>
      </c>
    </row>
    <row r="123" ht="15.75" customHeight="1">
      <c r="C123" s="4" t="str">
        <f>IFERROR(__xludf.DUMMYFUNCTION("""COMPUTED_VALUE"""),"Mozambique [+]")</f>
        <v>Mozambique [+]</v>
      </c>
      <c r="D123" s="4">
        <f>IFERROR(__xludf.DUMMYFUNCTION("""COMPUTED_VALUE"""),2008.0)</f>
        <v>2008</v>
      </c>
      <c r="E123" s="4">
        <f>IFERROR(__xludf.DUMMYFUNCTION("""COMPUTED_VALUE"""),537.0)</f>
        <v>537</v>
      </c>
      <c r="F123" s="9">
        <f>IFERROR(__xludf.DUMMYFUNCTION("""COMPUTED_VALUE"""),1491.0)</f>
        <v>1491</v>
      </c>
      <c r="G123" s="9">
        <f>IFERROR(__xludf.DUMMYFUNCTION("""COMPUTED_VALUE"""),2027.0)</f>
        <v>2027</v>
      </c>
      <c r="H123" s="4">
        <f>IFERROR(__xludf.DUMMYFUNCTION("""COMPUTED_VALUE"""),4.65)</f>
        <v>4.65</v>
      </c>
      <c r="I123" s="4">
        <f>IFERROR(__xludf.DUMMYFUNCTION("""COMPUTED_VALUE"""),13.89)</f>
        <v>13.89</v>
      </c>
      <c r="J123" s="4">
        <f>IFERROR(__xludf.DUMMYFUNCTION("""COMPUTED_VALUE"""),9.1)</f>
        <v>9.1</v>
      </c>
      <c r="K123" s="8">
        <f>IFERROR(__xludf.DUMMYFUNCTION("""COMPUTED_VALUE"""),0.0353)</f>
        <v>0.0353</v>
      </c>
    </row>
    <row r="124" ht="15.75" customHeight="1">
      <c r="C124" s="4" t="str">
        <f>IFERROR(__xludf.DUMMYFUNCTION("""COMPUTED_VALUE"""),"Namibia [+]")</f>
        <v>Namibia [+]</v>
      </c>
      <c r="D124" s="4">
        <f>IFERROR(__xludf.DUMMYFUNCTION("""COMPUTED_VALUE"""),2008.0)</f>
        <v>2008</v>
      </c>
      <c r="E124" s="4">
        <f>IFERROR(__xludf.DUMMYFUNCTION("""COMPUTED_VALUE"""),43.0)</f>
        <v>43</v>
      </c>
      <c r="F124" s="4">
        <f>IFERROR(__xludf.DUMMYFUNCTION("""COMPUTED_VALUE"""),140.0)</f>
        <v>140</v>
      </c>
      <c r="G124" s="4">
        <f>IFERROR(__xludf.DUMMYFUNCTION("""COMPUTED_VALUE"""),182.0)</f>
        <v>182</v>
      </c>
      <c r="H124" s="4">
        <f>IFERROR(__xludf.DUMMYFUNCTION("""COMPUTED_VALUE"""),4.04)</f>
        <v>4.04</v>
      </c>
      <c r="I124" s="4">
        <f>IFERROR(__xludf.DUMMYFUNCTION("""COMPUTED_VALUE"""),14.14)</f>
        <v>14.14</v>
      </c>
      <c r="J124" s="4">
        <f>IFERROR(__xludf.DUMMYFUNCTION("""COMPUTED_VALUE"""),9.0)</f>
        <v>9</v>
      </c>
      <c r="K124" s="8">
        <f>IFERROR(__xludf.DUMMYFUNCTION("""COMPUTED_VALUE"""),-0.0077)</f>
        <v>-0.0077</v>
      </c>
    </row>
    <row r="125" ht="15.75" customHeight="1">
      <c r="C125" s="4" t="str">
        <f>IFERROR(__xludf.DUMMYFUNCTION("""COMPUTED_VALUE"""),"Níger [+]")</f>
        <v>Níger [+]</v>
      </c>
      <c r="D125" s="4">
        <f>IFERROR(__xludf.DUMMYFUNCTION("""COMPUTED_VALUE"""),2008.0)</f>
        <v>2008</v>
      </c>
      <c r="E125" s="4">
        <f>IFERROR(__xludf.DUMMYFUNCTION("""COMPUTED_VALUE"""),267.0)</f>
        <v>267</v>
      </c>
      <c r="F125" s="4">
        <f>IFERROR(__xludf.DUMMYFUNCTION("""COMPUTED_VALUE"""),479.0)</f>
        <v>479</v>
      </c>
      <c r="G125" s="4">
        <f>IFERROR(__xludf.DUMMYFUNCTION("""COMPUTED_VALUE"""),746.0)</f>
        <v>746</v>
      </c>
      <c r="H125" s="4">
        <f>IFERROR(__xludf.DUMMYFUNCTION("""COMPUTED_VALUE"""),3.5)</f>
        <v>3.5</v>
      </c>
      <c r="I125" s="4">
        <f>IFERROR(__xludf.DUMMYFUNCTION("""COMPUTED_VALUE"""),6.29)</f>
        <v>6.29</v>
      </c>
      <c r="J125" s="4">
        <f>IFERROR(__xludf.DUMMYFUNCTION("""COMPUTED_VALUE"""),4.89)</f>
        <v>4.89</v>
      </c>
      <c r="K125" s="8">
        <f>IFERROR(__xludf.DUMMYFUNCTION("""COMPUTED_VALUE"""),-0.002)</f>
        <v>-0.002</v>
      </c>
    </row>
    <row r="126" ht="15.75" customHeight="1">
      <c r="C126" s="4" t="str">
        <f>IFERROR(__xludf.DUMMYFUNCTION("""COMPUTED_VALUE"""),"Nigeria [+]")</f>
        <v>Nigeria [+]</v>
      </c>
      <c r="D126" s="4">
        <f>IFERROR(__xludf.DUMMYFUNCTION("""COMPUTED_VALUE"""),2008.0)</f>
        <v>2008</v>
      </c>
      <c r="E126" s="9">
        <f>IFERROR(__xludf.DUMMYFUNCTION("""COMPUTED_VALUE"""),4139.0)</f>
        <v>4139</v>
      </c>
      <c r="F126" s="9">
        <f>IFERROR(__xludf.DUMMYFUNCTION("""COMPUTED_VALUE"""),10423.0)</f>
        <v>10423</v>
      </c>
      <c r="G126" s="9">
        <f>IFERROR(__xludf.DUMMYFUNCTION("""COMPUTED_VALUE"""),14562.0)</f>
        <v>14562</v>
      </c>
      <c r="H126" s="4">
        <f>IFERROR(__xludf.DUMMYFUNCTION("""COMPUTED_VALUE"""),5.57)</f>
        <v>5.57</v>
      </c>
      <c r="I126" s="4">
        <f>IFERROR(__xludf.DUMMYFUNCTION("""COMPUTED_VALUE"""),13.72)</f>
        <v>13.72</v>
      </c>
      <c r="J126" s="4">
        <f>IFERROR(__xludf.DUMMYFUNCTION("""COMPUTED_VALUE"""),9.69)</f>
        <v>9.69</v>
      </c>
      <c r="K126" s="8">
        <f>IFERROR(__xludf.DUMMYFUNCTION("""COMPUTED_VALUE"""),0.0062)</f>
        <v>0.0062</v>
      </c>
    </row>
    <row r="127" ht="15.75" customHeight="1">
      <c r="C127" s="4" t="str">
        <f>IFERROR(__xludf.DUMMYFUNCTION("""COMPUTED_VALUE"""),"Nicaragua [+]")</f>
        <v>Nicaragua [+]</v>
      </c>
      <c r="D127" s="4">
        <f>IFERROR(__xludf.DUMMYFUNCTION("""COMPUTED_VALUE"""),2008.0)</f>
        <v>2008</v>
      </c>
      <c r="E127" s="4">
        <f>IFERROR(__xludf.DUMMYFUNCTION("""COMPUTED_VALUE"""),164.0)</f>
        <v>164</v>
      </c>
      <c r="F127" s="4">
        <f>IFERROR(__xludf.DUMMYFUNCTION("""COMPUTED_VALUE"""),571.0)</f>
        <v>571</v>
      </c>
      <c r="G127" s="4">
        <f>IFERROR(__xludf.DUMMYFUNCTION("""COMPUTED_VALUE"""),735.0)</f>
        <v>735</v>
      </c>
      <c r="H127" s="4">
        <f>IFERROR(__xludf.DUMMYFUNCTION("""COMPUTED_VALUE"""),5.7)</f>
        <v>5.7</v>
      </c>
      <c r="I127" s="4">
        <f>IFERROR(__xludf.DUMMYFUNCTION("""COMPUTED_VALUE"""),20.46)</f>
        <v>20.46</v>
      </c>
      <c r="J127" s="4">
        <f>IFERROR(__xludf.DUMMYFUNCTION("""COMPUTED_VALUE"""),12.97)</f>
        <v>12.97</v>
      </c>
      <c r="K127" s="8">
        <f>IFERROR(__xludf.DUMMYFUNCTION("""COMPUTED_VALUE"""),0.0945)</f>
        <v>0.0945</v>
      </c>
    </row>
    <row r="128" ht="15.75" customHeight="1">
      <c r="C128" s="4" t="str">
        <f>IFERROR(__xludf.DUMMYFUNCTION("""COMPUTED_VALUE"""),"Países Bajos [+]")</f>
        <v>Países Bajos [+]</v>
      </c>
      <c r="D128" s="4">
        <f>IFERROR(__xludf.DUMMYFUNCTION("""COMPUTED_VALUE"""),2008.0)</f>
        <v>2008</v>
      </c>
      <c r="E128" s="4">
        <f>IFERROR(__xludf.DUMMYFUNCTION("""COMPUTED_VALUE"""),448.0)</f>
        <v>448</v>
      </c>
      <c r="F128" s="4">
        <f>IFERROR(__xludf.DUMMYFUNCTION("""COMPUTED_VALUE"""),991.0)</f>
        <v>991</v>
      </c>
      <c r="G128" s="9">
        <f>IFERROR(__xludf.DUMMYFUNCTION("""COMPUTED_VALUE"""),1439.0)</f>
        <v>1439</v>
      </c>
      <c r="H128" s="4">
        <f>IFERROR(__xludf.DUMMYFUNCTION("""COMPUTED_VALUE"""),5.4)</f>
        <v>5.4</v>
      </c>
      <c r="I128" s="4">
        <f>IFERROR(__xludf.DUMMYFUNCTION("""COMPUTED_VALUE"""),12.2)</f>
        <v>12.2</v>
      </c>
      <c r="J128" s="4">
        <f>IFERROR(__xludf.DUMMYFUNCTION("""COMPUTED_VALUE"""),8.8)</f>
        <v>8.8</v>
      </c>
      <c r="K128" s="8">
        <f>IFERROR(__xludf.DUMMYFUNCTION("""COMPUTED_VALUE"""),0.0602)</f>
        <v>0.0602</v>
      </c>
    </row>
    <row r="129" ht="15.75" customHeight="1">
      <c r="C129" s="4" t="str">
        <f>IFERROR(__xludf.DUMMYFUNCTION("""COMPUTED_VALUE"""),"Noruega [+]")</f>
        <v>Noruega [+]</v>
      </c>
      <c r="D129" s="4">
        <f>IFERROR(__xludf.DUMMYFUNCTION("""COMPUTED_VALUE"""),2008.0)</f>
        <v>2008</v>
      </c>
      <c r="E129" s="4">
        <f>IFERROR(__xludf.DUMMYFUNCTION("""COMPUTED_VALUE"""),158.0)</f>
        <v>158</v>
      </c>
      <c r="F129" s="4">
        <f>IFERROR(__xludf.DUMMYFUNCTION("""COMPUTED_VALUE"""),347.0)</f>
        <v>347</v>
      </c>
      <c r="G129" s="4">
        <f>IFERROR(__xludf.DUMMYFUNCTION("""COMPUTED_VALUE"""),505.0)</f>
        <v>505</v>
      </c>
      <c r="H129" s="4">
        <f>IFERROR(__xludf.DUMMYFUNCTION("""COMPUTED_VALUE"""),6.6)</f>
        <v>6.6</v>
      </c>
      <c r="I129" s="4">
        <f>IFERROR(__xludf.DUMMYFUNCTION("""COMPUTED_VALUE"""),14.6)</f>
        <v>14.6</v>
      </c>
      <c r="J129" s="4">
        <f>IFERROR(__xludf.DUMMYFUNCTION("""COMPUTED_VALUE"""),10.6)</f>
        <v>10.6</v>
      </c>
      <c r="K129" s="8">
        <f>IFERROR(__xludf.DUMMYFUNCTION("""COMPUTED_VALUE"""),0.0291)</f>
        <v>0.0291</v>
      </c>
    </row>
    <row r="130" ht="15.75" customHeight="1">
      <c r="C130" s="4" t="str">
        <f>IFERROR(__xludf.DUMMYFUNCTION("""COMPUTED_VALUE"""),"Nepal [+]")</f>
        <v>Nepal [+]</v>
      </c>
      <c r="D130" s="4">
        <f>IFERROR(__xludf.DUMMYFUNCTION("""COMPUTED_VALUE"""),2008.0)</f>
        <v>2008</v>
      </c>
      <c r="E130" s="4">
        <f>IFERROR(__xludf.DUMMYFUNCTION("""COMPUTED_VALUE"""),872.0)</f>
        <v>872</v>
      </c>
      <c r="F130" s="4">
        <f>IFERROR(__xludf.DUMMYFUNCTION("""COMPUTED_VALUE"""),959.0)</f>
        <v>959</v>
      </c>
      <c r="G130" s="9">
        <f>IFERROR(__xludf.DUMMYFUNCTION("""COMPUTED_VALUE"""),1831.0)</f>
        <v>1831</v>
      </c>
      <c r="H130" s="4">
        <f>IFERROR(__xludf.DUMMYFUNCTION("""COMPUTED_VALUE"""),6.5)</f>
        <v>6.5</v>
      </c>
      <c r="I130" s="4">
        <f>IFERROR(__xludf.DUMMYFUNCTION("""COMPUTED_VALUE"""),7.23)</f>
        <v>7.23</v>
      </c>
      <c r="J130" s="4">
        <f>IFERROR(__xludf.DUMMYFUNCTION("""COMPUTED_VALUE"""),6.87)</f>
        <v>6.87</v>
      </c>
      <c r="K130" s="8">
        <f>IFERROR(__xludf.DUMMYFUNCTION("""COMPUTED_VALUE"""),-0.0269)</f>
        <v>-0.0269</v>
      </c>
    </row>
    <row r="131" ht="15.75" customHeight="1">
      <c r="C131" s="4" t="str">
        <f>IFERROR(__xludf.DUMMYFUNCTION("""COMPUTED_VALUE"""),"Nueva Zelanda [+]")</f>
        <v>Nueva Zelanda [+]</v>
      </c>
      <c r="D131" s="4">
        <f>IFERROR(__xludf.DUMMYFUNCTION("""COMPUTED_VALUE"""),2008.0)</f>
        <v>2008</v>
      </c>
      <c r="E131" s="4">
        <f>IFERROR(__xludf.DUMMYFUNCTION("""COMPUTED_VALUE"""),139.0)</f>
        <v>139</v>
      </c>
      <c r="F131" s="4">
        <f>IFERROR(__xludf.DUMMYFUNCTION("""COMPUTED_VALUE"""),381.0)</f>
        <v>381</v>
      </c>
      <c r="G131" s="4">
        <f>IFERROR(__xludf.DUMMYFUNCTION("""COMPUTED_VALUE"""),520.0)</f>
        <v>520</v>
      </c>
      <c r="H131" s="4">
        <f>IFERROR(__xludf.DUMMYFUNCTION("""COMPUTED_VALUE"""),6.4)</f>
        <v>6.4</v>
      </c>
      <c r="I131" s="4">
        <f>IFERROR(__xludf.DUMMYFUNCTION("""COMPUTED_VALUE"""),18.3)</f>
        <v>18.3</v>
      </c>
      <c r="J131" s="4">
        <f>IFERROR(__xludf.DUMMYFUNCTION("""COMPUTED_VALUE"""),12.2)</f>
        <v>12.2</v>
      </c>
      <c r="K131" s="8">
        <f>IFERROR(__xludf.DUMMYFUNCTION("""COMPUTED_VALUE"""),0.0427)</f>
        <v>0.0427</v>
      </c>
    </row>
    <row r="132" ht="15.75" customHeight="1">
      <c r="C132" s="4" t="str">
        <f>IFERROR(__xludf.DUMMYFUNCTION("""COMPUTED_VALUE"""),"Omán [+]")</f>
        <v>Omán [+]</v>
      </c>
      <c r="D132" s="4">
        <f>IFERROR(__xludf.DUMMYFUNCTION("""COMPUTED_VALUE"""),2008.0)</f>
        <v>2008</v>
      </c>
      <c r="E132" s="4">
        <f>IFERROR(__xludf.DUMMYFUNCTION("""COMPUTED_VALUE"""),11.0)</f>
        <v>11</v>
      </c>
      <c r="F132" s="4">
        <f>IFERROR(__xludf.DUMMYFUNCTION("""COMPUTED_VALUE"""),90.0)</f>
        <v>90</v>
      </c>
      <c r="G132" s="4">
        <f>IFERROR(__xludf.DUMMYFUNCTION("""COMPUTED_VALUE"""),101.0)</f>
        <v>101</v>
      </c>
      <c r="H132" s="4">
        <f>IFERROR(__xludf.DUMMYFUNCTION("""COMPUTED_VALUE"""),0.93)</f>
        <v>0.93</v>
      </c>
      <c r="I132" s="4">
        <f>IFERROR(__xludf.DUMMYFUNCTION("""COMPUTED_VALUE"""),5.62)</f>
        <v>5.62</v>
      </c>
      <c r="J132" s="4">
        <f>IFERROR(__xludf.DUMMYFUNCTION("""COMPUTED_VALUE"""),3.62)</f>
        <v>3.62</v>
      </c>
      <c r="K132" s="8">
        <f>IFERROR(__xludf.DUMMYFUNCTION("""COMPUTED_VALUE"""),-0.0243)</f>
        <v>-0.0243</v>
      </c>
    </row>
    <row r="133" ht="15.75" customHeight="1">
      <c r="C133" s="4" t="str">
        <f>IFERROR(__xludf.DUMMYFUNCTION("""COMPUTED_VALUE"""),"Panamá [+]")</f>
        <v>Panamá [+]</v>
      </c>
      <c r="D133" s="4">
        <f>IFERROR(__xludf.DUMMYFUNCTION("""COMPUTED_VALUE"""),2008.0)</f>
        <v>2008</v>
      </c>
      <c r="E133" s="4">
        <f>IFERROR(__xludf.DUMMYFUNCTION("""COMPUTED_VALUE"""),44.0)</f>
        <v>44</v>
      </c>
      <c r="F133" s="4">
        <f>IFERROR(__xludf.DUMMYFUNCTION("""COMPUTED_VALUE"""),227.0)</f>
        <v>227</v>
      </c>
      <c r="G133" s="4">
        <f>IFERROR(__xludf.DUMMYFUNCTION("""COMPUTED_VALUE"""),271.0)</f>
        <v>271</v>
      </c>
      <c r="H133" s="4">
        <f>IFERROR(__xludf.DUMMYFUNCTION("""COMPUTED_VALUE"""),2.54)</f>
        <v>2.54</v>
      </c>
      <c r="I133" s="4">
        <f>IFERROR(__xludf.DUMMYFUNCTION("""COMPUTED_VALUE"""),12.81)</f>
        <v>12.81</v>
      </c>
      <c r="J133" s="4">
        <f>IFERROR(__xludf.DUMMYFUNCTION("""COMPUTED_VALUE"""),7.66)</f>
        <v>7.66</v>
      </c>
      <c r="K133" s="8">
        <f>IFERROR(__xludf.DUMMYFUNCTION("""COMPUTED_VALUE"""),0.1006)</f>
        <v>0.1006</v>
      </c>
    </row>
    <row r="134" ht="15.75" customHeight="1">
      <c r="C134" s="4" t="str">
        <f>IFERROR(__xludf.DUMMYFUNCTION("""COMPUTED_VALUE"""),"Perú [+]")</f>
        <v>Perú [+]</v>
      </c>
      <c r="D134" s="4">
        <f>IFERROR(__xludf.DUMMYFUNCTION("""COMPUTED_VALUE"""),2008.0)</f>
        <v>2008</v>
      </c>
      <c r="E134" s="4">
        <f>IFERROR(__xludf.DUMMYFUNCTION("""COMPUTED_VALUE"""),130.0)</f>
        <v>130</v>
      </c>
      <c r="F134" s="4">
        <f>IFERROR(__xludf.DUMMYFUNCTION("""COMPUTED_VALUE"""),274.0)</f>
        <v>274</v>
      </c>
      <c r="G134" s="4">
        <f>IFERROR(__xludf.DUMMYFUNCTION("""COMPUTED_VALUE"""),404.0)</f>
        <v>404</v>
      </c>
      <c r="H134" s="4">
        <f>IFERROR(__xludf.DUMMYFUNCTION("""COMPUTED_VALUE"""),0.9)</f>
        <v>0.9</v>
      </c>
      <c r="I134" s="4">
        <f>IFERROR(__xludf.DUMMYFUNCTION("""COMPUTED_VALUE"""),1.9)</f>
        <v>1.9</v>
      </c>
      <c r="J134" s="4">
        <f>IFERROR(__xludf.DUMMYFUNCTION("""COMPUTED_VALUE"""),1.4)</f>
        <v>1.4</v>
      </c>
      <c r="K134" s="4">
        <f>IFERROR(__xludf.DUMMYFUNCTION("""COMPUTED_VALUE"""),0.0)</f>
        <v>0</v>
      </c>
    </row>
    <row r="135" ht="15.75" customHeight="1">
      <c r="C135" s="4" t="str">
        <f>IFERROR(__xludf.DUMMYFUNCTION("""COMPUTED_VALUE"""),"Papúa Nueva Guinea [+]")</f>
        <v>Papúa Nueva Guinea [+]</v>
      </c>
      <c r="D135" s="4">
        <f>IFERROR(__xludf.DUMMYFUNCTION("""COMPUTED_VALUE"""),2008.0)</f>
        <v>2008</v>
      </c>
      <c r="E135" s="4">
        <f>IFERROR(__xludf.DUMMYFUNCTION("""COMPUTED_VALUE"""),133.0)</f>
        <v>133</v>
      </c>
      <c r="F135" s="4">
        <f>IFERROR(__xludf.DUMMYFUNCTION("""COMPUTED_VALUE"""),428.0)</f>
        <v>428</v>
      </c>
      <c r="G135" s="4">
        <f>IFERROR(__xludf.DUMMYFUNCTION("""COMPUTED_VALUE"""),561.0)</f>
        <v>561</v>
      </c>
      <c r="H135" s="4">
        <f>IFERROR(__xludf.DUMMYFUNCTION("""COMPUTED_VALUE"""),3.88)</f>
        <v>3.88</v>
      </c>
      <c r="I135" s="4">
        <f>IFERROR(__xludf.DUMMYFUNCTION("""COMPUTED_VALUE"""),12.05)</f>
        <v>12.05</v>
      </c>
      <c r="J135" s="4">
        <f>IFERROR(__xludf.DUMMYFUNCTION("""COMPUTED_VALUE"""),9.05)</f>
        <v>9.05</v>
      </c>
      <c r="K135" s="8">
        <f>IFERROR(__xludf.DUMMYFUNCTION("""COMPUTED_VALUE"""),-0.0131)</f>
        <v>-0.0131</v>
      </c>
    </row>
    <row r="136" ht="15.75" customHeight="1">
      <c r="C136" s="4" t="str">
        <f>IFERROR(__xludf.DUMMYFUNCTION("""COMPUTED_VALUE"""),"Filipinas [+]")</f>
        <v>Filipinas [+]</v>
      </c>
      <c r="D136" s="4">
        <f>IFERROR(__xludf.DUMMYFUNCTION("""COMPUTED_VALUE"""),2008.0)</f>
        <v>2008</v>
      </c>
      <c r="E136" s="4">
        <f>IFERROR(__xludf.DUMMYFUNCTION("""COMPUTED_VALUE"""),635.0)</f>
        <v>635</v>
      </c>
      <c r="F136" s="9">
        <f>IFERROR(__xludf.DUMMYFUNCTION("""COMPUTED_VALUE"""),2152.0)</f>
        <v>2152</v>
      </c>
      <c r="G136" s="9">
        <f>IFERROR(__xludf.DUMMYFUNCTION("""COMPUTED_VALUE"""),2787.0)</f>
        <v>2787</v>
      </c>
      <c r="H136" s="4">
        <f>IFERROR(__xludf.DUMMYFUNCTION("""COMPUTED_VALUE"""),1.41)</f>
        <v>1.41</v>
      </c>
      <c r="I136" s="4">
        <f>IFERROR(__xludf.DUMMYFUNCTION("""COMPUTED_VALUE"""),4.7)</f>
        <v>4.7</v>
      </c>
      <c r="J136" s="4">
        <f>IFERROR(__xludf.DUMMYFUNCTION("""COMPUTED_VALUE"""),3.1)</f>
        <v>3.1</v>
      </c>
      <c r="K136" s="8">
        <f>IFERROR(__xludf.DUMMYFUNCTION("""COMPUTED_VALUE"""),0.0877)</f>
        <v>0.0877</v>
      </c>
    </row>
    <row r="137" ht="15.75" customHeight="1">
      <c r="C137" s="4" t="str">
        <f>IFERROR(__xludf.DUMMYFUNCTION("""COMPUTED_VALUE"""),"Pakistán [+]")</f>
        <v>Pakistán [+]</v>
      </c>
      <c r="D137" s="4">
        <f>IFERROR(__xludf.DUMMYFUNCTION("""COMPUTED_VALUE"""),2008.0)</f>
        <v>2008</v>
      </c>
      <c r="E137" s="9">
        <f>IFERROR(__xludf.DUMMYFUNCTION("""COMPUTED_VALUE"""),1714.0)</f>
        <v>1714</v>
      </c>
      <c r="F137" s="9">
        <f>IFERROR(__xludf.DUMMYFUNCTION("""COMPUTED_VALUE"""),1912.0)</f>
        <v>1912</v>
      </c>
      <c r="G137" s="9">
        <f>IFERROR(__xludf.DUMMYFUNCTION("""COMPUTED_VALUE"""),3626.0)</f>
        <v>3626</v>
      </c>
      <c r="H137" s="4">
        <f>IFERROR(__xludf.DUMMYFUNCTION("""COMPUTED_VALUE"""),2.06)</f>
        <v>2.06</v>
      </c>
      <c r="I137" s="4">
        <f>IFERROR(__xludf.DUMMYFUNCTION("""COMPUTED_VALUE"""),2.16)</f>
        <v>2.16</v>
      </c>
      <c r="J137" s="4">
        <f>IFERROR(__xludf.DUMMYFUNCTION("""COMPUTED_VALUE"""),2.13)</f>
        <v>2.13</v>
      </c>
      <c r="K137" s="8">
        <f>IFERROR(__xludf.DUMMYFUNCTION("""COMPUTED_VALUE"""),-0.0184)</f>
        <v>-0.0184</v>
      </c>
    </row>
    <row r="138" ht="15.75" customHeight="1">
      <c r="C138" s="4" t="str">
        <f>IFERROR(__xludf.DUMMYFUNCTION("""COMPUTED_VALUE"""),"Polonia [+]")</f>
        <v>Polonia [+]</v>
      </c>
      <c r="D138" s="4">
        <f>IFERROR(__xludf.DUMMYFUNCTION("""COMPUTED_VALUE"""),2008.0)</f>
        <v>2008</v>
      </c>
      <c r="E138" s="4">
        <f>IFERROR(__xludf.DUMMYFUNCTION("""COMPUTED_VALUE"""),812.0)</f>
        <v>812</v>
      </c>
      <c r="F138" s="9">
        <f>IFERROR(__xludf.DUMMYFUNCTION("""COMPUTED_VALUE"""),4870.0)</f>
        <v>4870</v>
      </c>
      <c r="G138" s="9">
        <f>IFERROR(__xludf.DUMMYFUNCTION("""COMPUTED_VALUE"""),5682.0)</f>
        <v>5682</v>
      </c>
      <c r="H138" s="4">
        <f>IFERROR(__xludf.DUMMYFUNCTION("""COMPUTED_VALUE"""),4.1)</f>
        <v>4.1</v>
      </c>
      <c r="I138" s="4">
        <f>IFERROR(__xludf.DUMMYFUNCTION("""COMPUTED_VALUE"""),26.4)</f>
        <v>26.4</v>
      </c>
      <c r="J138" s="4">
        <f>IFERROR(__xludf.DUMMYFUNCTION("""COMPUTED_VALUE"""),14.9)</f>
        <v>14.9</v>
      </c>
      <c r="K138" s="8">
        <f>IFERROR(__xludf.DUMMYFUNCTION("""COMPUTED_VALUE"""),0.0719)</f>
        <v>0.0719</v>
      </c>
    </row>
    <row r="139" ht="15.75" customHeight="1">
      <c r="C139" s="4" t="str">
        <f>IFERROR(__xludf.DUMMYFUNCTION("""COMPUTED_VALUE"""),"Paraguay [+]")</f>
        <v>Paraguay [+]</v>
      </c>
      <c r="D139" s="4">
        <f>IFERROR(__xludf.DUMMYFUNCTION("""COMPUTED_VALUE"""),2008.0)</f>
        <v>2008</v>
      </c>
      <c r="E139" s="4">
        <f>IFERROR(__xludf.DUMMYFUNCTION("""COMPUTED_VALUE"""),195.0)</f>
        <v>195</v>
      </c>
      <c r="F139" s="4">
        <f>IFERROR(__xludf.DUMMYFUNCTION("""COMPUTED_VALUE"""),406.0)</f>
        <v>406</v>
      </c>
      <c r="G139" s="4">
        <f>IFERROR(__xludf.DUMMYFUNCTION("""COMPUTED_VALUE"""),601.0)</f>
        <v>601</v>
      </c>
      <c r="H139" s="4">
        <f>IFERROR(__xludf.DUMMYFUNCTION("""COMPUTED_VALUE"""),6.52)</f>
        <v>6.52</v>
      </c>
      <c r="I139" s="4">
        <f>IFERROR(__xludf.DUMMYFUNCTION("""COMPUTED_VALUE"""),13.13)</f>
        <v>13.13</v>
      </c>
      <c r="J139" s="4">
        <f>IFERROR(__xludf.DUMMYFUNCTION("""COMPUTED_VALUE"""),9.9)</f>
        <v>9.9</v>
      </c>
      <c r="K139" s="8">
        <f>IFERROR(__xludf.DUMMYFUNCTION("""COMPUTED_VALUE"""),-0.073)</f>
        <v>-0.073</v>
      </c>
    </row>
    <row r="140" ht="15.75" customHeight="1">
      <c r="C140" s="4" t="str">
        <f>IFERROR(__xludf.DUMMYFUNCTION("""COMPUTED_VALUE"""),"Catar [+]")</f>
        <v>Catar [+]</v>
      </c>
      <c r="D140" s="4">
        <f>IFERROR(__xludf.DUMMYFUNCTION("""COMPUTED_VALUE"""),2008.0)</f>
        <v>2008</v>
      </c>
      <c r="E140" s="4">
        <f>IFERROR(__xludf.DUMMYFUNCTION("""COMPUTED_VALUE"""),3.0)</f>
        <v>3</v>
      </c>
      <c r="F140" s="4">
        <f>IFERROR(__xludf.DUMMYFUNCTION("""COMPUTED_VALUE"""),76.0)</f>
        <v>76</v>
      </c>
      <c r="G140" s="4">
        <f>IFERROR(__xludf.DUMMYFUNCTION("""COMPUTED_VALUE"""),80.0)</f>
        <v>80</v>
      </c>
      <c r="H140" s="4">
        <f>IFERROR(__xludf.DUMMYFUNCTION("""COMPUTED_VALUE"""),0.95)</f>
        <v>0.95</v>
      </c>
      <c r="I140" s="4">
        <f>IFERROR(__xludf.DUMMYFUNCTION("""COMPUTED_VALUE"""),7.13)</f>
        <v>7.13</v>
      </c>
      <c r="J140" s="4">
        <f>IFERROR(__xludf.DUMMYFUNCTION("""COMPUTED_VALUE"""),5.13)</f>
        <v>5.13</v>
      </c>
      <c r="K140" s="8">
        <f>IFERROR(__xludf.DUMMYFUNCTION("""COMPUTED_VALUE"""),-0.0465)</f>
        <v>-0.0465</v>
      </c>
    </row>
    <row r="141" ht="15.75" customHeight="1">
      <c r="C141" s="4" t="str">
        <f>IFERROR(__xludf.DUMMYFUNCTION("""COMPUTED_VALUE"""),"Rumanía [+]")</f>
        <v>Rumanía [+]</v>
      </c>
      <c r="D141" s="4">
        <f>IFERROR(__xludf.DUMMYFUNCTION("""COMPUTED_VALUE"""),2008.0)</f>
        <v>2008</v>
      </c>
      <c r="E141" s="4">
        <f>IFERROR(__xludf.DUMMYFUNCTION("""COMPUTED_VALUE"""),446.0)</f>
        <v>446</v>
      </c>
      <c r="F141" s="9">
        <f>IFERROR(__xludf.DUMMYFUNCTION("""COMPUTED_VALUE"""),2026.0)</f>
        <v>2026</v>
      </c>
      <c r="G141" s="9">
        <f>IFERROR(__xludf.DUMMYFUNCTION("""COMPUTED_VALUE"""),2472.0)</f>
        <v>2472</v>
      </c>
      <c r="H141" s="4">
        <f>IFERROR(__xludf.DUMMYFUNCTION("""COMPUTED_VALUE"""),4.2)</f>
        <v>4.2</v>
      </c>
      <c r="I141" s="4">
        <f>IFERROR(__xludf.DUMMYFUNCTION("""COMPUTED_VALUE"""),20.3)</f>
        <v>20.3</v>
      </c>
      <c r="J141" s="4">
        <f>IFERROR(__xludf.DUMMYFUNCTION("""COMPUTED_VALUE"""),12.0)</f>
        <v>12</v>
      </c>
      <c r="K141" s="8">
        <f>IFERROR(__xludf.DUMMYFUNCTION("""COMPUTED_VALUE"""),0.0345)</f>
        <v>0.0345</v>
      </c>
    </row>
    <row r="142" ht="15.75" customHeight="1">
      <c r="C142" s="4" t="str">
        <f>IFERROR(__xludf.DUMMYFUNCTION("""COMPUTED_VALUE"""),"Rusia [+]")</f>
        <v>Rusia [+]</v>
      </c>
      <c r="D142" s="4">
        <f>IFERROR(__xludf.DUMMYFUNCTION("""COMPUTED_VALUE"""),2008.0)</f>
        <v>2008</v>
      </c>
      <c r="E142" s="9">
        <f>IFERROR(__xludf.DUMMYFUNCTION("""COMPUTED_VALUE"""),6934.0)</f>
        <v>6934</v>
      </c>
      <c r="F142" s="9">
        <f>IFERROR(__xludf.DUMMYFUNCTION("""COMPUTED_VALUE"""),31472.0)</f>
        <v>31472</v>
      </c>
      <c r="G142" s="9">
        <f>IFERROR(__xludf.DUMMYFUNCTION("""COMPUTED_VALUE"""),38406.0)</f>
        <v>38406</v>
      </c>
      <c r="H142" s="4">
        <f>IFERROR(__xludf.DUMMYFUNCTION("""COMPUTED_VALUE"""),9.1)</f>
        <v>9.1</v>
      </c>
      <c r="I142" s="4">
        <f>IFERROR(__xludf.DUMMYFUNCTION("""COMPUTED_VALUE"""),47.9)</f>
        <v>47.9</v>
      </c>
      <c r="J142" s="4">
        <f>IFERROR(__xludf.DUMMYFUNCTION("""COMPUTED_VALUE"""),27.1)</f>
        <v>27.1</v>
      </c>
      <c r="K142" s="8">
        <f>IFERROR(__xludf.DUMMYFUNCTION("""COMPUTED_VALUE"""),-0.0687)</f>
        <v>-0.0687</v>
      </c>
    </row>
    <row r="143" ht="15.75" customHeight="1">
      <c r="C143" s="4" t="str">
        <f>IFERROR(__xludf.DUMMYFUNCTION("""COMPUTED_VALUE"""),"Ruanda [+]")</f>
        <v>Ruanda [+]</v>
      </c>
      <c r="D143" s="4">
        <f>IFERROR(__xludf.DUMMYFUNCTION("""COMPUTED_VALUE"""),2008.0)</f>
        <v>2008</v>
      </c>
      <c r="E143" s="4">
        <f>IFERROR(__xludf.DUMMYFUNCTION("""COMPUTED_VALUE"""),124.0)</f>
        <v>124</v>
      </c>
      <c r="F143" s="4">
        <f>IFERROR(__xludf.DUMMYFUNCTION("""COMPUTED_VALUE"""),823.0)</f>
        <v>823</v>
      </c>
      <c r="G143" s="4">
        <f>IFERROR(__xludf.DUMMYFUNCTION("""COMPUTED_VALUE"""),947.0)</f>
        <v>947</v>
      </c>
      <c r="H143" s="4">
        <f>IFERROR(__xludf.DUMMYFUNCTION("""COMPUTED_VALUE"""),2.55)</f>
        <v>2.55</v>
      </c>
      <c r="I143" s="4">
        <f>IFERROR(__xludf.DUMMYFUNCTION("""COMPUTED_VALUE"""),17.64)</f>
        <v>17.64</v>
      </c>
      <c r="J143" s="4">
        <f>IFERROR(__xludf.DUMMYFUNCTION("""COMPUTED_VALUE"""),9.97)</f>
        <v>9.97</v>
      </c>
      <c r="K143" s="8">
        <f>IFERROR(__xludf.DUMMYFUNCTION("""COMPUTED_VALUE"""),-0.0235)</f>
        <v>-0.0235</v>
      </c>
    </row>
    <row r="144" ht="15.75" customHeight="1">
      <c r="C144" s="4" t="str">
        <f>IFERROR(__xludf.DUMMYFUNCTION("""COMPUTED_VALUE"""),"Arabia Saudita [+]")</f>
        <v>Arabia Saudita [+]</v>
      </c>
      <c r="D144" s="4">
        <f>IFERROR(__xludf.DUMMYFUNCTION("""COMPUTED_VALUE"""),2008.0)</f>
        <v>2008</v>
      </c>
      <c r="E144" s="4">
        <f>IFERROR(__xludf.DUMMYFUNCTION("""COMPUTED_VALUE"""),208.0)</f>
        <v>208</v>
      </c>
      <c r="F144" s="4">
        <f>IFERROR(__xludf.DUMMYFUNCTION("""COMPUTED_VALUE"""),691.0)</f>
        <v>691</v>
      </c>
      <c r="G144" s="4">
        <f>IFERROR(__xludf.DUMMYFUNCTION("""COMPUTED_VALUE"""),898.0)</f>
        <v>898</v>
      </c>
      <c r="H144" s="4">
        <f>IFERROR(__xludf.DUMMYFUNCTION("""COMPUTED_VALUE"""),1.83)</f>
        <v>1.83</v>
      </c>
      <c r="I144" s="4">
        <f>IFERROR(__xludf.DUMMYFUNCTION("""COMPUTED_VALUE"""),4.76)</f>
        <v>4.76</v>
      </c>
      <c r="J144" s="4">
        <f>IFERROR(__xludf.DUMMYFUNCTION("""COMPUTED_VALUE"""),3.48)</f>
        <v>3.48</v>
      </c>
      <c r="K144" s="8">
        <f>IFERROR(__xludf.DUMMYFUNCTION("""COMPUTED_VALUE"""),0.0357)</f>
        <v>0.0357</v>
      </c>
    </row>
    <row r="145" ht="15.75" customHeight="1">
      <c r="C145" s="4" t="str">
        <f>IFERROR(__xludf.DUMMYFUNCTION("""COMPUTED_VALUE"""),"Islas Salomón [+]")</f>
        <v>Islas Salomón [+]</v>
      </c>
      <c r="D145" s="4">
        <f>IFERROR(__xludf.DUMMYFUNCTION("""COMPUTED_VALUE"""),2008.0)</f>
        <v>2008</v>
      </c>
      <c r="E145" s="4">
        <f>IFERROR(__xludf.DUMMYFUNCTION("""COMPUTED_VALUE"""),13.0)</f>
        <v>13</v>
      </c>
      <c r="F145" s="4">
        <f>IFERROR(__xludf.DUMMYFUNCTION("""COMPUTED_VALUE"""),30.0)</f>
        <v>30</v>
      </c>
      <c r="G145" s="4">
        <f>IFERROR(__xludf.DUMMYFUNCTION("""COMPUTED_VALUE"""),43.0)</f>
        <v>43</v>
      </c>
      <c r="H145" s="4">
        <f>IFERROR(__xludf.DUMMYFUNCTION("""COMPUTED_VALUE"""),5.11)</f>
        <v>5.11</v>
      </c>
      <c r="I145" s="4">
        <f>IFERROR(__xludf.DUMMYFUNCTION("""COMPUTED_VALUE"""),11.88)</f>
        <v>11.88</v>
      </c>
      <c r="J145" s="4">
        <f>IFERROR(__xludf.DUMMYFUNCTION("""COMPUTED_VALUE"""),8.56)</f>
        <v>8.56</v>
      </c>
      <c r="K145" s="8">
        <f>IFERROR(__xludf.DUMMYFUNCTION("""COMPUTED_VALUE"""),0.0118)</f>
        <v>0.0118</v>
      </c>
    </row>
    <row r="146" ht="15.75" customHeight="1">
      <c r="C146" s="4" t="str">
        <f>IFERROR(__xludf.DUMMYFUNCTION("""COMPUTED_VALUE"""),"Seychelles [+]")</f>
        <v>Seychelles [+]</v>
      </c>
      <c r="D146" s="4">
        <f>IFERROR(__xludf.DUMMYFUNCTION("""COMPUTED_VALUE"""),2008.0)</f>
        <v>2008</v>
      </c>
      <c r="E146" s="4">
        <f>IFERROR(__xludf.DUMMYFUNCTION("""COMPUTED_VALUE"""),1.0)</f>
        <v>1</v>
      </c>
      <c r="F146" s="4">
        <f>IFERROR(__xludf.DUMMYFUNCTION("""COMPUTED_VALUE"""),8.0)</f>
        <v>8</v>
      </c>
      <c r="G146" s="4">
        <f>IFERROR(__xludf.DUMMYFUNCTION("""COMPUTED_VALUE"""),9.0)</f>
        <v>9</v>
      </c>
      <c r="H146" s="4">
        <f>IFERROR(__xludf.DUMMYFUNCTION("""COMPUTED_VALUE"""),2.29)</f>
        <v>2.29</v>
      </c>
      <c r="I146" s="4">
        <f>IFERROR(__xludf.DUMMYFUNCTION("""COMPUTED_VALUE"""),18.17)</f>
        <v>18.17</v>
      </c>
      <c r="J146" s="4">
        <f>IFERROR(__xludf.DUMMYFUNCTION("""COMPUTED_VALUE"""),10.38)</f>
        <v>10.38</v>
      </c>
      <c r="K146" s="8">
        <f>IFERROR(__xludf.DUMMYFUNCTION("""COMPUTED_VALUE"""),0.0339)</f>
        <v>0.0339</v>
      </c>
    </row>
    <row r="147" ht="15.75" customHeight="1">
      <c r="C147" s="4" t="str">
        <f>IFERROR(__xludf.DUMMYFUNCTION("""COMPUTED_VALUE"""),"Sudán [+]")</f>
        <v>Sudán [+]</v>
      </c>
      <c r="D147" s="4">
        <f>IFERROR(__xludf.DUMMYFUNCTION("""COMPUTED_VALUE"""),2008.0)</f>
        <v>2008</v>
      </c>
      <c r="E147" s="9">
        <f>IFERROR(__xludf.DUMMYFUNCTION("""COMPUTED_VALUE"""),1055.0)</f>
        <v>1055</v>
      </c>
      <c r="F147" s="9">
        <f>IFERROR(__xludf.DUMMYFUNCTION("""COMPUTED_VALUE"""),2743.0)</f>
        <v>2743</v>
      </c>
      <c r="G147" s="9">
        <f>IFERROR(__xludf.DUMMYFUNCTION("""COMPUTED_VALUE"""),3798.0)</f>
        <v>3798</v>
      </c>
      <c r="H147" s="4">
        <f>IFERROR(__xludf.DUMMYFUNCTION("""COMPUTED_VALUE"""),6.38)</f>
        <v>6.38</v>
      </c>
      <c r="I147" s="4">
        <f>IFERROR(__xludf.DUMMYFUNCTION("""COMPUTED_VALUE"""),16.6)</f>
        <v>16.6</v>
      </c>
      <c r="J147" s="4">
        <f>IFERROR(__xludf.DUMMYFUNCTION("""COMPUTED_VALUE"""),9.96)</f>
        <v>9.96</v>
      </c>
      <c r="K147" s="8">
        <f>IFERROR(__xludf.DUMMYFUNCTION("""COMPUTED_VALUE"""),-0.0129)</f>
        <v>-0.0129</v>
      </c>
    </row>
    <row r="148" ht="15.75" customHeight="1">
      <c r="C148" s="4" t="str">
        <f>IFERROR(__xludf.DUMMYFUNCTION("""COMPUTED_VALUE"""),"Suecia [+]")</f>
        <v>Suecia [+]</v>
      </c>
      <c r="D148" s="4">
        <f>IFERROR(__xludf.DUMMYFUNCTION("""COMPUTED_VALUE"""),2008.0)</f>
        <v>2008</v>
      </c>
      <c r="E148" s="4">
        <f>IFERROR(__xludf.DUMMYFUNCTION("""COMPUTED_VALUE"""),315.0)</f>
        <v>315</v>
      </c>
      <c r="F148" s="4">
        <f>IFERROR(__xludf.DUMMYFUNCTION("""COMPUTED_VALUE"""),855.0)</f>
        <v>855</v>
      </c>
      <c r="G148" s="9">
        <f>IFERROR(__xludf.DUMMYFUNCTION("""COMPUTED_VALUE"""),1170.0)</f>
        <v>1170</v>
      </c>
      <c r="H148" s="4">
        <f>IFERROR(__xludf.DUMMYFUNCTION("""COMPUTED_VALUE"""),6.8)</f>
        <v>6.8</v>
      </c>
      <c r="I148" s="4">
        <f>IFERROR(__xludf.DUMMYFUNCTION("""COMPUTED_VALUE"""),18.7)</f>
        <v>18.7</v>
      </c>
      <c r="J148" s="4">
        <f>IFERROR(__xludf.DUMMYFUNCTION("""COMPUTED_VALUE"""),12.7)</f>
        <v>12.7</v>
      </c>
      <c r="K148" s="8">
        <f>IFERROR(__xludf.DUMMYFUNCTION("""COMPUTED_VALUE"""),0.0325)</f>
        <v>0.0325</v>
      </c>
    </row>
    <row r="149" ht="15.75" customHeight="1">
      <c r="C149" s="4" t="str">
        <f>IFERROR(__xludf.DUMMYFUNCTION("""COMPUTED_VALUE"""),"Singapur [+]")</f>
        <v>Singapur [+]</v>
      </c>
      <c r="D149" s="4">
        <f>IFERROR(__xludf.DUMMYFUNCTION("""COMPUTED_VALUE"""),2008.0)</f>
        <v>2008</v>
      </c>
      <c r="E149" s="4">
        <f>IFERROR(__xludf.DUMMYFUNCTION("""COMPUTED_VALUE"""),161.0)</f>
        <v>161</v>
      </c>
      <c r="F149" s="4">
        <f>IFERROR(__xludf.DUMMYFUNCTION("""COMPUTED_VALUE"""),319.0)</f>
        <v>319</v>
      </c>
      <c r="G149" s="4">
        <f>IFERROR(__xludf.DUMMYFUNCTION("""COMPUTED_VALUE"""),480.0)</f>
        <v>480</v>
      </c>
      <c r="H149" s="4">
        <f>IFERROR(__xludf.DUMMYFUNCTION("""COMPUTED_VALUE"""),6.86)</f>
        <v>6.86</v>
      </c>
      <c r="I149" s="4">
        <f>IFERROR(__xludf.DUMMYFUNCTION("""COMPUTED_VALUE"""),12.8)</f>
        <v>12.8</v>
      </c>
      <c r="J149" s="4">
        <f>IFERROR(__xludf.DUMMYFUNCTION("""COMPUTED_VALUE"""),9.92)</f>
        <v>9.92</v>
      </c>
      <c r="K149" s="8">
        <f>IFERROR(__xludf.DUMMYFUNCTION("""COMPUTED_VALUE"""),-0.065)</f>
        <v>-0.065</v>
      </c>
    </row>
    <row r="150" ht="15.75" customHeight="1">
      <c r="C150" s="4" t="str">
        <f>IFERROR(__xludf.DUMMYFUNCTION("""COMPUTED_VALUE"""),"Eslovenia [+]")</f>
        <v>Eslovenia [+]</v>
      </c>
      <c r="D150" s="4">
        <f>IFERROR(__xludf.DUMMYFUNCTION("""COMPUTED_VALUE"""),2008.0)</f>
        <v>2008</v>
      </c>
      <c r="E150" s="4">
        <f>IFERROR(__xludf.DUMMYFUNCTION("""COMPUTED_VALUE"""),84.0)</f>
        <v>84</v>
      </c>
      <c r="F150" s="4">
        <f>IFERROR(__xludf.DUMMYFUNCTION("""COMPUTED_VALUE"""),324.0)</f>
        <v>324</v>
      </c>
      <c r="G150" s="4">
        <f>IFERROR(__xludf.DUMMYFUNCTION("""COMPUTED_VALUE"""),408.0)</f>
        <v>408</v>
      </c>
      <c r="H150" s="4">
        <f>IFERROR(__xludf.DUMMYFUNCTION("""COMPUTED_VALUE"""),8.2)</f>
        <v>8.2</v>
      </c>
      <c r="I150" s="4">
        <f>IFERROR(__xludf.DUMMYFUNCTION("""COMPUTED_VALUE"""),32.6)</f>
        <v>32.6</v>
      </c>
      <c r="J150" s="4">
        <f>IFERROR(__xludf.DUMMYFUNCTION("""COMPUTED_VALUE"""),20.2)</f>
        <v>20.2</v>
      </c>
      <c r="K150" s="8">
        <f>IFERROR(__xludf.DUMMYFUNCTION("""COMPUTED_VALUE"""),-0.0648)</f>
        <v>-0.0648</v>
      </c>
    </row>
    <row r="151" ht="15.75" customHeight="1">
      <c r="C151" s="4" t="str">
        <f>IFERROR(__xludf.DUMMYFUNCTION("""COMPUTED_VALUE"""),"Eslovaquia [+]")</f>
        <v>Eslovaquia [+]</v>
      </c>
      <c r="D151" s="4">
        <f>IFERROR(__xludf.DUMMYFUNCTION("""COMPUTED_VALUE"""),2008.0)</f>
        <v>2008</v>
      </c>
      <c r="E151" s="4">
        <f>IFERROR(__xludf.DUMMYFUNCTION("""COMPUTED_VALUE"""),83.0)</f>
        <v>83</v>
      </c>
      <c r="F151" s="4">
        <f>IFERROR(__xludf.DUMMYFUNCTION("""COMPUTED_VALUE"""),508.0)</f>
        <v>508</v>
      </c>
      <c r="G151" s="4">
        <f>IFERROR(__xludf.DUMMYFUNCTION("""COMPUTED_VALUE"""),591.0)</f>
        <v>591</v>
      </c>
      <c r="H151" s="4">
        <f>IFERROR(__xludf.DUMMYFUNCTION("""COMPUTED_VALUE"""),3.0)</f>
        <v>3</v>
      </c>
      <c r="I151" s="4">
        <f>IFERROR(__xludf.DUMMYFUNCTION("""COMPUTED_VALUE"""),19.4)</f>
        <v>19.4</v>
      </c>
      <c r="J151" s="4">
        <f>IFERROR(__xludf.DUMMYFUNCTION("""COMPUTED_VALUE"""),11.0)</f>
        <v>11</v>
      </c>
      <c r="K151" s="8">
        <f>IFERROR(__xludf.DUMMYFUNCTION("""COMPUTED_VALUE"""),0.1702)</f>
        <v>0.1702</v>
      </c>
    </row>
    <row r="152" ht="15.75" customHeight="1">
      <c r="C152" s="4" t="str">
        <f>IFERROR(__xludf.DUMMYFUNCTION("""COMPUTED_VALUE"""),"Sierra Leona [+]")</f>
        <v>Sierra Leona [+]</v>
      </c>
      <c r="D152" s="4">
        <f>IFERROR(__xludf.DUMMYFUNCTION("""COMPUTED_VALUE"""),2008.0)</f>
        <v>2008</v>
      </c>
      <c r="E152" s="4">
        <f>IFERROR(__xludf.DUMMYFUNCTION("""COMPUTED_VALUE"""),247.0)</f>
        <v>247</v>
      </c>
      <c r="F152" s="4">
        <f>IFERROR(__xludf.DUMMYFUNCTION("""COMPUTED_VALUE"""),551.0)</f>
        <v>551</v>
      </c>
      <c r="G152" s="4">
        <f>IFERROR(__xludf.DUMMYFUNCTION("""COMPUTED_VALUE"""),798.0)</f>
        <v>798</v>
      </c>
      <c r="H152" s="4">
        <f>IFERROR(__xludf.DUMMYFUNCTION("""COMPUTED_VALUE"""),8.02)</f>
        <v>8.02</v>
      </c>
      <c r="I152" s="4">
        <f>IFERROR(__xludf.DUMMYFUNCTION("""COMPUTED_VALUE"""),18.05)</f>
        <v>18.05</v>
      </c>
      <c r="J152" s="4">
        <f>IFERROR(__xludf.DUMMYFUNCTION("""COMPUTED_VALUE"""),13.01)</f>
        <v>13.01</v>
      </c>
      <c r="K152" s="8">
        <f>IFERROR(__xludf.DUMMYFUNCTION("""COMPUTED_VALUE"""),0.0132)</f>
        <v>0.0132</v>
      </c>
    </row>
    <row r="153" ht="15.75" customHeight="1">
      <c r="C153" s="4" t="str">
        <f>IFERROR(__xludf.DUMMYFUNCTION("""COMPUTED_VALUE"""),"Senegal [+]")</f>
        <v>Senegal [+]</v>
      </c>
      <c r="D153" s="4">
        <f>IFERROR(__xludf.DUMMYFUNCTION("""COMPUTED_VALUE"""),2008.0)</f>
        <v>2008</v>
      </c>
      <c r="E153" s="4">
        <f>IFERROR(__xludf.DUMMYFUNCTION("""COMPUTED_VALUE"""),274.0)</f>
        <v>274</v>
      </c>
      <c r="F153" s="4">
        <f>IFERROR(__xludf.DUMMYFUNCTION("""COMPUTED_VALUE"""),657.0)</f>
        <v>657</v>
      </c>
      <c r="G153" s="4">
        <f>IFERROR(__xludf.DUMMYFUNCTION("""COMPUTED_VALUE"""),932.0)</f>
        <v>932</v>
      </c>
      <c r="H153" s="4">
        <f>IFERROR(__xludf.DUMMYFUNCTION("""COMPUTED_VALUE"""),4.46)</f>
        <v>4.46</v>
      </c>
      <c r="I153" s="4">
        <f>IFERROR(__xludf.DUMMYFUNCTION("""COMPUTED_VALUE"""),11.23)</f>
        <v>11.23</v>
      </c>
      <c r="J153" s="4">
        <f>IFERROR(__xludf.DUMMYFUNCTION("""COMPUTED_VALUE"""),7.76)</f>
        <v>7.76</v>
      </c>
      <c r="K153" s="8">
        <f>IFERROR(__xludf.DUMMYFUNCTION("""COMPUTED_VALUE"""),0.017)</f>
        <v>0.017</v>
      </c>
    </row>
    <row r="154" ht="15.75" customHeight="1">
      <c r="C154" s="4" t="str">
        <f>IFERROR(__xludf.DUMMYFUNCTION("""COMPUTED_VALUE"""),"Somalia [+]")</f>
        <v>Somalia [+]</v>
      </c>
      <c r="D154" s="4">
        <f>IFERROR(__xludf.DUMMYFUNCTION("""COMPUTED_VALUE"""),2008.0)</f>
        <v>2008</v>
      </c>
      <c r="E154" s="4">
        <f>IFERROR(__xludf.DUMMYFUNCTION("""COMPUTED_VALUE"""),138.0)</f>
        <v>138</v>
      </c>
      <c r="F154" s="4">
        <f>IFERROR(__xludf.DUMMYFUNCTION("""COMPUTED_VALUE"""),343.0)</f>
        <v>343</v>
      </c>
      <c r="G154" s="4">
        <f>IFERROR(__xludf.DUMMYFUNCTION("""COMPUTED_VALUE"""),480.0)</f>
        <v>480</v>
      </c>
      <c r="H154" s="4">
        <f>IFERROR(__xludf.DUMMYFUNCTION("""COMPUTED_VALUE"""),2.42)</f>
        <v>2.42</v>
      </c>
      <c r="I154" s="4">
        <f>IFERROR(__xludf.DUMMYFUNCTION("""COMPUTED_VALUE"""),6.01)</f>
        <v>6.01</v>
      </c>
      <c r="J154" s="4">
        <f>IFERROR(__xludf.DUMMYFUNCTION("""COMPUTED_VALUE"""),4.22)</f>
        <v>4.22</v>
      </c>
      <c r="K154" s="8">
        <f>IFERROR(__xludf.DUMMYFUNCTION("""COMPUTED_VALUE"""),0.0144)</f>
        <v>0.0144</v>
      </c>
    </row>
    <row r="155" ht="15.75" customHeight="1">
      <c r="C155" s="4" t="str">
        <f>IFERROR(__xludf.DUMMYFUNCTION("""COMPUTED_VALUE"""),"Surinam [+]")</f>
        <v>Surinam [+]</v>
      </c>
      <c r="D155" s="4">
        <f>IFERROR(__xludf.DUMMYFUNCTION("""COMPUTED_VALUE"""),2008.0)</f>
        <v>2008</v>
      </c>
      <c r="E155" s="4">
        <f>IFERROR(__xludf.DUMMYFUNCTION("""COMPUTED_VALUE"""),31.0)</f>
        <v>31</v>
      </c>
      <c r="F155" s="4">
        <f>IFERROR(__xludf.DUMMYFUNCTION("""COMPUTED_VALUE"""),111.0)</f>
        <v>111</v>
      </c>
      <c r="G155" s="4">
        <f>IFERROR(__xludf.DUMMYFUNCTION("""COMPUTED_VALUE"""),142.0)</f>
        <v>142</v>
      </c>
      <c r="H155" s="4">
        <f>IFERROR(__xludf.DUMMYFUNCTION("""COMPUTED_VALUE"""),12.24)</f>
        <v>12.24</v>
      </c>
      <c r="I155" s="4">
        <f>IFERROR(__xludf.DUMMYFUNCTION("""COMPUTED_VALUE"""),42.6)</f>
        <v>42.6</v>
      </c>
      <c r="J155" s="4">
        <f>IFERROR(__xludf.DUMMYFUNCTION("""COMPUTED_VALUE"""),27.55)</f>
        <v>27.55</v>
      </c>
      <c r="K155" s="8">
        <f>IFERROR(__xludf.DUMMYFUNCTION("""COMPUTED_VALUE"""),0.0475)</f>
        <v>0.0475</v>
      </c>
    </row>
    <row r="156" ht="15.75" customHeight="1">
      <c r="C156" s="4" t="str">
        <f>IFERROR(__xludf.DUMMYFUNCTION("""COMPUTED_VALUE"""),"Sudán del Sur [+]")</f>
        <v>Sudán del Sur [+]</v>
      </c>
      <c r="D156" s="4">
        <f>IFERROR(__xludf.DUMMYFUNCTION("""COMPUTED_VALUE"""),2008.0)</f>
        <v>2008</v>
      </c>
      <c r="E156" s="4">
        <f>IFERROR(__xludf.DUMMYFUNCTION("""COMPUTED_VALUE"""),182.0)</f>
        <v>182</v>
      </c>
      <c r="F156" s="4">
        <f>IFERROR(__xludf.DUMMYFUNCTION("""COMPUTED_VALUE"""),465.0)</f>
        <v>465</v>
      </c>
      <c r="G156" s="4">
        <f>IFERROR(__xludf.DUMMYFUNCTION("""COMPUTED_VALUE"""),648.0)</f>
        <v>648</v>
      </c>
      <c r="H156" s="4">
        <f>IFERROR(__xludf.DUMMYFUNCTION("""COMPUTED_VALUE"""),4.17)</f>
        <v>4.17</v>
      </c>
      <c r="I156" s="4">
        <f>IFERROR(__xludf.DUMMYFUNCTION("""COMPUTED_VALUE"""),10.66)</f>
        <v>10.66</v>
      </c>
      <c r="J156" s="4">
        <f>IFERROR(__xludf.DUMMYFUNCTION("""COMPUTED_VALUE"""),7.41)</f>
        <v>7.41</v>
      </c>
      <c r="K156" s="8">
        <f>IFERROR(__xludf.DUMMYFUNCTION("""COMPUTED_VALUE"""),-0.0301)</f>
        <v>-0.0301</v>
      </c>
    </row>
    <row r="157" ht="15.75" customHeight="1">
      <c r="C157" s="4" t="str">
        <f>IFERROR(__xludf.DUMMYFUNCTION("""COMPUTED_VALUE"""),"Santo Tomé y Príncipe [+]")</f>
        <v>Santo Tomé y Príncipe [+]</v>
      </c>
      <c r="D157" s="4">
        <f>IFERROR(__xludf.DUMMYFUNCTION("""COMPUTED_VALUE"""),2008.0)</f>
        <v>2008</v>
      </c>
      <c r="E157" s="4">
        <f>IFERROR(__xludf.DUMMYFUNCTION("""COMPUTED_VALUE"""),1.0)</f>
        <v>1</v>
      </c>
      <c r="F157" s="4">
        <f>IFERROR(__xludf.DUMMYFUNCTION("""COMPUTED_VALUE"""),2.0)</f>
        <v>2</v>
      </c>
      <c r="G157" s="4">
        <f>IFERROR(__xludf.DUMMYFUNCTION("""COMPUTED_VALUE"""),3.0)</f>
        <v>3</v>
      </c>
      <c r="H157" s="4">
        <f>IFERROR(__xludf.DUMMYFUNCTION("""COMPUTED_VALUE"""),1.14)</f>
        <v>1.14</v>
      </c>
      <c r="I157" s="4">
        <f>IFERROR(__xludf.DUMMYFUNCTION("""COMPUTED_VALUE"""),2.25)</f>
        <v>2.25</v>
      </c>
      <c r="J157" s="4">
        <f>IFERROR(__xludf.DUMMYFUNCTION("""COMPUTED_VALUE"""),1.74)</f>
        <v>1.74</v>
      </c>
      <c r="K157" s="8">
        <f>IFERROR(__xludf.DUMMYFUNCTION("""COMPUTED_VALUE"""),-0.0279)</f>
        <v>-0.0279</v>
      </c>
    </row>
    <row r="158" ht="15.75" customHeight="1">
      <c r="C158" s="4" t="str">
        <f>IFERROR(__xludf.DUMMYFUNCTION("""COMPUTED_VALUE"""),"El Salvador [+]")</f>
        <v>El Salvador [+]</v>
      </c>
      <c r="D158" s="4">
        <f>IFERROR(__xludf.DUMMYFUNCTION("""COMPUTED_VALUE"""),2008.0)</f>
        <v>2008</v>
      </c>
      <c r="E158" s="4">
        <f>IFERROR(__xludf.DUMMYFUNCTION("""COMPUTED_VALUE"""),161.0)</f>
        <v>161</v>
      </c>
      <c r="F158" s="4">
        <f>IFERROR(__xludf.DUMMYFUNCTION("""COMPUTED_VALUE"""),588.0)</f>
        <v>588</v>
      </c>
      <c r="G158" s="4">
        <f>IFERROR(__xludf.DUMMYFUNCTION("""COMPUTED_VALUE"""),749.0)</f>
        <v>749</v>
      </c>
      <c r="H158" s="4">
        <f>IFERROR(__xludf.DUMMYFUNCTION("""COMPUTED_VALUE"""),4.99)</f>
        <v>4.99</v>
      </c>
      <c r="I158" s="4">
        <f>IFERROR(__xludf.DUMMYFUNCTION("""COMPUTED_VALUE"""),20.21)</f>
        <v>20.21</v>
      </c>
      <c r="J158" s="4">
        <f>IFERROR(__xludf.DUMMYFUNCTION("""COMPUTED_VALUE"""),12.21)</f>
        <v>12.21</v>
      </c>
      <c r="K158" s="8">
        <f>IFERROR(__xludf.DUMMYFUNCTION("""COMPUTED_VALUE"""),-0.0386)</f>
        <v>-0.0386</v>
      </c>
    </row>
    <row r="159" ht="15.75" customHeight="1">
      <c r="C159" s="4" t="str">
        <f>IFERROR(__xludf.DUMMYFUNCTION("""COMPUTED_VALUE"""),"Siria [+]")</f>
        <v>Siria [+]</v>
      </c>
      <c r="D159" s="4">
        <f>IFERROR(__xludf.DUMMYFUNCTION("""COMPUTED_VALUE"""),2008.0)</f>
        <v>2008</v>
      </c>
      <c r="E159" s="4">
        <f>IFERROR(__xludf.DUMMYFUNCTION("""COMPUTED_VALUE"""),85.0)</f>
        <v>85</v>
      </c>
      <c r="F159" s="4">
        <f>IFERROR(__xludf.DUMMYFUNCTION("""COMPUTED_VALUE"""),299.0)</f>
        <v>299</v>
      </c>
      <c r="G159" s="4">
        <f>IFERROR(__xludf.DUMMYFUNCTION("""COMPUTED_VALUE"""),384.0)</f>
        <v>384</v>
      </c>
      <c r="H159" s="4">
        <f>IFERROR(__xludf.DUMMYFUNCTION("""COMPUTED_VALUE"""),0.83)</f>
        <v>0.83</v>
      </c>
      <c r="I159" s="4">
        <f>IFERROR(__xludf.DUMMYFUNCTION("""COMPUTED_VALUE"""),2.85)</f>
        <v>2.85</v>
      </c>
      <c r="J159" s="4">
        <f>IFERROR(__xludf.DUMMYFUNCTION("""COMPUTED_VALUE"""),1.87)</f>
        <v>1.87</v>
      </c>
      <c r="K159" s="8">
        <f>IFERROR(__xludf.DUMMYFUNCTION("""COMPUTED_VALUE"""),0.0565)</f>
        <v>0.0565</v>
      </c>
    </row>
    <row r="160" ht="15.75" customHeight="1">
      <c r="C160" s="4" t="str">
        <f>IFERROR(__xludf.DUMMYFUNCTION("""COMPUTED_VALUE"""),"Eswatini [+]")</f>
        <v>Eswatini [+]</v>
      </c>
      <c r="D160" s="4">
        <f>IFERROR(__xludf.DUMMYFUNCTION("""COMPUTED_VALUE"""),2008.0)</f>
        <v>2008</v>
      </c>
      <c r="E160" s="4">
        <f>IFERROR(__xludf.DUMMYFUNCTION("""COMPUTED_VALUE"""),44.0)</f>
        <v>44</v>
      </c>
      <c r="F160" s="4">
        <f>IFERROR(__xludf.DUMMYFUNCTION("""COMPUTED_VALUE"""),125.0)</f>
        <v>125</v>
      </c>
      <c r="G160" s="4">
        <f>IFERROR(__xludf.DUMMYFUNCTION("""COMPUTED_VALUE"""),169.0)</f>
        <v>169</v>
      </c>
      <c r="H160" s="4">
        <f>IFERROR(__xludf.DUMMYFUNCTION("""COMPUTED_VALUE"""),7.91)</f>
        <v>7.91</v>
      </c>
      <c r="I160" s="4">
        <f>IFERROR(__xludf.DUMMYFUNCTION("""COMPUTED_VALUE"""),25.2)</f>
        <v>25.2</v>
      </c>
      <c r="J160" s="4">
        <f>IFERROR(__xludf.DUMMYFUNCTION("""COMPUTED_VALUE"""),16.44)</f>
        <v>16.44</v>
      </c>
      <c r="K160" s="8">
        <f>IFERROR(__xludf.DUMMYFUNCTION("""COMPUTED_VALUE"""),-0.0185)</f>
        <v>-0.0185</v>
      </c>
    </row>
    <row r="161" ht="15.75" customHeight="1">
      <c r="C161" s="4" t="str">
        <f>IFERROR(__xludf.DUMMYFUNCTION("""COMPUTED_VALUE"""),"Chad [+]")</f>
        <v>Chad [+]</v>
      </c>
      <c r="D161" s="4">
        <f>IFERROR(__xludf.DUMMYFUNCTION("""COMPUTED_VALUE"""),2008.0)</f>
        <v>2008</v>
      </c>
      <c r="E161" s="4">
        <f>IFERROR(__xludf.DUMMYFUNCTION("""COMPUTED_VALUE"""),231.0)</f>
        <v>231</v>
      </c>
      <c r="F161" s="4">
        <f>IFERROR(__xludf.DUMMYFUNCTION("""COMPUTED_VALUE"""),650.0)</f>
        <v>650</v>
      </c>
      <c r="G161" s="4">
        <f>IFERROR(__xludf.DUMMYFUNCTION("""COMPUTED_VALUE"""),881.0)</f>
        <v>881</v>
      </c>
      <c r="H161" s="4">
        <f>IFERROR(__xludf.DUMMYFUNCTION("""COMPUTED_VALUE"""),4.12)</f>
        <v>4.12</v>
      </c>
      <c r="I161" s="4">
        <f>IFERROR(__xludf.DUMMYFUNCTION("""COMPUTED_VALUE"""),11.66)</f>
        <v>11.66</v>
      </c>
      <c r="J161" s="4">
        <f>IFERROR(__xludf.DUMMYFUNCTION("""COMPUTED_VALUE"""),7.88)</f>
        <v>7.88</v>
      </c>
      <c r="K161" s="8">
        <f>IFERROR(__xludf.DUMMYFUNCTION("""COMPUTED_VALUE"""),0.0077)</f>
        <v>0.0077</v>
      </c>
    </row>
    <row r="162" ht="15.75" customHeight="1">
      <c r="C162" s="4" t="str">
        <f>IFERROR(__xludf.DUMMYFUNCTION("""COMPUTED_VALUE"""),"Togo [+]")</f>
        <v>Togo [+]</v>
      </c>
      <c r="D162" s="4">
        <f>IFERROR(__xludf.DUMMYFUNCTION("""COMPUTED_VALUE"""),2008.0)</f>
        <v>2008</v>
      </c>
      <c r="E162" s="4">
        <f>IFERROR(__xludf.DUMMYFUNCTION("""COMPUTED_VALUE"""),164.0)</f>
        <v>164</v>
      </c>
      <c r="F162" s="4">
        <f>IFERROR(__xludf.DUMMYFUNCTION("""COMPUTED_VALUE"""),421.0)</f>
        <v>421</v>
      </c>
      <c r="G162" s="4">
        <f>IFERROR(__xludf.DUMMYFUNCTION("""COMPUTED_VALUE"""),585.0)</f>
        <v>585</v>
      </c>
      <c r="H162" s="4">
        <f>IFERROR(__xludf.DUMMYFUNCTION("""COMPUTED_VALUE"""),5.35)</f>
        <v>5.35</v>
      </c>
      <c r="I162" s="4">
        <f>IFERROR(__xludf.DUMMYFUNCTION("""COMPUTED_VALUE"""),13.95)</f>
        <v>13.95</v>
      </c>
      <c r="J162" s="4">
        <f>IFERROR(__xludf.DUMMYFUNCTION("""COMPUTED_VALUE"""),9.61)</f>
        <v>9.61</v>
      </c>
      <c r="K162" s="8">
        <f>IFERROR(__xludf.DUMMYFUNCTION("""COMPUTED_VALUE"""),-0.0021)</f>
        <v>-0.0021</v>
      </c>
    </row>
    <row r="163" ht="15.75" customHeight="1">
      <c r="C163" s="4" t="str">
        <f>IFERROR(__xludf.DUMMYFUNCTION("""COMPUTED_VALUE"""),"Tailandia [+]")</f>
        <v>Tailandia [+]</v>
      </c>
      <c r="D163" s="4">
        <f>IFERROR(__xludf.DUMMYFUNCTION("""COMPUTED_VALUE"""),2008.0)</f>
        <v>2008</v>
      </c>
      <c r="E163" s="9">
        <f>IFERROR(__xludf.DUMMYFUNCTION("""COMPUTED_VALUE"""),3002.0)</f>
        <v>3002</v>
      </c>
      <c r="F163" s="9">
        <f>IFERROR(__xludf.DUMMYFUNCTION("""COMPUTED_VALUE"""),6854.0)</f>
        <v>6854</v>
      </c>
      <c r="G163" s="9">
        <f>IFERROR(__xludf.DUMMYFUNCTION("""COMPUTED_VALUE"""),9856.0)</f>
        <v>9856</v>
      </c>
      <c r="H163" s="4">
        <f>IFERROR(__xludf.DUMMYFUNCTION("""COMPUTED_VALUE"""),8.86)</f>
        <v>8.86</v>
      </c>
      <c r="I163" s="4">
        <f>IFERROR(__xludf.DUMMYFUNCTION("""COMPUTED_VALUE"""),20.99)</f>
        <v>20.99</v>
      </c>
      <c r="J163" s="4">
        <f>IFERROR(__xludf.DUMMYFUNCTION("""COMPUTED_VALUE"""),14.81)</f>
        <v>14.81</v>
      </c>
      <c r="K163" s="8">
        <f>IFERROR(__xludf.DUMMYFUNCTION("""COMPUTED_VALUE"""),0.0313)</f>
        <v>0.0313</v>
      </c>
    </row>
    <row r="164" ht="15.75" customHeight="1">
      <c r="C164" s="4" t="str">
        <f>IFERROR(__xludf.DUMMYFUNCTION("""COMPUTED_VALUE"""),"Tayikistán [+]")</f>
        <v>Tayikistán [+]</v>
      </c>
      <c r="D164" s="4">
        <f>IFERROR(__xludf.DUMMYFUNCTION("""COMPUTED_VALUE"""),2008.0)</f>
        <v>2008</v>
      </c>
      <c r="E164" s="4">
        <f>IFERROR(__xludf.DUMMYFUNCTION("""COMPUTED_VALUE"""),64.0)</f>
        <v>64</v>
      </c>
      <c r="F164" s="4">
        <f>IFERROR(__xludf.DUMMYFUNCTION("""COMPUTED_VALUE"""),225.0)</f>
        <v>225</v>
      </c>
      <c r="G164" s="4">
        <f>IFERROR(__xludf.DUMMYFUNCTION("""COMPUTED_VALUE"""),289.0)</f>
        <v>289</v>
      </c>
      <c r="H164" s="4">
        <f>IFERROR(__xludf.DUMMYFUNCTION("""COMPUTED_VALUE"""),1.8)</f>
        <v>1.8</v>
      </c>
      <c r="I164" s="4">
        <f>IFERROR(__xludf.DUMMYFUNCTION("""COMPUTED_VALUE"""),6.19)</f>
        <v>6.19</v>
      </c>
      <c r="J164" s="4">
        <f>IFERROR(__xludf.DUMMYFUNCTION("""COMPUTED_VALUE"""),3.96)</f>
        <v>3.96</v>
      </c>
      <c r="K164" s="8">
        <f>IFERROR(__xludf.DUMMYFUNCTION("""COMPUTED_VALUE"""),-0.01)</f>
        <v>-0.01</v>
      </c>
    </row>
    <row r="165" ht="15.75" customHeight="1">
      <c r="C165" s="4" t="str">
        <f>IFERROR(__xludf.DUMMYFUNCTION("""COMPUTED_VALUE"""),"Timor Oriental [+]")</f>
        <v>Timor Oriental [+]</v>
      </c>
      <c r="D165" s="4">
        <f>IFERROR(__xludf.DUMMYFUNCTION("""COMPUTED_VALUE"""),2008.0)</f>
        <v>2008</v>
      </c>
      <c r="E165" s="4">
        <f>IFERROR(__xludf.DUMMYFUNCTION("""COMPUTED_VALUE"""),22.0)</f>
        <v>22</v>
      </c>
      <c r="F165" s="4">
        <f>IFERROR(__xludf.DUMMYFUNCTION("""COMPUTED_VALUE"""),46.0)</f>
        <v>46</v>
      </c>
      <c r="G165" s="4">
        <f>IFERROR(__xludf.DUMMYFUNCTION("""COMPUTED_VALUE"""),69.0)</f>
        <v>69</v>
      </c>
      <c r="H165" s="4">
        <f>IFERROR(__xludf.DUMMYFUNCTION("""COMPUTED_VALUE"""),4.3)</f>
        <v>4.3</v>
      </c>
      <c r="I165" s="4">
        <f>IFERROR(__xludf.DUMMYFUNCTION("""COMPUTED_VALUE"""),8.66)</f>
        <v>8.66</v>
      </c>
      <c r="J165" s="4">
        <f>IFERROR(__xludf.DUMMYFUNCTION("""COMPUTED_VALUE"""),6.5)</f>
        <v>6.5</v>
      </c>
      <c r="K165" s="8">
        <f>IFERROR(__xludf.DUMMYFUNCTION("""COMPUTED_VALUE"""),0.0269)</f>
        <v>0.0269</v>
      </c>
    </row>
    <row r="166" ht="15.75" customHeight="1">
      <c r="C166" s="4" t="str">
        <f>IFERROR(__xludf.DUMMYFUNCTION("""COMPUTED_VALUE"""),"Turkmenistán [+]")</f>
        <v>Turkmenistán [+]</v>
      </c>
      <c r="D166" s="4">
        <f>IFERROR(__xludf.DUMMYFUNCTION("""COMPUTED_VALUE"""),2008.0)</f>
        <v>2008</v>
      </c>
      <c r="E166" s="4">
        <f>IFERROR(__xludf.DUMMYFUNCTION("""COMPUTED_VALUE"""),115.0)</f>
        <v>115</v>
      </c>
      <c r="F166" s="4">
        <f>IFERROR(__xludf.DUMMYFUNCTION("""COMPUTED_VALUE"""),404.0)</f>
        <v>404</v>
      </c>
      <c r="G166" s="4">
        <f>IFERROR(__xludf.DUMMYFUNCTION("""COMPUTED_VALUE"""),519.0)</f>
        <v>519</v>
      </c>
      <c r="H166" s="4">
        <f>IFERROR(__xludf.DUMMYFUNCTION("""COMPUTED_VALUE"""),4.6)</f>
        <v>4.6</v>
      </c>
      <c r="I166" s="4">
        <f>IFERROR(__xludf.DUMMYFUNCTION("""COMPUTED_VALUE"""),16.64)</f>
        <v>16.64</v>
      </c>
      <c r="J166" s="4">
        <f>IFERROR(__xludf.DUMMYFUNCTION("""COMPUTED_VALUE"""),10.52)</f>
        <v>10.52</v>
      </c>
      <c r="K166" s="8">
        <f>IFERROR(__xludf.DUMMYFUNCTION("""COMPUTED_VALUE"""),-0.0616)</f>
        <v>-0.0616</v>
      </c>
    </row>
    <row r="167" ht="15.75" customHeight="1">
      <c r="C167" s="4" t="str">
        <f>IFERROR(__xludf.DUMMYFUNCTION("""COMPUTED_VALUE"""),"Túnez [+]")</f>
        <v>Túnez [+]</v>
      </c>
      <c r="D167" s="4">
        <f>IFERROR(__xludf.DUMMYFUNCTION("""COMPUTED_VALUE"""),2008.0)</f>
        <v>2008</v>
      </c>
      <c r="E167" s="4">
        <f>IFERROR(__xludf.DUMMYFUNCTION("""COMPUTED_VALUE"""),204.0)</f>
        <v>204</v>
      </c>
      <c r="F167" s="4">
        <f>IFERROR(__xludf.DUMMYFUNCTION("""COMPUTED_VALUE"""),315.0)</f>
        <v>315</v>
      </c>
      <c r="G167" s="4">
        <f>IFERROR(__xludf.DUMMYFUNCTION("""COMPUTED_VALUE"""),519.0)</f>
        <v>519</v>
      </c>
      <c r="H167" s="4">
        <f>IFERROR(__xludf.DUMMYFUNCTION("""COMPUTED_VALUE"""),3.91)</f>
        <v>3.91</v>
      </c>
      <c r="I167" s="4">
        <f>IFERROR(__xludf.DUMMYFUNCTION("""COMPUTED_VALUE"""),6.06)</f>
        <v>6.06</v>
      </c>
      <c r="J167" s="4">
        <f>IFERROR(__xludf.DUMMYFUNCTION("""COMPUTED_VALUE"""),4.99)</f>
        <v>4.99</v>
      </c>
      <c r="K167" s="8">
        <f>IFERROR(__xludf.DUMMYFUNCTION("""COMPUTED_VALUE"""),0.0204)</f>
        <v>0.0204</v>
      </c>
    </row>
    <row r="168" ht="15.75" customHeight="1">
      <c r="C168" s="4" t="str">
        <f>IFERROR(__xludf.DUMMYFUNCTION("""COMPUTED_VALUE"""),"Tonga [+]")</f>
        <v>Tonga [+]</v>
      </c>
      <c r="D168" s="4">
        <f>IFERROR(__xludf.DUMMYFUNCTION("""COMPUTED_VALUE"""),2008.0)</f>
        <v>2008</v>
      </c>
      <c r="E168" s="4">
        <f>IFERROR(__xludf.DUMMYFUNCTION("""COMPUTED_VALUE"""),1.0)</f>
        <v>1</v>
      </c>
      <c r="F168" s="4">
        <f>IFERROR(__xludf.DUMMYFUNCTION("""COMPUTED_VALUE"""),2.0)</f>
        <v>2</v>
      </c>
      <c r="G168" s="4">
        <f>IFERROR(__xludf.DUMMYFUNCTION("""COMPUTED_VALUE"""),3.0)</f>
        <v>3</v>
      </c>
      <c r="H168" s="4">
        <f>IFERROR(__xludf.DUMMYFUNCTION("""COMPUTED_VALUE"""),2.85)</f>
        <v>2.85</v>
      </c>
      <c r="I168" s="4">
        <f>IFERROR(__xludf.DUMMYFUNCTION("""COMPUTED_VALUE"""),3.84)</f>
        <v>3.84</v>
      </c>
      <c r="J168" s="4">
        <f>IFERROR(__xludf.DUMMYFUNCTION("""COMPUTED_VALUE"""),3.39)</f>
        <v>3.39</v>
      </c>
      <c r="K168" s="8">
        <f>IFERROR(__xludf.DUMMYFUNCTION("""COMPUTED_VALUE"""),-0.0117)</f>
        <v>-0.0117</v>
      </c>
    </row>
    <row r="169" ht="15.75" customHeight="1">
      <c r="C169" s="4" t="str">
        <f>IFERROR(__xludf.DUMMYFUNCTION("""COMPUTED_VALUE"""),"Trinidad y Tobago [+]")</f>
        <v>Trinidad y Tobago [+]</v>
      </c>
      <c r="D169" s="4">
        <f>IFERROR(__xludf.DUMMYFUNCTION("""COMPUTED_VALUE"""),2008.0)</f>
        <v>2008</v>
      </c>
      <c r="E169" s="4">
        <f>IFERROR(__xludf.DUMMYFUNCTION("""COMPUTED_VALUE"""),37.0)</f>
        <v>37</v>
      </c>
      <c r="F169" s="4">
        <f>IFERROR(__xludf.DUMMYFUNCTION("""COMPUTED_VALUE"""),150.0)</f>
        <v>150</v>
      </c>
      <c r="G169" s="4">
        <f>IFERROR(__xludf.DUMMYFUNCTION("""COMPUTED_VALUE"""),187.0)</f>
        <v>187</v>
      </c>
      <c r="H169" s="4">
        <f>IFERROR(__xludf.DUMMYFUNCTION("""COMPUTED_VALUE"""),5.6)</f>
        <v>5.6</v>
      </c>
      <c r="I169" s="4">
        <f>IFERROR(__xludf.DUMMYFUNCTION("""COMPUTED_VALUE"""),23.0)</f>
        <v>23</v>
      </c>
      <c r="J169" s="4">
        <f>IFERROR(__xludf.DUMMYFUNCTION("""COMPUTED_VALUE"""),14.22)</f>
        <v>14.22</v>
      </c>
      <c r="K169" s="8">
        <f>IFERROR(__xludf.DUMMYFUNCTION("""COMPUTED_VALUE"""),0.3766)</f>
        <v>0.3766</v>
      </c>
    </row>
    <row r="170" ht="15.75" customHeight="1">
      <c r="C170" s="4" t="str">
        <f>IFERROR(__xludf.DUMMYFUNCTION("""COMPUTED_VALUE"""),"Tanzania [+]")</f>
        <v>Tanzania [+]</v>
      </c>
      <c r="D170" s="4">
        <f>IFERROR(__xludf.DUMMYFUNCTION("""COMPUTED_VALUE"""),2008.0)</f>
        <v>2008</v>
      </c>
      <c r="E170" s="4">
        <f>IFERROR(__xludf.DUMMYFUNCTION("""COMPUTED_VALUE"""),723.0)</f>
        <v>723</v>
      </c>
      <c r="F170" s="9">
        <f>IFERROR(__xludf.DUMMYFUNCTION("""COMPUTED_VALUE"""),2157.0)</f>
        <v>2157</v>
      </c>
      <c r="G170" s="9">
        <f>IFERROR(__xludf.DUMMYFUNCTION("""COMPUTED_VALUE"""),2880.0)</f>
        <v>2880</v>
      </c>
      <c r="H170" s="4">
        <f>IFERROR(__xludf.DUMMYFUNCTION("""COMPUTED_VALUE"""),3.44)</f>
        <v>3.44</v>
      </c>
      <c r="I170" s="4">
        <f>IFERROR(__xludf.DUMMYFUNCTION("""COMPUTED_VALUE"""),10.34)</f>
        <v>10.34</v>
      </c>
      <c r="J170" s="4">
        <f>IFERROR(__xludf.DUMMYFUNCTION("""COMPUTED_VALUE"""),7.09)</f>
        <v>7.09</v>
      </c>
      <c r="K170" s="8">
        <f>IFERROR(__xludf.DUMMYFUNCTION("""COMPUTED_VALUE"""),0.0057)</f>
        <v>0.0057</v>
      </c>
    </row>
    <row r="171" ht="15.75" customHeight="1">
      <c r="C171" s="4" t="str">
        <f>IFERROR(__xludf.DUMMYFUNCTION("""COMPUTED_VALUE"""),"Ucrania [+]")</f>
        <v>Ucrania [+]</v>
      </c>
      <c r="D171" s="4">
        <f>IFERROR(__xludf.DUMMYFUNCTION("""COMPUTED_VALUE"""),2008.0)</f>
        <v>2008</v>
      </c>
      <c r="E171" s="9">
        <f>IFERROR(__xludf.DUMMYFUNCTION("""COMPUTED_VALUE"""),1961.0)</f>
        <v>1961</v>
      </c>
      <c r="F171" s="9">
        <f>IFERROR(__xludf.DUMMYFUNCTION("""COMPUTED_VALUE"""),9183.0)</f>
        <v>9183</v>
      </c>
      <c r="G171" s="9">
        <f>IFERROR(__xludf.DUMMYFUNCTION("""COMPUTED_VALUE"""),11144.0)</f>
        <v>11144</v>
      </c>
      <c r="H171" s="4">
        <f>IFERROR(__xludf.DUMMYFUNCTION("""COMPUTED_VALUE"""),7.91)</f>
        <v>7.91</v>
      </c>
      <c r="I171" s="4">
        <f>IFERROR(__xludf.DUMMYFUNCTION("""COMPUTED_VALUE"""),43.35)</f>
        <v>43.35</v>
      </c>
      <c r="J171" s="4">
        <f>IFERROR(__xludf.DUMMYFUNCTION("""COMPUTED_VALUE"""),24.24)</f>
        <v>24.24</v>
      </c>
      <c r="K171" s="8">
        <f>IFERROR(__xludf.DUMMYFUNCTION("""COMPUTED_VALUE"""),-0.0513)</f>
        <v>-0.0513</v>
      </c>
    </row>
    <row r="172" ht="15.75" customHeight="1">
      <c r="C172" s="4" t="str">
        <f>IFERROR(__xludf.DUMMYFUNCTION("""COMPUTED_VALUE"""),"Uganda [+]")</f>
        <v>Uganda [+]</v>
      </c>
      <c r="D172" s="4">
        <f>IFERROR(__xludf.DUMMYFUNCTION("""COMPUTED_VALUE"""),2008.0)</f>
        <v>2008</v>
      </c>
      <c r="E172" s="4">
        <f>IFERROR(__xludf.DUMMYFUNCTION("""COMPUTED_VALUE"""),651.0)</f>
        <v>651</v>
      </c>
      <c r="F172" s="9">
        <f>IFERROR(__xludf.DUMMYFUNCTION("""COMPUTED_VALUE"""),1509.0)</f>
        <v>1509</v>
      </c>
      <c r="G172" s="9">
        <f>IFERROR(__xludf.DUMMYFUNCTION("""COMPUTED_VALUE"""),2160.0)</f>
        <v>2160</v>
      </c>
      <c r="H172" s="4">
        <f>IFERROR(__xludf.DUMMYFUNCTION("""COMPUTED_VALUE"""),4.21)</f>
        <v>4.21</v>
      </c>
      <c r="I172" s="4">
        <f>IFERROR(__xludf.DUMMYFUNCTION("""COMPUTED_VALUE"""),10.09)</f>
        <v>10.09</v>
      </c>
      <c r="J172" s="4">
        <f>IFERROR(__xludf.DUMMYFUNCTION("""COMPUTED_VALUE"""),7.56)</f>
        <v>7.56</v>
      </c>
      <c r="K172" s="8">
        <f>IFERROR(__xludf.DUMMYFUNCTION("""COMPUTED_VALUE"""),-0.0079)</f>
        <v>-0.0079</v>
      </c>
    </row>
    <row r="173" ht="15.75" customHeight="1">
      <c r="C173" s="4" t="str">
        <f>IFERROR(__xludf.DUMMYFUNCTION("""COMPUTED_VALUE"""),"Uruguay [+]")</f>
        <v>Uruguay [+]</v>
      </c>
      <c r="D173" s="4">
        <f>IFERROR(__xludf.DUMMYFUNCTION("""COMPUTED_VALUE"""),2008.0)</f>
        <v>2008</v>
      </c>
      <c r="E173" s="4">
        <f>IFERROR(__xludf.DUMMYFUNCTION("""COMPUTED_VALUE"""),115.0)</f>
        <v>115</v>
      </c>
      <c r="F173" s="4">
        <f>IFERROR(__xludf.DUMMYFUNCTION("""COMPUTED_VALUE"""),402.0)</f>
        <v>402</v>
      </c>
      <c r="G173" s="4">
        <f>IFERROR(__xludf.DUMMYFUNCTION("""COMPUTED_VALUE"""),517.0)</f>
        <v>517</v>
      </c>
      <c r="H173" s="4">
        <f>IFERROR(__xludf.DUMMYFUNCTION("""COMPUTED_VALUE"""),6.65)</f>
        <v>6.65</v>
      </c>
      <c r="I173" s="4">
        <f>IFERROR(__xludf.DUMMYFUNCTION("""COMPUTED_VALUE"""),24.98)</f>
        <v>24.98</v>
      </c>
      <c r="J173" s="4">
        <f>IFERROR(__xludf.DUMMYFUNCTION("""COMPUTED_VALUE"""),15.38)</f>
        <v>15.38</v>
      </c>
      <c r="K173" s="8">
        <f>IFERROR(__xludf.DUMMYFUNCTION("""COMPUTED_VALUE"""),-0.1216)</f>
        <v>-0.1216</v>
      </c>
    </row>
    <row r="174" ht="15.75" customHeight="1">
      <c r="C174" s="4" t="str">
        <f>IFERROR(__xludf.DUMMYFUNCTION("""COMPUTED_VALUE"""),"Uzbekistán [+]")</f>
        <v>Uzbekistán [+]</v>
      </c>
      <c r="D174" s="4">
        <f>IFERROR(__xludf.DUMMYFUNCTION("""COMPUTED_VALUE"""),2008.0)</f>
        <v>2008</v>
      </c>
      <c r="E174" s="4">
        <f>IFERROR(__xludf.DUMMYFUNCTION("""COMPUTED_VALUE"""),547.0)</f>
        <v>547</v>
      </c>
      <c r="F174" s="9">
        <f>IFERROR(__xludf.DUMMYFUNCTION("""COMPUTED_VALUE"""),1401.0)</f>
        <v>1401</v>
      </c>
      <c r="G174" s="9">
        <f>IFERROR(__xludf.DUMMYFUNCTION("""COMPUTED_VALUE"""),1948.0)</f>
        <v>1948</v>
      </c>
      <c r="H174" s="4">
        <f>IFERROR(__xludf.DUMMYFUNCTION("""COMPUTED_VALUE"""),3.98)</f>
        <v>3.98</v>
      </c>
      <c r="I174" s="4">
        <f>IFERROR(__xludf.DUMMYFUNCTION("""COMPUTED_VALUE"""),10.32)</f>
        <v>10.32</v>
      </c>
      <c r="J174" s="4">
        <f>IFERROR(__xludf.DUMMYFUNCTION("""COMPUTED_VALUE"""),7.19)</f>
        <v>7.19</v>
      </c>
      <c r="K174" s="8">
        <f>IFERROR(__xludf.DUMMYFUNCTION("""COMPUTED_VALUE"""),0.0056)</f>
        <v>0.0056</v>
      </c>
    </row>
    <row r="175" ht="15.75" customHeight="1">
      <c r="C175" s="4" t="str">
        <f>IFERROR(__xludf.DUMMYFUNCTION("""COMPUTED_VALUE"""),"San Vicente y las Granadinas [+]")</f>
        <v>San Vicente y las Granadinas [+]</v>
      </c>
      <c r="D175" s="4">
        <f>IFERROR(__xludf.DUMMYFUNCTION("""COMPUTED_VALUE"""),2008.0)</f>
        <v>2008</v>
      </c>
      <c r="E175" s="4">
        <f>IFERROR(__xludf.DUMMYFUNCTION("""COMPUTED_VALUE"""),0.0)</f>
        <v>0</v>
      </c>
      <c r="F175" s="4">
        <f>IFERROR(__xludf.DUMMYFUNCTION("""COMPUTED_VALUE"""),4.0)</f>
        <v>4</v>
      </c>
      <c r="G175" s="4">
        <f>IFERROR(__xludf.DUMMYFUNCTION("""COMPUTED_VALUE"""),5.0)</f>
        <v>5</v>
      </c>
      <c r="H175" s="4">
        <f>IFERROR(__xludf.DUMMYFUNCTION("""COMPUTED_VALUE"""),0.65)</f>
        <v>0.65</v>
      </c>
      <c r="I175" s="4">
        <f>IFERROR(__xludf.DUMMYFUNCTION("""COMPUTED_VALUE"""),8.17)</f>
        <v>8.17</v>
      </c>
      <c r="J175" s="4">
        <f>IFERROR(__xludf.DUMMYFUNCTION("""COMPUTED_VALUE"""),4.44)</f>
        <v>4.44</v>
      </c>
      <c r="K175" s="8">
        <f>IFERROR(__xludf.DUMMYFUNCTION("""COMPUTED_VALUE"""),-0.3252)</f>
        <v>-0.3252</v>
      </c>
    </row>
    <row r="176" ht="15.75" customHeight="1">
      <c r="C176" s="4" t="str">
        <f>IFERROR(__xludf.DUMMYFUNCTION("""COMPUTED_VALUE"""),"Venezuela [+]")</f>
        <v>Venezuela [+]</v>
      </c>
      <c r="D176" s="4">
        <f>IFERROR(__xludf.DUMMYFUNCTION("""COMPUTED_VALUE"""),2008.0)</f>
        <v>2008</v>
      </c>
      <c r="E176" s="4">
        <f>IFERROR(__xludf.DUMMYFUNCTION("""COMPUTED_VALUE"""),205.0)</f>
        <v>205</v>
      </c>
      <c r="F176" s="4">
        <f>IFERROR(__xludf.DUMMYFUNCTION("""COMPUTED_VALUE"""),987.0)</f>
        <v>987</v>
      </c>
      <c r="G176" s="9">
        <f>IFERROR(__xludf.DUMMYFUNCTION("""COMPUTED_VALUE"""),1192.0)</f>
        <v>1192</v>
      </c>
      <c r="H176" s="4">
        <f>IFERROR(__xludf.DUMMYFUNCTION("""COMPUTED_VALUE"""),1.48)</f>
        <v>1.48</v>
      </c>
      <c r="I176" s="4">
        <f>IFERROR(__xludf.DUMMYFUNCTION("""COMPUTED_VALUE"""),7.15)</f>
        <v>7.15</v>
      </c>
      <c r="J176" s="4">
        <f>IFERROR(__xludf.DUMMYFUNCTION("""COMPUTED_VALUE"""),4.3)</f>
        <v>4.3</v>
      </c>
      <c r="K176" s="8">
        <f>IFERROR(__xludf.DUMMYFUNCTION("""COMPUTED_VALUE"""),-0.0359)</f>
        <v>-0.0359</v>
      </c>
    </row>
    <row r="177" ht="15.75" customHeight="1">
      <c r="C177" s="4" t="str">
        <f>IFERROR(__xludf.DUMMYFUNCTION("""COMPUTED_VALUE"""),"Viet Nam [+]")</f>
        <v>Viet Nam [+]</v>
      </c>
      <c r="D177" s="4">
        <f>IFERROR(__xludf.DUMMYFUNCTION("""COMPUTED_VALUE"""),2008.0)</f>
        <v>2008</v>
      </c>
      <c r="E177" s="9">
        <f>IFERROR(__xludf.DUMMYFUNCTION("""COMPUTED_VALUE"""),1450.0)</f>
        <v>1450</v>
      </c>
      <c r="F177" s="9">
        <f>IFERROR(__xludf.DUMMYFUNCTION("""COMPUTED_VALUE"""),4529.0)</f>
        <v>4529</v>
      </c>
      <c r="G177" s="9">
        <f>IFERROR(__xludf.DUMMYFUNCTION("""COMPUTED_VALUE"""),5979.0)</f>
        <v>5979</v>
      </c>
      <c r="H177" s="4">
        <f>IFERROR(__xludf.DUMMYFUNCTION("""COMPUTED_VALUE"""),3.34)</f>
        <v>3.34</v>
      </c>
      <c r="I177" s="4">
        <f>IFERROR(__xludf.DUMMYFUNCTION("""COMPUTED_VALUE"""),10.58)</f>
        <v>10.58</v>
      </c>
      <c r="J177" s="4">
        <f>IFERROR(__xludf.DUMMYFUNCTION("""COMPUTED_VALUE"""),6.93)</f>
        <v>6.93</v>
      </c>
      <c r="K177" s="8">
        <f>IFERROR(__xludf.DUMMYFUNCTION("""COMPUTED_VALUE"""),0.0359)</f>
        <v>0.0359</v>
      </c>
    </row>
    <row r="178" ht="15.75" customHeight="1">
      <c r="C178" s="4" t="str">
        <f>IFERROR(__xludf.DUMMYFUNCTION("""COMPUTED_VALUE"""),"Vanuatu [+]")</f>
        <v>Vanuatu [+]</v>
      </c>
      <c r="D178" s="4">
        <f>IFERROR(__xludf.DUMMYFUNCTION("""COMPUTED_VALUE"""),2008.0)</f>
        <v>2008</v>
      </c>
      <c r="E178" s="4">
        <f>IFERROR(__xludf.DUMMYFUNCTION("""COMPUTED_VALUE"""),4.0)</f>
        <v>4</v>
      </c>
      <c r="F178" s="4">
        <f>IFERROR(__xludf.DUMMYFUNCTION("""COMPUTED_VALUE"""),12.0)</f>
        <v>12</v>
      </c>
      <c r="G178" s="4">
        <f>IFERROR(__xludf.DUMMYFUNCTION("""COMPUTED_VALUE"""),16.0)</f>
        <v>16</v>
      </c>
      <c r="H178" s="4">
        <f>IFERROR(__xludf.DUMMYFUNCTION("""COMPUTED_VALUE"""),3.43)</f>
        <v>3.43</v>
      </c>
      <c r="I178" s="4">
        <f>IFERROR(__xludf.DUMMYFUNCTION("""COMPUTED_VALUE"""),10.57)</f>
        <v>10.57</v>
      </c>
      <c r="J178" s="4">
        <f>IFERROR(__xludf.DUMMYFUNCTION("""COMPUTED_VALUE"""),6.93)</f>
        <v>6.93</v>
      </c>
      <c r="K178" s="8">
        <f>IFERROR(__xludf.DUMMYFUNCTION("""COMPUTED_VALUE"""),-0.0362)</f>
        <v>-0.0362</v>
      </c>
    </row>
    <row r="179" ht="15.75" customHeight="1">
      <c r="C179" s="4" t="str">
        <f>IFERROR(__xludf.DUMMYFUNCTION("""COMPUTED_VALUE"""),"Samoa [+]")</f>
        <v>Samoa [+]</v>
      </c>
      <c r="D179" s="4">
        <f>IFERROR(__xludf.DUMMYFUNCTION("""COMPUTED_VALUE"""),2008.0)</f>
        <v>2008</v>
      </c>
      <c r="E179" s="4">
        <f>IFERROR(__xludf.DUMMYFUNCTION("""COMPUTED_VALUE"""),2.0)</f>
        <v>2</v>
      </c>
      <c r="F179" s="4">
        <f>IFERROR(__xludf.DUMMYFUNCTION("""COMPUTED_VALUE"""),9.0)</f>
        <v>9</v>
      </c>
      <c r="G179" s="4">
        <f>IFERROR(__xludf.DUMMYFUNCTION("""COMPUTED_VALUE"""),12.0)</f>
        <v>12</v>
      </c>
      <c r="H179" s="4">
        <f>IFERROR(__xludf.DUMMYFUNCTION("""COMPUTED_VALUE"""),2.74)</f>
        <v>2.74</v>
      </c>
      <c r="I179" s="4">
        <f>IFERROR(__xludf.DUMMYFUNCTION("""COMPUTED_VALUE"""),10.0)</f>
        <v>10</v>
      </c>
      <c r="J179" s="4">
        <f>IFERROR(__xludf.DUMMYFUNCTION("""COMPUTED_VALUE"""),6.5)</f>
        <v>6.5</v>
      </c>
      <c r="K179" s="8">
        <f>IFERROR(__xludf.DUMMYFUNCTION("""COMPUTED_VALUE"""),-0.0255)</f>
        <v>-0.0255</v>
      </c>
    </row>
    <row r="180" ht="15.75" customHeight="1">
      <c r="C180" s="4" t="str">
        <f>IFERROR(__xludf.DUMMYFUNCTION("""COMPUTED_VALUE"""),"Yemen [+]")</f>
        <v>Yemen [+]</v>
      </c>
      <c r="D180" s="4">
        <f>IFERROR(__xludf.DUMMYFUNCTION("""COMPUTED_VALUE"""),2008.0)</f>
        <v>2008</v>
      </c>
      <c r="E180" s="4">
        <f>IFERROR(__xludf.DUMMYFUNCTION("""COMPUTED_VALUE"""),631.0)</f>
        <v>631</v>
      </c>
      <c r="F180" s="9">
        <f>IFERROR(__xludf.DUMMYFUNCTION("""COMPUTED_VALUE"""),1261.0)</f>
        <v>1261</v>
      </c>
      <c r="G180" s="9">
        <f>IFERROR(__xludf.DUMMYFUNCTION("""COMPUTED_VALUE"""),1891.0)</f>
        <v>1891</v>
      </c>
      <c r="H180" s="4">
        <f>IFERROR(__xludf.DUMMYFUNCTION("""COMPUTED_VALUE"""),5.81)</f>
        <v>5.81</v>
      </c>
      <c r="I180" s="4">
        <f>IFERROR(__xludf.DUMMYFUNCTION("""COMPUTED_VALUE"""),11.42)</f>
        <v>11.42</v>
      </c>
      <c r="J180" s="4">
        <f>IFERROR(__xludf.DUMMYFUNCTION("""COMPUTED_VALUE"""),8.46)</f>
        <v>8.46</v>
      </c>
      <c r="K180" s="8">
        <f>IFERROR(__xludf.DUMMYFUNCTION("""COMPUTED_VALUE"""),0.038)</f>
        <v>0.038</v>
      </c>
    </row>
    <row r="181" ht="15.75" customHeight="1">
      <c r="C181" s="4" t="str">
        <f>IFERROR(__xludf.DUMMYFUNCTION("""COMPUTED_VALUE"""),"Sudáfrica [+]")</f>
        <v>Sudáfrica [+]</v>
      </c>
      <c r="D181" s="4">
        <f>IFERROR(__xludf.DUMMYFUNCTION("""COMPUTED_VALUE"""),2008.0)</f>
        <v>2008</v>
      </c>
      <c r="E181" s="4">
        <f>IFERROR(__xludf.DUMMYFUNCTION("""COMPUTED_VALUE"""),96.0)</f>
        <v>96</v>
      </c>
      <c r="F181" s="4">
        <f>IFERROR(__xludf.DUMMYFUNCTION("""COMPUTED_VALUE"""),346.0)</f>
        <v>346</v>
      </c>
      <c r="G181" s="4">
        <f>IFERROR(__xludf.DUMMYFUNCTION("""COMPUTED_VALUE"""),442.0)</f>
        <v>442</v>
      </c>
      <c r="H181" s="4">
        <f>IFERROR(__xludf.DUMMYFUNCTION("""COMPUTED_VALUE"""),0.4)</f>
        <v>0.4</v>
      </c>
      <c r="I181" s="4">
        <f>IFERROR(__xludf.DUMMYFUNCTION("""COMPUTED_VALUE"""),1.4)</f>
        <v>1.4</v>
      </c>
      <c r="J181" s="4">
        <f>IFERROR(__xludf.DUMMYFUNCTION("""COMPUTED_VALUE"""),0.9)</f>
        <v>0.9</v>
      </c>
      <c r="K181" s="4">
        <f>IFERROR(__xludf.DUMMYFUNCTION("""COMPUTED_VALUE"""),0.0)</f>
        <v>0</v>
      </c>
    </row>
    <row r="182" ht="15.75" customHeight="1">
      <c r="C182" s="4" t="str">
        <f>IFERROR(__xludf.DUMMYFUNCTION("""COMPUTED_VALUE"""),"Zambia [+]")</f>
        <v>Zambia [+]</v>
      </c>
      <c r="D182" s="4">
        <f>IFERROR(__xludf.DUMMYFUNCTION("""COMPUTED_VALUE"""),2008.0)</f>
        <v>2008</v>
      </c>
      <c r="E182" s="4">
        <f>IFERROR(__xludf.DUMMYFUNCTION("""COMPUTED_VALUE"""),201.0)</f>
        <v>201</v>
      </c>
      <c r="F182" s="4">
        <f>IFERROR(__xludf.DUMMYFUNCTION("""COMPUTED_VALUE"""),638.0)</f>
        <v>638</v>
      </c>
      <c r="G182" s="4">
        <f>IFERROR(__xludf.DUMMYFUNCTION("""COMPUTED_VALUE"""),838.0)</f>
        <v>838</v>
      </c>
      <c r="H182" s="4">
        <f>IFERROR(__xludf.DUMMYFUNCTION("""COMPUTED_VALUE"""),3.08)</f>
        <v>3.08</v>
      </c>
      <c r="I182" s="4">
        <f>IFERROR(__xludf.DUMMYFUNCTION("""COMPUTED_VALUE"""),10.05)</f>
        <v>10.05</v>
      </c>
      <c r="J182" s="4">
        <f>IFERROR(__xludf.DUMMYFUNCTION("""COMPUTED_VALUE"""),6.39)</f>
        <v>6.39</v>
      </c>
      <c r="K182" s="8">
        <f>IFERROR(__xludf.DUMMYFUNCTION("""COMPUTED_VALUE"""),-0.0047)</f>
        <v>-0.0047</v>
      </c>
    </row>
    <row r="183" ht="15.75" customHeight="1">
      <c r="C183" s="4" t="str">
        <f>IFERROR(__xludf.DUMMYFUNCTION("""COMPUTED_VALUE"""),"Zimbabue [+]")</f>
        <v>Zimbabue [+]</v>
      </c>
      <c r="D183" s="4">
        <f>IFERROR(__xludf.DUMMYFUNCTION("""COMPUTED_VALUE"""),2008.0)</f>
        <v>2008</v>
      </c>
      <c r="E183" s="4">
        <f>IFERROR(__xludf.DUMMYFUNCTION("""COMPUTED_VALUE"""),388.0)</f>
        <v>388</v>
      </c>
      <c r="F183" s="9">
        <f>IFERROR(__xludf.DUMMYFUNCTION("""COMPUTED_VALUE"""),1138.0)</f>
        <v>1138</v>
      </c>
      <c r="G183" s="9">
        <f>IFERROR(__xludf.DUMMYFUNCTION("""COMPUTED_VALUE"""),1526.0)</f>
        <v>1526</v>
      </c>
      <c r="H183" s="4">
        <f>IFERROR(__xludf.DUMMYFUNCTION("""COMPUTED_VALUE"""),5.99)</f>
        <v>5.99</v>
      </c>
      <c r="I183" s="4">
        <f>IFERROR(__xludf.DUMMYFUNCTION("""COMPUTED_VALUE"""),19.28)</f>
        <v>19.28</v>
      </c>
      <c r="J183" s="4">
        <f>IFERROR(__xludf.DUMMYFUNCTION("""COMPUTED_VALUE"""),12.59)</f>
        <v>12.59</v>
      </c>
      <c r="K183" s="8">
        <f>IFERROR(__xludf.DUMMYFUNCTION("""COMPUTED_VALUE"""),0.0016)</f>
        <v>0.0016</v>
      </c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</v>
      </c>
      <c r="B1" s="2" t="str">
        <f>SUBSTITUTE(C1,"[+]","")</f>
        <v/>
      </c>
    </row>
    <row r="2" ht="15.75" customHeight="1">
      <c r="B2" s="3"/>
      <c r="C2" s="2" t="str">
        <f>IFERROR(__xludf.DUMMYFUNCTION("IMPORTXML(A1, ""//table[1]/thead/tr"")"),"Países")</f>
        <v>Países</v>
      </c>
      <c r="D2" s="2" t="str">
        <f>IFERROR(__xludf.DUMMYFUNCTION("""COMPUTED_VALUE"""),"Fecha")</f>
        <v>Fecha</v>
      </c>
      <c r="E2" s="2" t="str">
        <f>IFERROR(__xludf.DUMMYFUNCTION("""COMPUTED_VALUE"""),"Suicidios mujeres")</f>
        <v>Suicidios mujeres</v>
      </c>
      <c r="F2" s="2" t="str">
        <f>IFERROR(__xludf.DUMMYFUNCTION("""COMPUTED_VALUE"""),"Suicidios hombres")</f>
        <v>Suicidios hombres</v>
      </c>
      <c r="G2" s="2" t="str">
        <f>IFERROR(__xludf.DUMMYFUNCTION("""COMPUTED_VALUE"""),"Suicidios ")</f>
        <v>Suicidios </v>
      </c>
      <c r="H2" s="2" t="str">
        <f>IFERROR(__xludf.DUMMYFUNCTION("""COMPUTED_VALUE"""),"Suicidios tasa femenina")</f>
        <v>Suicidios tasa femenina</v>
      </c>
      <c r="I2" s="2" t="str">
        <f>IFERROR(__xludf.DUMMYFUNCTION("""COMPUTED_VALUE"""),"Suicidios tasa masculina")</f>
        <v>Suicidios tasa masculina</v>
      </c>
      <c r="J2" s="2" t="str">
        <f>IFERROR(__xludf.DUMMYFUNCTION("""COMPUTED_VALUE"""),"Suicidios por 100.000")</f>
        <v>Suicidios por 100.000</v>
      </c>
      <c r="K2" s="4" t="str">
        <f>IFERROR(__xludf.DUMMYFUNCTION("""COMPUTED_VALUE"""),"Var.")</f>
        <v>Var.</v>
      </c>
    </row>
    <row r="3" ht="15.75" customHeight="1">
      <c r="C3" s="2" t="str">
        <f>IFERROR(__xludf.DUMMYFUNCTION("IMPORTXML(A1, ""//table[1]/tbody/tr"")"),"España [+]")</f>
        <v>España [+]</v>
      </c>
      <c r="D3" s="2">
        <f>IFERROR(__xludf.DUMMYFUNCTION("""COMPUTED_VALUE"""),2006.0)</f>
        <v>2006</v>
      </c>
      <c r="E3" s="5">
        <f>IFERROR(__xludf.DUMMYFUNCTION("""COMPUTED_VALUE"""),734.0)</f>
        <v>734</v>
      </c>
      <c r="F3" s="6">
        <f>IFERROR(__xludf.DUMMYFUNCTION("""COMPUTED_VALUE"""),2512.0)</f>
        <v>2512</v>
      </c>
      <c r="G3" s="6">
        <f>IFERROR(__xludf.DUMMYFUNCTION("""COMPUTED_VALUE"""),3246.0)</f>
        <v>3246</v>
      </c>
      <c r="H3" s="2">
        <f>IFERROR(__xludf.DUMMYFUNCTION("""COMPUTED_VALUE"""),3.29)</f>
        <v>3.29</v>
      </c>
      <c r="I3" s="7">
        <f>IFERROR(__xludf.DUMMYFUNCTION("""COMPUTED_VALUE"""),11.56)</f>
        <v>11.56</v>
      </c>
      <c r="J3" s="2">
        <f>IFERROR(__xludf.DUMMYFUNCTION("""COMPUTED_VALUE"""),7.37)</f>
        <v>7.37</v>
      </c>
      <c r="K3" s="8">
        <f>IFERROR(__xludf.DUMMYFUNCTION("""COMPUTED_VALUE"""),-0.0595)</f>
        <v>-0.0595</v>
      </c>
    </row>
    <row r="4" ht="15.75" customHeight="1">
      <c r="C4" s="2" t="str">
        <f>IFERROR(__xludf.DUMMYFUNCTION("""COMPUTED_VALUE"""),"Alemania [+]")</f>
        <v>Alemania [+]</v>
      </c>
      <c r="D4" s="2">
        <f>IFERROR(__xludf.DUMMYFUNCTION("""COMPUTED_VALUE"""),2006.0)</f>
        <v>2006</v>
      </c>
      <c r="E4" s="5">
        <f>IFERROR(__xludf.DUMMYFUNCTION("""COMPUTED_VALUE"""),2543.0)</f>
        <v>2543</v>
      </c>
      <c r="F4" s="6">
        <f>IFERROR(__xludf.DUMMYFUNCTION("""COMPUTED_VALUE"""),7231.0)</f>
        <v>7231</v>
      </c>
      <c r="G4" s="6">
        <f>IFERROR(__xludf.DUMMYFUNCTION("""COMPUTED_VALUE"""),9774.0)</f>
        <v>9774</v>
      </c>
      <c r="H4" s="2">
        <f>IFERROR(__xludf.DUMMYFUNCTION("""COMPUTED_VALUE"""),6.0)</f>
        <v>6</v>
      </c>
      <c r="I4" s="7">
        <f>IFERROR(__xludf.DUMMYFUNCTION("""COMPUTED_VALUE"""),17.9)</f>
        <v>17.9</v>
      </c>
      <c r="J4" s="2">
        <f>IFERROR(__xludf.DUMMYFUNCTION("""COMPUTED_VALUE"""),11.9)</f>
        <v>11.9</v>
      </c>
      <c r="K4" s="8">
        <f>IFERROR(__xludf.DUMMYFUNCTION("""COMPUTED_VALUE"""),-0.0403)</f>
        <v>-0.0403</v>
      </c>
    </row>
    <row r="5" ht="15.75" customHeight="1">
      <c r="C5" s="2" t="str">
        <f>IFERROR(__xludf.DUMMYFUNCTION("""COMPUTED_VALUE"""),"Reino Unido [+]")</f>
        <v>Reino Unido [+]</v>
      </c>
      <c r="D5" s="2">
        <f>IFERROR(__xludf.DUMMYFUNCTION("""COMPUTED_VALUE"""),2006.0)</f>
        <v>2006</v>
      </c>
      <c r="E5" s="2">
        <f>IFERROR(__xludf.DUMMYFUNCTION("""COMPUTED_VALUE"""),936.0)</f>
        <v>936</v>
      </c>
      <c r="F5" s="6">
        <f>IFERROR(__xludf.DUMMYFUNCTION("""COMPUTED_VALUE"""),3186.0)</f>
        <v>3186</v>
      </c>
      <c r="G5" s="6">
        <f>IFERROR(__xludf.DUMMYFUNCTION("""COMPUTED_VALUE"""),4122.0)</f>
        <v>4122</v>
      </c>
      <c r="H5" s="2">
        <f>IFERROR(__xludf.DUMMYFUNCTION("""COMPUTED_VALUE"""),3.0)</f>
        <v>3</v>
      </c>
      <c r="I5" s="7">
        <f>IFERROR(__xludf.DUMMYFUNCTION("""COMPUTED_VALUE"""),10.7)</f>
        <v>10.7</v>
      </c>
      <c r="J5" s="2">
        <f>IFERROR(__xludf.DUMMYFUNCTION("""COMPUTED_VALUE"""),6.8)</f>
        <v>6.8</v>
      </c>
      <c r="K5" s="8">
        <f>IFERROR(__xludf.DUMMYFUNCTION("""COMPUTED_VALUE"""),0.0149)</f>
        <v>0.0149</v>
      </c>
    </row>
    <row r="6" ht="15.75" customHeight="1">
      <c r="C6" s="2" t="str">
        <f>IFERROR(__xludf.DUMMYFUNCTION("""COMPUTED_VALUE"""),"Francia [+]")</f>
        <v>Francia [+]</v>
      </c>
      <c r="D6" s="2">
        <f>IFERROR(__xludf.DUMMYFUNCTION("""COMPUTED_VALUE"""),2006.0)</f>
        <v>2006</v>
      </c>
      <c r="E6" s="5">
        <f>IFERROR(__xludf.DUMMYFUNCTION("""COMPUTED_VALUE"""),2866.0)</f>
        <v>2866</v>
      </c>
      <c r="F6" s="6">
        <f>IFERROR(__xludf.DUMMYFUNCTION("""COMPUTED_VALUE"""),7744.0)</f>
        <v>7744</v>
      </c>
      <c r="G6" s="6">
        <f>IFERROR(__xludf.DUMMYFUNCTION("""COMPUTED_VALUE"""),10610.0)</f>
        <v>10610</v>
      </c>
      <c r="H6" s="2">
        <f>IFERROR(__xludf.DUMMYFUNCTION("""COMPUTED_VALUE"""),8.8)</f>
        <v>8.8</v>
      </c>
      <c r="I6" s="7">
        <f>IFERROR(__xludf.DUMMYFUNCTION("""COMPUTED_VALUE"""),25.2)</f>
        <v>25.2</v>
      </c>
      <c r="J6" s="2">
        <f>IFERROR(__xludf.DUMMYFUNCTION("""COMPUTED_VALUE"""),16.7)</f>
        <v>16.7</v>
      </c>
      <c r="K6" s="8">
        <f>IFERROR(__xludf.DUMMYFUNCTION("""COMPUTED_VALUE"""),-0.0347)</f>
        <v>-0.0347</v>
      </c>
    </row>
    <row r="7" ht="15.75" customHeight="1">
      <c r="C7" s="2" t="str">
        <f>IFERROR(__xludf.DUMMYFUNCTION("""COMPUTED_VALUE"""),"Italia [+]")</f>
        <v>Italia [+]</v>
      </c>
      <c r="D7" s="2">
        <f>IFERROR(__xludf.DUMMYFUNCTION("""COMPUTED_VALUE"""),2006.0)</f>
        <v>2006</v>
      </c>
      <c r="E7" s="5">
        <f>IFERROR(__xludf.DUMMYFUNCTION("""COMPUTED_VALUE"""),859.0)</f>
        <v>859</v>
      </c>
      <c r="F7" s="6">
        <f>IFERROR(__xludf.DUMMYFUNCTION("""COMPUTED_VALUE"""),2842.0)</f>
        <v>2842</v>
      </c>
      <c r="G7" s="6">
        <f>IFERROR(__xludf.DUMMYFUNCTION("""COMPUTED_VALUE"""),3701.0)</f>
        <v>3701</v>
      </c>
      <c r="H7" s="2">
        <f>IFERROR(__xludf.DUMMYFUNCTION("""COMPUTED_VALUE"""),2.8)</f>
        <v>2.8</v>
      </c>
      <c r="I7" s="7">
        <f>IFERROR(__xludf.DUMMYFUNCTION("""COMPUTED_VALUE"""),9.9)</f>
        <v>9.9</v>
      </c>
      <c r="J7" s="2">
        <f>IFERROR(__xludf.DUMMYFUNCTION("""COMPUTED_VALUE"""),6.3)</f>
        <v>6.3</v>
      </c>
      <c r="K7" s="8">
        <f>IFERROR(__xludf.DUMMYFUNCTION("""COMPUTED_VALUE"""),-0.0308)</f>
        <v>-0.0308</v>
      </c>
    </row>
    <row r="8" ht="15.75" customHeight="1">
      <c r="C8" s="2" t="str">
        <f>IFERROR(__xludf.DUMMYFUNCTION("""COMPUTED_VALUE"""),"Portugal [+]")</f>
        <v>Portugal [+]</v>
      </c>
      <c r="D8" s="2">
        <f>IFERROR(__xludf.DUMMYFUNCTION("""COMPUTED_VALUE"""),2006.0)</f>
        <v>2006</v>
      </c>
      <c r="E8" s="5">
        <f>IFERROR(__xludf.DUMMYFUNCTION("""COMPUTED_VALUE"""),195.0)</f>
        <v>195</v>
      </c>
      <c r="F8" s="2">
        <f>IFERROR(__xludf.DUMMYFUNCTION("""COMPUTED_VALUE"""),678.0)</f>
        <v>678</v>
      </c>
      <c r="G8" s="6">
        <f>IFERROR(__xludf.DUMMYFUNCTION("""COMPUTED_VALUE"""),873.0)</f>
        <v>873</v>
      </c>
      <c r="H8" s="2">
        <f>IFERROR(__xludf.DUMMYFUNCTION("""COMPUTED_VALUE"""),3.6)</f>
        <v>3.6</v>
      </c>
      <c r="I8" s="7">
        <f>IFERROR(__xludf.DUMMYFUNCTION("""COMPUTED_VALUE"""),13.4)</f>
        <v>13.4</v>
      </c>
      <c r="J8" s="2">
        <f>IFERROR(__xludf.DUMMYFUNCTION("""COMPUTED_VALUE"""),8.3)</f>
        <v>8.3</v>
      </c>
      <c r="K8" s="8">
        <f>IFERROR(__xludf.DUMMYFUNCTION("""COMPUTED_VALUE"""),-0.046)</f>
        <v>-0.046</v>
      </c>
    </row>
    <row r="9" ht="15.75" customHeight="1">
      <c r="C9" s="2" t="str">
        <f>IFERROR(__xludf.DUMMYFUNCTION("""COMPUTED_VALUE"""),"Estados Unidos [+]")</f>
        <v>Estados Unidos [+]</v>
      </c>
      <c r="D9" s="2">
        <f>IFERROR(__xludf.DUMMYFUNCTION("""COMPUTED_VALUE"""),2006.0)</f>
        <v>2006</v>
      </c>
      <c r="E9" s="6">
        <f>IFERROR(__xludf.DUMMYFUNCTION("""COMPUTED_VALUE"""),6967.0)</f>
        <v>6967</v>
      </c>
      <c r="F9" s="6">
        <f>IFERROR(__xludf.DUMMYFUNCTION("""COMPUTED_VALUE"""),26233.0)</f>
        <v>26233</v>
      </c>
      <c r="G9" s="6">
        <f>IFERROR(__xludf.DUMMYFUNCTION("""COMPUTED_VALUE"""),33200.0)</f>
        <v>33200</v>
      </c>
      <c r="H9" s="2">
        <f>IFERROR(__xludf.DUMMYFUNCTION("""COMPUTED_VALUE"""),4.6)</f>
        <v>4.6</v>
      </c>
      <c r="I9" s="7">
        <f>IFERROR(__xludf.DUMMYFUNCTION("""COMPUTED_VALUE"""),17.8)</f>
        <v>17.8</v>
      </c>
      <c r="J9" s="2">
        <f>IFERROR(__xludf.DUMMYFUNCTION("""COMPUTED_VALUE"""),11.1)</f>
        <v>11.1</v>
      </c>
      <c r="K9" s="8">
        <f>IFERROR(__xludf.DUMMYFUNCTION("""COMPUTED_VALUE"""),0.0091)</f>
        <v>0.0091</v>
      </c>
    </row>
    <row r="10" ht="15.75" customHeight="1">
      <c r="C10" s="2" t="str">
        <f>IFERROR(__xludf.DUMMYFUNCTION("""COMPUTED_VALUE"""),"Japón [+]")</f>
        <v>Japón [+]</v>
      </c>
      <c r="D10" s="2">
        <f>IFERROR(__xludf.DUMMYFUNCTION("""COMPUTED_VALUE"""),2006.0)</f>
        <v>2006</v>
      </c>
      <c r="E10" s="6">
        <f>IFERROR(__xludf.DUMMYFUNCTION("""COMPUTED_VALUE"""),8502.0)</f>
        <v>8502</v>
      </c>
      <c r="F10" s="6">
        <f>IFERROR(__xludf.DUMMYFUNCTION("""COMPUTED_VALUE"""),21419.0)</f>
        <v>21419</v>
      </c>
      <c r="G10" s="6">
        <f>IFERROR(__xludf.DUMMYFUNCTION("""COMPUTED_VALUE"""),29921.0)</f>
        <v>29921</v>
      </c>
      <c r="H10" s="2">
        <f>IFERROR(__xludf.DUMMYFUNCTION("""COMPUTED_VALUE"""),13.0)</f>
        <v>13</v>
      </c>
      <c r="I10" s="7">
        <f>IFERROR(__xludf.DUMMYFUNCTION("""COMPUTED_VALUE"""),34.3)</f>
        <v>34.3</v>
      </c>
      <c r="J10" s="2">
        <f>IFERROR(__xludf.DUMMYFUNCTION("""COMPUTED_VALUE"""),23.4)</f>
        <v>23.4</v>
      </c>
      <c r="K10" s="8">
        <f>IFERROR(__xludf.DUMMYFUNCTION("""COMPUTED_VALUE"""),-0.0209)</f>
        <v>-0.0209</v>
      </c>
    </row>
    <row r="11" ht="15.75" customHeight="1">
      <c r="C11" s="2" t="str">
        <f>IFERROR(__xludf.DUMMYFUNCTION("""COMPUTED_VALUE"""),"China [+]")</f>
        <v>China [+]</v>
      </c>
      <c r="D11" s="2">
        <f>IFERROR(__xludf.DUMMYFUNCTION("""COMPUTED_VALUE"""),2006.0)</f>
        <v>2006</v>
      </c>
      <c r="E11" s="6">
        <f>IFERROR(__xludf.DUMMYFUNCTION("""COMPUTED_VALUE"""),73415.0)</f>
        <v>73415</v>
      </c>
      <c r="F11" s="6">
        <f>IFERROR(__xludf.DUMMYFUNCTION("""COMPUTED_VALUE"""),59078.0)</f>
        <v>59078</v>
      </c>
      <c r="G11" s="6">
        <f>IFERROR(__xludf.DUMMYFUNCTION("""COMPUTED_VALUE"""),132493.0)</f>
        <v>132493</v>
      </c>
      <c r="H11" s="2">
        <f>IFERROR(__xludf.DUMMYFUNCTION("""COMPUTED_VALUE"""),11.52)</f>
        <v>11.52</v>
      </c>
      <c r="I11" s="7">
        <f>IFERROR(__xludf.DUMMYFUNCTION("""COMPUTED_VALUE"""),8.72)</f>
        <v>8.72</v>
      </c>
      <c r="J11" s="2">
        <f>IFERROR(__xludf.DUMMYFUNCTION("""COMPUTED_VALUE"""),10.08)</f>
        <v>10.08</v>
      </c>
      <c r="K11" s="8">
        <f>IFERROR(__xludf.DUMMYFUNCTION("""COMPUTED_VALUE"""),0.01)</f>
        <v>0.01</v>
      </c>
    </row>
    <row r="12" ht="15.75" customHeight="1">
      <c r="C12" s="2" t="str">
        <f>IFERROR(__xludf.DUMMYFUNCTION("""COMPUTED_VALUE"""),"Emiratos Árabes Unidos [+]")</f>
        <v>Emiratos Árabes Unidos [+]</v>
      </c>
      <c r="D12" s="2">
        <f>IFERROR(__xludf.DUMMYFUNCTION("""COMPUTED_VALUE"""),2006.0)</f>
        <v>2006</v>
      </c>
      <c r="E12" s="2">
        <f>IFERROR(__xludf.DUMMYFUNCTION("""COMPUTED_VALUE"""),16.0)</f>
        <v>16</v>
      </c>
      <c r="F12" s="2">
        <f>IFERROR(__xludf.DUMMYFUNCTION("""COMPUTED_VALUE"""),157.0)</f>
        <v>157</v>
      </c>
      <c r="G12" s="6">
        <f>IFERROR(__xludf.DUMMYFUNCTION("""COMPUTED_VALUE"""),173.0)</f>
        <v>173</v>
      </c>
      <c r="H12" s="2">
        <f>IFERROR(__xludf.DUMMYFUNCTION("""COMPUTED_VALUE"""),1.08)</f>
        <v>1.08</v>
      </c>
      <c r="I12" s="7">
        <f>IFERROR(__xludf.DUMMYFUNCTION("""COMPUTED_VALUE"""),4.13)</f>
        <v>4.13</v>
      </c>
      <c r="J12" s="2">
        <f>IFERROR(__xludf.DUMMYFUNCTION("""COMPUTED_VALUE"""),3.46)</f>
        <v>3.46</v>
      </c>
      <c r="K12" s="8">
        <f>IFERROR(__xludf.DUMMYFUNCTION("""COMPUTED_VALUE"""),-0.0198)</f>
        <v>-0.0198</v>
      </c>
    </row>
    <row r="13" ht="15.75" customHeight="1">
      <c r="C13" s="2" t="str">
        <f>IFERROR(__xludf.DUMMYFUNCTION("""COMPUTED_VALUE"""),"Afganistán [+]")</f>
        <v>Afganistán [+]</v>
      </c>
      <c r="D13" s="2">
        <f>IFERROR(__xludf.DUMMYFUNCTION("""COMPUTED_VALUE"""),2006.0)</f>
        <v>2006</v>
      </c>
      <c r="E13" s="2">
        <f>IFERROR(__xludf.DUMMYFUNCTION("""COMPUTED_VALUE"""),245.0)</f>
        <v>245</v>
      </c>
      <c r="F13" s="6">
        <f>IFERROR(__xludf.DUMMYFUNCTION("""COMPUTED_VALUE"""),1119.0)</f>
        <v>1119</v>
      </c>
      <c r="G13" s="6">
        <f>IFERROR(__xludf.DUMMYFUNCTION("""COMPUTED_VALUE"""),1365.0)</f>
        <v>1365</v>
      </c>
      <c r="H13" s="2">
        <f>IFERROR(__xludf.DUMMYFUNCTION("""COMPUTED_VALUE"""),1.91)</f>
        <v>1.91</v>
      </c>
      <c r="I13" s="7">
        <f>IFERROR(__xludf.DUMMYFUNCTION("""COMPUTED_VALUE"""),8.22)</f>
        <v>8.22</v>
      </c>
      <c r="J13" s="2">
        <f>IFERROR(__xludf.DUMMYFUNCTION("""COMPUTED_VALUE"""),6.32)</f>
        <v>6.32</v>
      </c>
      <c r="K13" s="8">
        <f>IFERROR(__xludf.DUMMYFUNCTION("""COMPUTED_VALUE"""),0.008)</f>
        <v>0.008</v>
      </c>
    </row>
    <row r="14" ht="15.75" customHeight="1">
      <c r="C14" s="2" t="str">
        <f>IFERROR(__xludf.DUMMYFUNCTION("""COMPUTED_VALUE"""),"Antigua y Barbuda [+]")</f>
        <v>Antigua y Barbuda [+]</v>
      </c>
      <c r="D14" s="2">
        <f>IFERROR(__xludf.DUMMYFUNCTION("""COMPUTED_VALUE"""),2006.0)</f>
        <v>2006</v>
      </c>
      <c r="E14" s="5">
        <f>IFERROR(__xludf.DUMMYFUNCTION("""COMPUTED_VALUE"""),0.0)</f>
        <v>0</v>
      </c>
      <c r="F14" s="2">
        <f>IFERROR(__xludf.DUMMYFUNCTION("""COMPUTED_VALUE"""),1.0)</f>
        <v>1</v>
      </c>
      <c r="G14" s="6">
        <f>IFERROR(__xludf.DUMMYFUNCTION("""COMPUTED_VALUE"""),1.0)</f>
        <v>1</v>
      </c>
      <c r="H14" s="2">
        <f>IFERROR(__xludf.DUMMYFUNCTION("""COMPUTED_VALUE"""),0.0)</f>
        <v>0</v>
      </c>
      <c r="I14" s="7">
        <f>IFERROR(__xludf.DUMMYFUNCTION("""COMPUTED_VALUE"""),1.36)</f>
        <v>1.36</v>
      </c>
      <c r="J14" s="2">
        <f>IFERROR(__xludf.DUMMYFUNCTION("""COMPUTED_VALUE"""),0.66)</f>
        <v>0.66</v>
      </c>
      <c r="K14" s="8">
        <f>IFERROR(__xludf.DUMMYFUNCTION("""COMPUTED_VALUE"""),-0.6048)</f>
        <v>-0.6048</v>
      </c>
    </row>
    <row r="15" ht="15.75" customHeight="1">
      <c r="C15" s="2" t="str">
        <f>IFERROR(__xludf.DUMMYFUNCTION("""COMPUTED_VALUE"""),"Albania [+]")</f>
        <v>Albania [+]</v>
      </c>
      <c r="D15" s="2">
        <f>IFERROR(__xludf.DUMMYFUNCTION("""COMPUTED_VALUE"""),2004.0)</f>
        <v>2004</v>
      </c>
      <c r="E15" s="2">
        <f>IFERROR(__xludf.DUMMYFUNCTION("""COMPUTED_VALUE"""),57.0)</f>
        <v>57</v>
      </c>
      <c r="F15" s="2">
        <f>IFERROR(__xludf.DUMMYFUNCTION("""COMPUTED_VALUE"""),89.0)</f>
        <v>89</v>
      </c>
      <c r="G15" s="2">
        <f>IFERROR(__xludf.DUMMYFUNCTION("""COMPUTED_VALUE"""),146.0)</f>
        <v>146</v>
      </c>
      <c r="H15" s="2">
        <f>IFERROR(__xludf.DUMMYFUNCTION("""COMPUTED_VALUE"""),3.6)</f>
        <v>3.6</v>
      </c>
      <c r="I15" s="7">
        <f>IFERROR(__xludf.DUMMYFUNCTION("""COMPUTED_VALUE"""),5.7)</f>
        <v>5.7</v>
      </c>
      <c r="J15" s="2">
        <f>IFERROR(__xludf.DUMMYFUNCTION("""COMPUTED_VALUE"""),4.7)</f>
        <v>4.7</v>
      </c>
      <c r="K15" s="8">
        <f>IFERROR(__xludf.DUMMYFUNCTION("""COMPUTED_VALUE"""),0.175)</f>
        <v>0.175</v>
      </c>
    </row>
    <row r="16" ht="15.75" customHeight="1">
      <c r="C16" s="2" t="str">
        <f>IFERROR(__xludf.DUMMYFUNCTION("""COMPUTED_VALUE"""),"Armenia [+]")</f>
        <v>Armenia [+]</v>
      </c>
      <c r="D16" s="2">
        <f>IFERROR(__xludf.DUMMYFUNCTION("""COMPUTED_VALUE"""),2006.0)</f>
        <v>2006</v>
      </c>
      <c r="E16" s="5">
        <f>IFERROR(__xludf.DUMMYFUNCTION("""COMPUTED_VALUE"""),30.0)</f>
        <v>30</v>
      </c>
      <c r="F16" s="2">
        <f>IFERROR(__xludf.DUMMYFUNCTION("""COMPUTED_VALUE"""),118.0)</f>
        <v>118</v>
      </c>
      <c r="G16" s="6">
        <f>IFERROR(__xludf.DUMMYFUNCTION("""COMPUTED_VALUE"""),147.0)</f>
        <v>147</v>
      </c>
      <c r="H16" s="2">
        <f>IFERROR(__xludf.DUMMYFUNCTION("""COMPUTED_VALUE"""),1.79)</f>
        <v>1.79</v>
      </c>
      <c r="I16" s="7">
        <f>IFERROR(__xludf.DUMMYFUNCTION("""COMPUTED_VALUE"""),7.56)</f>
        <v>7.56</v>
      </c>
      <c r="J16" s="2">
        <f>IFERROR(__xludf.DUMMYFUNCTION("""COMPUTED_VALUE"""),4.58)</f>
        <v>4.58</v>
      </c>
      <c r="K16" s="8">
        <f>IFERROR(__xludf.DUMMYFUNCTION("""COMPUTED_VALUE"""),0.0983)</f>
        <v>0.0983</v>
      </c>
    </row>
    <row r="17" ht="15.75" customHeight="1">
      <c r="C17" s="2" t="str">
        <f>IFERROR(__xludf.DUMMYFUNCTION("""COMPUTED_VALUE"""),"Angola [+]")</f>
        <v>Angola [+]</v>
      </c>
      <c r="D17" s="2">
        <f>IFERROR(__xludf.DUMMYFUNCTION("""COMPUTED_VALUE"""),2006.0)</f>
        <v>2006</v>
      </c>
      <c r="E17" s="6">
        <f>IFERROR(__xludf.DUMMYFUNCTION("""COMPUTED_VALUE"""),1039.0)</f>
        <v>1039</v>
      </c>
      <c r="F17" s="6">
        <f>IFERROR(__xludf.DUMMYFUNCTION("""COMPUTED_VALUE"""),2819.0)</f>
        <v>2819</v>
      </c>
      <c r="G17" s="6">
        <f>IFERROR(__xludf.DUMMYFUNCTION("""COMPUTED_VALUE"""),3858.0)</f>
        <v>3858</v>
      </c>
      <c r="H17" s="2">
        <f>IFERROR(__xludf.DUMMYFUNCTION("""COMPUTED_VALUE"""),10.22)</f>
        <v>10.22</v>
      </c>
      <c r="I17" s="7">
        <f>IFERROR(__xludf.DUMMYFUNCTION("""COMPUTED_VALUE"""),28.23)</f>
        <v>28.23</v>
      </c>
      <c r="J17" s="2">
        <f>IFERROR(__xludf.DUMMYFUNCTION("""COMPUTED_VALUE"""),18.87)</f>
        <v>18.87</v>
      </c>
      <c r="K17" s="8">
        <f>IFERROR(__xludf.DUMMYFUNCTION("""COMPUTED_VALUE"""),0.0443)</f>
        <v>0.0443</v>
      </c>
    </row>
    <row r="18" ht="15.75" customHeight="1">
      <c r="C18" s="2" t="str">
        <f>IFERROR(__xludf.DUMMYFUNCTION("""COMPUTED_VALUE"""),"Argentina [+]")</f>
        <v>Argentina [+]</v>
      </c>
      <c r="D18" s="2">
        <f>IFERROR(__xludf.DUMMYFUNCTION("""COMPUTED_VALUE"""),2006.0)</f>
        <v>2006</v>
      </c>
      <c r="E18" s="5">
        <f>IFERROR(__xludf.DUMMYFUNCTION("""COMPUTED_VALUE"""),612.0)</f>
        <v>612</v>
      </c>
      <c r="F18" s="6">
        <f>IFERROR(__xludf.DUMMYFUNCTION("""COMPUTED_VALUE"""),2502.0)</f>
        <v>2502</v>
      </c>
      <c r="G18" s="6">
        <f>IFERROR(__xludf.DUMMYFUNCTION("""COMPUTED_VALUE"""),3114.0)</f>
        <v>3114</v>
      </c>
      <c r="H18" s="2">
        <f>IFERROR(__xludf.DUMMYFUNCTION("""COMPUTED_VALUE"""),3.1)</f>
        <v>3.1</v>
      </c>
      <c r="I18" s="7">
        <f>IFERROR(__xludf.DUMMYFUNCTION("""COMPUTED_VALUE"""),13.1)</f>
        <v>13.1</v>
      </c>
      <c r="J18" s="2">
        <f>IFERROR(__xludf.DUMMYFUNCTION("""COMPUTED_VALUE"""),8.0)</f>
        <v>8</v>
      </c>
      <c r="K18" s="8">
        <f>IFERROR(__xludf.DUMMYFUNCTION("""COMPUTED_VALUE"""),0.0127)</f>
        <v>0.0127</v>
      </c>
    </row>
    <row r="19" ht="15.75" customHeight="1">
      <c r="C19" s="2" t="str">
        <f>IFERROR(__xludf.DUMMYFUNCTION("""COMPUTED_VALUE"""),"Austria [+]")</f>
        <v>Austria [+]</v>
      </c>
      <c r="D19" s="2">
        <f>IFERROR(__xludf.DUMMYFUNCTION("""COMPUTED_VALUE"""),2006.0)</f>
        <v>2006</v>
      </c>
      <c r="E19" s="2">
        <f>IFERROR(__xludf.DUMMYFUNCTION("""COMPUTED_VALUE"""),297.0)</f>
        <v>297</v>
      </c>
      <c r="F19" s="6">
        <f>IFERROR(__xludf.DUMMYFUNCTION("""COMPUTED_VALUE"""),1000.0)</f>
        <v>1000</v>
      </c>
      <c r="G19" s="6">
        <f>IFERROR(__xludf.DUMMYFUNCTION("""COMPUTED_VALUE"""),1297.0)</f>
        <v>1297</v>
      </c>
      <c r="H19" s="2">
        <f>IFERROR(__xludf.DUMMYFUNCTION("""COMPUTED_VALUE"""),7.0)</f>
        <v>7</v>
      </c>
      <c r="I19" s="7">
        <f>IFERROR(__xludf.DUMMYFUNCTION("""COMPUTED_VALUE"""),24.9)</f>
        <v>24.9</v>
      </c>
      <c r="J19" s="2">
        <f>IFERROR(__xludf.DUMMYFUNCTION("""COMPUTED_VALUE"""),15.7)</f>
        <v>15.7</v>
      </c>
      <c r="K19" s="8">
        <f>IFERROR(__xludf.DUMMYFUNCTION("""COMPUTED_VALUE"""),-0.0765)</f>
        <v>-0.0765</v>
      </c>
    </row>
    <row r="20" ht="15.75" customHeight="1">
      <c r="C20" s="2" t="str">
        <f>IFERROR(__xludf.DUMMYFUNCTION("""COMPUTED_VALUE"""),"Australia [+]")</f>
        <v>Australia [+]</v>
      </c>
      <c r="D20" s="2">
        <f>IFERROR(__xludf.DUMMYFUNCTION("""COMPUTED_VALUE"""),2006.0)</f>
        <v>2006</v>
      </c>
      <c r="E20" s="5">
        <f>IFERROR(__xludf.DUMMYFUNCTION("""COMPUTED_VALUE"""),494.0)</f>
        <v>494</v>
      </c>
      <c r="F20" s="6">
        <f>IFERROR(__xludf.DUMMYFUNCTION("""COMPUTED_VALUE"""),1624.0)</f>
        <v>1624</v>
      </c>
      <c r="G20" s="6">
        <f>IFERROR(__xludf.DUMMYFUNCTION("""COMPUTED_VALUE"""),2118.0)</f>
        <v>2118</v>
      </c>
      <c r="H20" s="2">
        <f>IFERROR(__xludf.DUMMYFUNCTION("""COMPUTED_VALUE"""),4.8)</f>
        <v>4.8</v>
      </c>
      <c r="I20" s="7">
        <f>IFERROR(__xludf.DUMMYFUNCTION("""COMPUTED_VALUE"""),16.0)</f>
        <v>16</v>
      </c>
      <c r="J20" s="2">
        <f>IFERROR(__xludf.DUMMYFUNCTION("""COMPUTED_VALUE"""),10.4)</f>
        <v>10.4</v>
      </c>
      <c r="K20" s="8">
        <f>IFERROR(__xludf.DUMMYFUNCTION("""COMPUTED_VALUE"""),-0.0189)</f>
        <v>-0.0189</v>
      </c>
    </row>
    <row r="21" ht="15.75" customHeight="1">
      <c r="C21" s="2" t="str">
        <f>IFERROR(__xludf.DUMMYFUNCTION("""COMPUTED_VALUE"""),"Azerbaiyán [+]")</f>
        <v>Azerbaiyán [+]</v>
      </c>
      <c r="D21" s="2">
        <f>IFERROR(__xludf.DUMMYFUNCTION("""COMPUTED_VALUE"""),2006.0)</f>
        <v>2006</v>
      </c>
      <c r="E21" s="2">
        <f>IFERROR(__xludf.DUMMYFUNCTION("""COMPUTED_VALUE"""),54.0)</f>
        <v>54</v>
      </c>
      <c r="F21" s="2">
        <f>IFERROR(__xludf.DUMMYFUNCTION("""COMPUTED_VALUE"""),247.0)</f>
        <v>247</v>
      </c>
      <c r="G21" s="2">
        <f>IFERROR(__xludf.DUMMYFUNCTION("""COMPUTED_VALUE"""),301.0)</f>
        <v>301</v>
      </c>
      <c r="H21" s="2">
        <f>IFERROR(__xludf.DUMMYFUNCTION("""COMPUTED_VALUE"""),1.26)</f>
        <v>1.26</v>
      </c>
      <c r="I21" s="7">
        <f>IFERROR(__xludf.DUMMYFUNCTION("""COMPUTED_VALUE"""),5.86)</f>
        <v>5.86</v>
      </c>
      <c r="J21" s="2">
        <f>IFERROR(__xludf.DUMMYFUNCTION("""COMPUTED_VALUE"""),3.53)</f>
        <v>3.53</v>
      </c>
      <c r="K21" s="8">
        <f>IFERROR(__xludf.DUMMYFUNCTION("""COMPUTED_VALUE"""),0.0262)</f>
        <v>0.0262</v>
      </c>
    </row>
    <row r="22" ht="15.75" customHeight="1">
      <c r="C22" s="2" t="str">
        <f>IFERROR(__xludf.DUMMYFUNCTION("""COMPUTED_VALUE"""),"Bosnia y Herzegovina [+]")</f>
        <v>Bosnia y Herzegovina [+]</v>
      </c>
      <c r="D22" s="2">
        <f>IFERROR(__xludf.DUMMYFUNCTION("""COMPUTED_VALUE"""),2006.0)</f>
        <v>2006</v>
      </c>
      <c r="E22" s="2">
        <f>IFERROR(__xludf.DUMMYFUNCTION("""COMPUTED_VALUE"""),61.0)</f>
        <v>61</v>
      </c>
      <c r="F22" s="2">
        <f>IFERROR(__xludf.DUMMYFUNCTION("""COMPUTED_VALUE"""),214.0)</f>
        <v>214</v>
      </c>
      <c r="G22" s="2">
        <f>IFERROR(__xludf.DUMMYFUNCTION("""COMPUTED_VALUE"""),275.0)</f>
        <v>275</v>
      </c>
      <c r="H22" s="2">
        <f>IFERROR(__xludf.DUMMYFUNCTION("""COMPUTED_VALUE"""),3.09)</f>
        <v>3.09</v>
      </c>
      <c r="I22" s="7">
        <f>IFERROR(__xludf.DUMMYFUNCTION("""COMPUTED_VALUE"""),11.37)</f>
        <v>11.37</v>
      </c>
      <c r="J22" s="2">
        <f>IFERROR(__xludf.DUMMYFUNCTION("""COMPUTED_VALUE"""),7.15)</f>
        <v>7.15</v>
      </c>
      <c r="K22" s="8">
        <f>IFERROR(__xludf.DUMMYFUNCTION("""COMPUTED_VALUE"""),-0.1051)</f>
        <v>-0.1051</v>
      </c>
    </row>
    <row r="23" ht="15.75" customHeight="1">
      <c r="C23" s="2" t="str">
        <f>IFERROR(__xludf.DUMMYFUNCTION("""COMPUTED_VALUE"""),"Barbados [+]")</f>
        <v>Barbados [+]</v>
      </c>
      <c r="D23" s="2">
        <f>IFERROR(__xludf.DUMMYFUNCTION("""COMPUTED_VALUE"""),2006.0)</f>
        <v>2006</v>
      </c>
      <c r="E23" s="2">
        <f>IFERROR(__xludf.DUMMYFUNCTION("""COMPUTED_VALUE"""),1.0)</f>
        <v>1</v>
      </c>
      <c r="F23" s="2">
        <f>IFERROR(__xludf.DUMMYFUNCTION("""COMPUTED_VALUE"""),4.0)</f>
        <v>4</v>
      </c>
      <c r="G23" s="2">
        <f>IFERROR(__xludf.DUMMYFUNCTION("""COMPUTED_VALUE"""),4.0)</f>
        <v>4</v>
      </c>
      <c r="H23" s="2">
        <f>IFERROR(__xludf.DUMMYFUNCTION("""COMPUTED_VALUE"""),0.37)</f>
        <v>0.37</v>
      </c>
      <c r="I23" s="7">
        <f>IFERROR(__xludf.DUMMYFUNCTION("""COMPUTED_VALUE"""),2.69)</f>
        <v>2.69</v>
      </c>
      <c r="J23" s="2">
        <f>IFERROR(__xludf.DUMMYFUNCTION("""COMPUTED_VALUE"""),1.5)</f>
        <v>1.5</v>
      </c>
      <c r="K23" s="8">
        <f>IFERROR(__xludf.DUMMYFUNCTION("""COMPUTED_VALUE"""),-0.3827)</f>
        <v>-0.3827</v>
      </c>
    </row>
    <row r="24" ht="15.75" customHeight="1">
      <c r="C24" s="2" t="str">
        <f>IFERROR(__xludf.DUMMYFUNCTION("""COMPUTED_VALUE"""),"Bangladés [+]")</f>
        <v>Bangladés [+]</v>
      </c>
      <c r="D24" s="2">
        <f>IFERROR(__xludf.DUMMYFUNCTION("""COMPUTED_VALUE"""),2006.0)</f>
        <v>2006</v>
      </c>
      <c r="E24" s="6">
        <f>IFERROR(__xludf.DUMMYFUNCTION("""COMPUTED_VALUE"""),6406.0)</f>
        <v>6406</v>
      </c>
      <c r="F24" s="6">
        <f>IFERROR(__xludf.DUMMYFUNCTION("""COMPUTED_VALUE"""),3340.0)</f>
        <v>3340</v>
      </c>
      <c r="G24" s="6">
        <f>IFERROR(__xludf.DUMMYFUNCTION("""COMPUTED_VALUE"""),9746.0)</f>
        <v>9746</v>
      </c>
      <c r="H24" s="2">
        <f>IFERROR(__xludf.DUMMYFUNCTION("""COMPUTED_VALUE"""),9.31)</f>
        <v>9.31</v>
      </c>
      <c r="I24" s="7">
        <f>IFERROR(__xludf.DUMMYFUNCTION("""COMPUTED_VALUE"""),4.63)</f>
        <v>4.63</v>
      </c>
      <c r="J24" s="2">
        <f>IFERROR(__xludf.DUMMYFUNCTION("""COMPUTED_VALUE"""),6.92)</f>
        <v>6.92</v>
      </c>
      <c r="K24" s="8">
        <f>IFERROR(__xludf.DUMMYFUNCTION("""COMPUTED_VALUE"""),-0.0057)</f>
        <v>-0.0057</v>
      </c>
    </row>
    <row r="25" ht="15.75" customHeight="1">
      <c r="C25" s="2" t="str">
        <f>IFERROR(__xludf.DUMMYFUNCTION("""COMPUTED_VALUE"""),"Bélgica [+]")</f>
        <v>Bélgica [+]</v>
      </c>
      <c r="D25" s="2">
        <f>IFERROR(__xludf.DUMMYFUNCTION("""COMPUTED_VALUE"""),2006.0)</f>
        <v>2006</v>
      </c>
      <c r="E25" s="2">
        <f>IFERROR(__xludf.DUMMYFUNCTION("""COMPUTED_VALUE"""),540.0)</f>
        <v>540</v>
      </c>
      <c r="F25" s="6">
        <f>IFERROR(__xludf.DUMMYFUNCTION("""COMPUTED_VALUE"""),1395.0)</f>
        <v>1395</v>
      </c>
      <c r="G25" s="6">
        <f>IFERROR(__xludf.DUMMYFUNCTION("""COMPUTED_VALUE"""),1935.0)</f>
        <v>1935</v>
      </c>
      <c r="H25" s="2">
        <f>IFERROR(__xludf.DUMMYFUNCTION("""COMPUTED_VALUE"""),10.0)</f>
        <v>10</v>
      </c>
      <c r="I25" s="7">
        <f>IFERROR(__xludf.DUMMYFUNCTION("""COMPUTED_VALUE"""),27.0)</f>
        <v>27</v>
      </c>
      <c r="J25" s="2">
        <f>IFERROR(__xludf.DUMMYFUNCTION("""COMPUTED_VALUE"""),18.3)</f>
        <v>18.3</v>
      </c>
      <c r="K25" s="8">
        <f>IFERROR(__xludf.DUMMYFUNCTION("""COMPUTED_VALUE"""),-0.0567)</f>
        <v>-0.0567</v>
      </c>
    </row>
    <row r="26" ht="15.75" customHeight="1">
      <c r="C26" s="2" t="str">
        <f>IFERROR(__xludf.DUMMYFUNCTION("""COMPUTED_VALUE"""),"Burkina Faso [+]")</f>
        <v>Burkina Faso [+]</v>
      </c>
      <c r="D26" s="2">
        <f>IFERROR(__xludf.DUMMYFUNCTION("""COMPUTED_VALUE"""),2006.0)</f>
        <v>2006</v>
      </c>
      <c r="E26" s="2">
        <f>IFERROR(__xludf.DUMMYFUNCTION("""COMPUTED_VALUE"""),374.0)</f>
        <v>374</v>
      </c>
      <c r="F26" s="2">
        <f>IFERROR(__xludf.DUMMYFUNCTION("""COMPUTED_VALUE"""),854.0)</f>
        <v>854</v>
      </c>
      <c r="G26" s="6">
        <f>IFERROR(__xludf.DUMMYFUNCTION("""COMPUTED_VALUE"""),1228.0)</f>
        <v>1228</v>
      </c>
      <c r="H26" s="2">
        <f>IFERROR(__xludf.DUMMYFUNCTION("""COMPUTED_VALUE"""),5.35)</f>
        <v>5.35</v>
      </c>
      <c r="I26" s="7">
        <f>IFERROR(__xludf.DUMMYFUNCTION("""COMPUTED_VALUE"""),12.5)</f>
        <v>12.5</v>
      </c>
      <c r="J26" s="2">
        <f>IFERROR(__xludf.DUMMYFUNCTION("""COMPUTED_VALUE"""),8.88)</f>
        <v>8.88</v>
      </c>
      <c r="K26" s="8">
        <f>IFERROR(__xludf.DUMMYFUNCTION("""COMPUTED_VALUE"""),-0.0045)</f>
        <v>-0.0045</v>
      </c>
    </row>
    <row r="27" ht="15.75" customHeight="1">
      <c r="C27" s="2" t="str">
        <f>IFERROR(__xludf.DUMMYFUNCTION("""COMPUTED_VALUE"""),"Bulgaria [+]")</f>
        <v>Bulgaria [+]</v>
      </c>
      <c r="D27" s="2">
        <f>IFERROR(__xludf.DUMMYFUNCTION("""COMPUTED_VALUE"""),2006.0)</f>
        <v>2006</v>
      </c>
      <c r="E27" s="2">
        <f>IFERROR(__xludf.DUMMYFUNCTION("""COMPUTED_VALUE"""),225.0)</f>
        <v>225</v>
      </c>
      <c r="F27" s="2">
        <f>IFERROR(__xludf.DUMMYFUNCTION("""COMPUTED_VALUE"""),752.0)</f>
        <v>752</v>
      </c>
      <c r="G27" s="2">
        <f>IFERROR(__xludf.DUMMYFUNCTION("""COMPUTED_VALUE"""),977.0)</f>
        <v>977</v>
      </c>
      <c r="H27" s="2">
        <f>IFERROR(__xludf.DUMMYFUNCTION("""COMPUTED_VALUE"""),5.7)</f>
        <v>5.7</v>
      </c>
      <c r="I27" s="7">
        <f>IFERROR(__xludf.DUMMYFUNCTION("""COMPUTED_VALUE"""),20.2)</f>
        <v>20.2</v>
      </c>
      <c r="J27" s="2">
        <f>IFERROR(__xludf.DUMMYFUNCTION("""COMPUTED_VALUE"""),12.8)</f>
        <v>12.8</v>
      </c>
      <c r="K27" s="8">
        <f>IFERROR(__xludf.DUMMYFUNCTION("""COMPUTED_VALUE"""),0.0079)</f>
        <v>0.0079</v>
      </c>
    </row>
    <row r="28" ht="15.75" customHeight="1">
      <c r="C28" s="2" t="str">
        <f>IFERROR(__xludf.DUMMYFUNCTION("""COMPUTED_VALUE"""),"Baréin [+]")</f>
        <v>Baréin [+]</v>
      </c>
      <c r="D28" s="2">
        <f>IFERROR(__xludf.DUMMYFUNCTION("""COMPUTED_VALUE"""),2006.0)</f>
        <v>2006</v>
      </c>
      <c r="E28" s="2">
        <f>IFERROR(__xludf.DUMMYFUNCTION("""COMPUTED_VALUE"""),9.0)</f>
        <v>9</v>
      </c>
      <c r="F28" s="2">
        <f>IFERROR(__xludf.DUMMYFUNCTION("""COMPUTED_VALUE"""),41.0)</f>
        <v>41</v>
      </c>
      <c r="G28" s="2">
        <f>IFERROR(__xludf.DUMMYFUNCTION("""COMPUTED_VALUE"""),50.0)</f>
        <v>50</v>
      </c>
      <c r="H28" s="2">
        <f>IFERROR(__xludf.DUMMYFUNCTION("""COMPUTED_VALUE"""),2.37)</f>
        <v>2.37</v>
      </c>
      <c r="I28" s="7">
        <f>IFERROR(__xludf.DUMMYFUNCTION("""COMPUTED_VALUE"""),7.06)</f>
        <v>7.06</v>
      </c>
      <c r="J28" s="2">
        <f>IFERROR(__xludf.DUMMYFUNCTION("""COMPUTED_VALUE"""),5.21)</f>
        <v>5.21</v>
      </c>
      <c r="K28" s="8">
        <f>IFERROR(__xludf.DUMMYFUNCTION("""COMPUTED_VALUE"""),-0.1847)</f>
        <v>-0.1847</v>
      </c>
    </row>
    <row r="29" ht="15.75" customHeight="1">
      <c r="C29" s="2" t="str">
        <f>IFERROR(__xludf.DUMMYFUNCTION("""COMPUTED_VALUE"""),"Burundi [+]")</f>
        <v>Burundi [+]</v>
      </c>
      <c r="D29" s="2">
        <f>IFERROR(__xludf.DUMMYFUNCTION("""COMPUTED_VALUE"""),2006.0)</f>
        <v>2006</v>
      </c>
      <c r="E29" s="2">
        <f>IFERROR(__xludf.DUMMYFUNCTION("""COMPUTED_VALUE"""),184.0)</f>
        <v>184</v>
      </c>
      <c r="F29" s="2">
        <f>IFERROR(__xludf.DUMMYFUNCTION("""COMPUTED_VALUE"""),530.0)</f>
        <v>530</v>
      </c>
      <c r="G29" s="2">
        <f>IFERROR(__xludf.DUMMYFUNCTION("""COMPUTED_VALUE"""),714.0)</f>
        <v>714</v>
      </c>
      <c r="H29" s="2">
        <f>IFERROR(__xludf.DUMMYFUNCTION("""COMPUTED_VALUE"""),4.77)</f>
        <v>4.77</v>
      </c>
      <c r="I29" s="7">
        <f>IFERROR(__xludf.DUMMYFUNCTION("""COMPUTED_VALUE"""),14.12)</f>
        <v>14.12</v>
      </c>
      <c r="J29" s="2">
        <f>IFERROR(__xludf.DUMMYFUNCTION("""COMPUTED_VALUE"""),9.23)</f>
        <v>9.23</v>
      </c>
      <c r="K29" s="8">
        <f>IFERROR(__xludf.DUMMYFUNCTION("""COMPUTED_VALUE"""),0.011)</f>
        <v>0.011</v>
      </c>
    </row>
    <row r="30" ht="15.75" customHeight="1">
      <c r="C30" s="2" t="str">
        <f>IFERROR(__xludf.DUMMYFUNCTION("""COMPUTED_VALUE"""),"Benin [+]")</f>
        <v>Benin [+]</v>
      </c>
      <c r="D30" s="2">
        <f>IFERROR(__xludf.DUMMYFUNCTION("""COMPUTED_VALUE"""),2006.0)</f>
        <v>2006</v>
      </c>
      <c r="E30" s="5">
        <f>IFERROR(__xludf.DUMMYFUNCTION("""COMPUTED_VALUE"""),217.0)</f>
        <v>217</v>
      </c>
      <c r="F30" s="2">
        <f>IFERROR(__xludf.DUMMYFUNCTION("""COMPUTED_VALUE"""),542.0)</f>
        <v>542</v>
      </c>
      <c r="G30" s="6">
        <f>IFERROR(__xludf.DUMMYFUNCTION("""COMPUTED_VALUE"""),759.0)</f>
        <v>759</v>
      </c>
      <c r="H30" s="2">
        <f>IFERROR(__xludf.DUMMYFUNCTION("""COMPUTED_VALUE"""),5.24)</f>
        <v>5.24</v>
      </c>
      <c r="I30" s="7">
        <f>IFERROR(__xludf.DUMMYFUNCTION("""COMPUTED_VALUE"""),13.29)</f>
        <v>13.29</v>
      </c>
      <c r="J30" s="2">
        <f>IFERROR(__xludf.DUMMYFUNCTION("""COMPUTED_VALUE"""),9.24)</f>
        <v>9.24</v>
      </c>
      <c r="K30" s="8">
        <f>IFERROR(__xludf.DUMMYFUNCTION("""COMPUTED_VALUE"""),-0.0011)</f>
        <v>-0.0011</v>
      </c>
    </row>
    <row r="31" ht="15.75" customHeight="1">
      <c r="C31" s="2" t="str">
        <f>IFERROR(__xludf.DUMMYFUNCTION("""COMPUTED_VALUE"""),"Brunéi [+]")</f>
        <v>Brunéi [+]</v>
      </c>
      <c r="D31" s="2">
        <f>IFERROR(__xludf.DUMMYFUNCTION("""COMPUTED_VALUE"""),2006.0)</f>
        <v>2006</v>
      </c>
      <c r="E31" s="2">
        <f>IFERROR(__xludf.DUMMYFUNCTION("""COMPUTED_VALUE"""),2.0)</f>
        <v>2</v>
      </c>
      <c r="F31" s="2">
        <f>IFERROR(__xludf.DUMMYFUNCTION("""COMPUTED_VALUE"""),7.0)</f>
        <v>7</v>
      </c>
      <c r="G31" s="2">
        <f>IFERROR(__xludf.DUMMYFUNCTION("""COMPUTED_VALUE"""),9.0)</f>
        <v>9</v>
      </c>
      <c r="H31" s="2">
        <f>IFERROR(__xludf.DUMMYFUNCTION("""COMPUTED_VALUE"""),1.04)</f>
        <v>1.04</v>
      </c>
      <c r="I31" s="7">
        <f>IFERROR(__xludf.DUMMYFUNCTION("""COMPUTED_VALUE"""),3.61)</f>
        <v>3.61</v>
      </c>
      <c r="J31" s="2">
        <f>IFERROR(__xludf.DUMMYFUNCTION("""COMPUTED_VALUE"""),2.39)</f>
        <v>2.39</v>
      </c>
      <c r="K31" s="8">
        <f>IFERROR(__xludf.DUMMYFUNCTION("""COMPUTED_VALUE"""),0.2448)</f>
        <v>0.2448</v>
      </c>
    </row>
    <row r="32" ht="15.75" customHeight="1">
      <c r="C32" s="2" t="str">
        <f>IFERROR(__xludf.DUMMYFUNCTION("""COMPUTED_VALUE"""),"Bolivia [+]")</f>
        <v>Bolivia [+]</v>
      </c>
      <c r="D32" s="2">
        <f>IFERROR(__xludf.DUMMYFUNCTION("""COMPUTED_VALUE"""),2006.0)</f>
        <v>2006</v>
      </c>
      <c r="E32" s="2">
        <f>IFERROR(__xludf.DUMMYFUNCTION("""COMPUTED_VALUE"""),731.0)</f>
        <v>731</v>
      </c>
      <c r="F32" s="5">
        <f>IFERROR(__xludf.DUMMYFUNCTION("""COMPUTED_VALUE"""),1297.0)</f>
        <v>1297</v>
      </c>
      <c r="G32" s="6">
        <f>IFERROR(__xludf.DUMMYFUNCTION("""COMPUTED_VALUE"""),2028.0)</f>
        <v>2028</v>
      </c>
      <c r="H32" s="6">
        <f>IFERROR(__xludf.DUMMYFUNCTION("""COMPUTED_VALUE"""),15.66)</f>
        <v>15.66</v>
      </c>
      <c r="I32" s="7">
        <f>IFERROR(__xludf.DUMMYFUNCTION("""COMPUTED_VALUE"""),27.43)</f>
        <v>27.43</v>
      </c>
      <c r="J32" s="2">
        <f>IFERROR(__xludf.DUMMYFUNCTION("""COMPUTED_VALUE"""),21.6)</f>
        <v>21.6</v>
      </c>
      <c r="K32" s="8">
        <f>IFERROR(__xludf.DUMMYFUNCTION("""COMPUTED_VALUE"""),-0.0137)</f>
        <v>-0.0137</v>
      </c>
    </row>
    <row r="33" ht="15.75" customHeight="1">
      <c r="C33" s="2" t="str">
        <f>IFERROR(__xludf.DUMMYFUNCTION("""COMPUTED_VALUE"""),"Brasil [+]")</f>
        <v>Brasil [+]</v>
      </c>
      <c r="D33" s="2">
        <f>IFERROR(__xludf.DUMMYFUNCTION("""COMPUTED_VALUE"""),2006.0)</f>
        <v>2006</v>
      </c>
      <c r="E33" s="6">
        <f>IFERROR(__xludf.DUMMYFUNCTION("""COMPUTED_VALUE"""),1805.0)</f>
        <v>1805</v>
      </c>
      <c r="F33" s="6">
        <f>IFERROR(__xludf.DUMMYFUNCTION("""COMPUTED_VALUE"""),6834.0)</f>
        <v>6834</v>
      </c>
      <c r="G33" s="6">
        <f>IFERROR(__xludf.DUMMYFUNCTION("""COMPUTED_VALUE"""),8639.0)</f>
        <v>8639</v>
      </c>
      <c r="H33" s="2">
        <f>IFERROR(__xludf.DUMMYFUNCTION("""COMPUTED_VALUE"""),1.9)</f>
        <v>1.9</v>
      </c>
      <c r="I33" s="7">
        <f>IFERROR(__xludf.DUMMYFUNCTION("""COMPUTED_VALUE"""),7.4)</f>
        <v>7.4</v>
      </c>
      <c r="J33" s="2">
        <f>IFERROR(__xludf.DUMMYFUNCTION("""COMPUTED_VALUE"""),4.6)</f>
        <v>4.6</v>
      </c>
      <c r="K33" s="4">
        <f>IFERROR(__xludf.DUMMYFUNCTION("""COMPUTED_VALUE"""),0.0)</f>
        <v>0</v>
      </c>
    </row>
    <row r="34" ht="15.75" customHeight="1">
      <c r="C34" s="2" t="str">
        <f>IFERROR(__xludf.DUMMYFUNCTION("""COMPUTED_VALUE"""),"Bahamas [+]")</f>
        <v>Bahamas [+]</v>
      </c>
      <c r="D34" s="2">
        <f>IFERROR(__xludf.DUMMYFUNCTION("""COMPUTED_VALUE"""),2006.0)</f>
        <v>2006</v>
      </c>
      <c r="E34" s="2">
        <f>IFERROR(__xludf.DUMMYFUNCTION("""COMPUTED_VALUE"""),1.0)</f>
        <v>1</v>
      </c>
      <c r="F34" s="2">
        <f>IFERROR(__xludf.DUMMYFUNCTION("""COMPUTED_VALUE"""),3.0)</f>
        <v>3</v>
      </c>
      <c r="G34" s="2">
        <f>IFERROR(__xludf.DUMMYFUNCTION("""COMPUTED_VALUE"""),5.0)</f>
        <v>5</v>
      </c>
      <c r="H34" s="2">
        <f>IFERROR(__xludf.DUMMYFUNCTION("""COMPUTED_VALUE"""),0.7)</f>
        <v>0.7</v>
      </c>
      <c r="I34" s="7">
        <f>IFERROR(__xludf.DUMMYFUNCTION("""COMPUTED_VALUE"""),2.16)</f>
        <v>2.16</v>
      </c>
      <c r="J34" s="2">
        <f>IFERROR(__xludf.DUMMYFUNCTION("""COMPUTED_VALUE"""),1.42)</f>
        <v>1.42</v>
      </c>
      <c r="K34" s="8">
        <f>IFERROR(__xludf.DUMMYFUNCTION("""COMPUTED_VALUE"""),1.1515)</f>
        <v>1.1515</v>
      </c>
    </row>
    <row r="35" ht="15.75" customHeight="1">
      <c r="C35" s="2" t="str">
        <f>IFERROR(__xludf.DUMMYFUNCTION("""COMPUTED_VALUE"""),"Bután [+]")</f>
        <v>Bután [+]</v>
      </c>
      <c r="D35" s="2">
        <f>IFERROR(__xludf.DUMMYFUNCTION("""COMPUTED_VALUE"""),2006.0)</f>
        <v>2006</v>
      </c>
      <c r="E35" s="2">
        <f>IFERROR(__xludf.DUMMYFUNCTION("""COMPUTED_VALUE"""),29.0)</f>
        <v>29</v>
      </c>
      <c r="F35" s="2">
        <f>IFERROR(__xludf.DUMMYFUNCTION("""COMPUTED_VALUE"""),50.0)</f>
        <v>50</v>
      </c>
      <c r="G35" s="2">
        <f>IFERROR(__xludf.DUMMYFUNCTION("""COMPUTED_VALUE"""),79.0)</f>
        <v>79</v>
      </c>
      <c r="H35" s="2">
        <f>IFERROR(__xludf.DUMMYFUNCTION("""COMPUTED_VALUE"""),9.36)</f>
        <v>9.36</v>
      </c>
      <c r="I35" s="7">
        <f>IFERROR(__xludf.DUMMYFUNCTION("""COMPUTED_VALUE"""),14.48)</f>
        <v>14.48</v>
      </c>
      <c r="J35" s="2">
        <f>IFERROR(__xludf.DUMMYFUNCTION("""COMPUTED_VALUE"""),12.47)</f>
        <v>12.47</v>
      </c>
      <c r="K35" s="8">
        <f>IFERROR(__xludf.DUMMYFUNCTION("""COMPUTED_VALUE"""),-0.0235)</f>
        <v>-0.0235</v>
      </c>
    </row>
    <row r="36" ht="15.75" customHeight="1">
      <c r="C36" s="2" t="str">
        <f>IFERROR(__xludf.DUMMYFUNCTION("""COMPUTED_VALUE"""),"Botsuana [+]")</f>
        <v>Botsuana [+]</v>
      </c>
      <c r="D36" s="2">
        <f>IFERROR(__xludf.DUMMYFUNCTION("""COMPUTED_VALUE"""),2006.0)</f>
        <v>2006</v>
      </c>
      <c r="E36" s="5">
        <f>IFERROR(__xludf.DUMMYFUNCTION("""COMPUTED_VALUE"""),51.0)</f>
        <v>51</v>
      </c>
      <c r="F36" s="2">
        <f>IFERROR(__xludf.DUMMYFUNCTION("""COMPUTED_VALUE"""),154.0)</f>
        <v>154</v>
      </c>
      <c r="G36" s="6">
        <f>IFERROR(__xludf.DUMMYFUNCTION("""COMPUTED_VALUE"""),206.0)</f>
        <v>206</v>
      </c>
      <c r="H36" s="2">
        <f>IFERROR(__xludf.DUMMYFUNCTION("""COMPUTED_VALUE"""),5.45)</f>
        <v>5.45</v>
      </c>
      <c r="I36" s="7">
        <f>IFERROR(__xludf.DUMMYFUNCTION("""COMPUTED_VALUE"""),17.26)</f>
        <v>17.26</v>
      </c>
      <c r="J36" s="2">
        <f>IFERROR(__xludf.DUMMYFUNCTION("""COMPUTED_VALUE"""),11.21)</f>
        <v>11.21</v>
      </c>
      <c r="K36" s="8">
        <f>IFERROR(__xludf.DUMMYFUNCTION("""COMPUTED_VALUE"""),-0.0328)</f>
        <v>-0.0328</v>
      </c>
    </row>
    <row r="37" ht="15.75" customHeight="1">
      <c r="C37" s="2" t="str">
        <f>IFERROR(__xludf.DUMMYFUNCTION("""COMPUTED_VALUE"""),"Bielorrusia [+]")</f>
        <v>Bielorrusia [+]</v>
      </c>
      <c r="D37" s="2">
        <f>IFERROR(__xludf.DUMMYFUNCTION("""COMPUTED_VALUE"""),2006.0)</f>
        <v>2006</v>
      </c>
      <c r="E37" s="2">
        <f>IFERROR(__xludf.DUMMYFUNCTION("""COMPUTED_VALUE"""),579.0)</f>
        <v>579</v>
      </c>
      <c r="F37" s="6">
        <f>IFERROR(__xludf.DUMMYFUNCTION("""COMPUTED_VALUE"""),2635.0)</f>
        <v>2635</v>
      </c>
      <c r="G37" s="6">
        <f>IFERROR(__xludf.DUMMYFUNCTION("""COMPUTED_VALUE"""),3214.0)</f>
        <v>3214</v>
      </c>
      <c r="H37" s="2">
        <f>IFERROR(__xludf.DUMMYFUNCTION("""COMPUTED_VALUE"""),11.18)</f>
        <v>11.18</v>
      </c>
      <c r="I37" s="7">
        <f>IFERROR(__xludf.DUMMYFUNCTION("""COMPUTED_VALUE"""),58.11)</f>
        <v>58.11</v>
      </c>
      <c r="J37" s="2">
        <f>IFERROR(__xludf.DUMMYFUNCTION("""COMPUTED_VALUE"""),33.08)</f>
        <v>33.08</v>
      </c>
      <c r="K37" s="8">
        <f>IFERROR(__xludf.DUMMYFUNCTION("""COMPUTED_VALUE"""),-0.0721)</f>
        <v>-0.0721</v>
      </c>
    </row>
    <row r="38" ht="15.75" customHeight="1">
      <c r="C38" s="2" t="str">
        <f>IFERROR(__xludf.DUMMYFUNCTION("""COMPUTED_VALUE"""),"Belice [+]")</f>
        <v>Belice [+]</v>
      </c>
      <c r="D38" s="2">
        <f>IFERROR(__xludf.DUMMYFUNCTION("""COMPUTED_VALUE"""),2006.0)</f>
        <v>2006</v>
      </c>
      <c r="E38" s="5">
        <f>IFERROR(__xludf.DUMMYFUNCTION("""COMPUTED_VALUE"""),2.0)</f>
        <v>2</v>
      </c>
      <c r="F38" s="2">
        <f>IFERROR(__xludf.DUMMYFUNCTION("""COMPUTED_VALUE"""),15.0)</f>
        <v>15</v>
      </c>
      <c r="G38" s="6">
        <f>IFERROR(__xludf.DUMMYFUNCTION("""COMPUTED_VALUE"""),16.0)</f>
        <v>16</v>
      </c>
      <c r="H38" s="2">
        <f>IFERROR(__xludf.DUMMYFUNCTION("""COMPUTED_VALUE"""),1.07)</f>
        <v>1.07</v>
      </c>
      <c r="I38" s="7">
        <f>IFERROR(__xludf.DUMMYFUNCTION("""COMPUTED_VALUE"""),10.02)</f>
        <v>10.02</v>
      </c>
      <c r="J38" s="2">
        <f>IFERROR(__xludf.DUMMYFUNCTION("""COMPUTED_VALUE"""),5.57)</f>
        <v>5.57</v>
      </c>
      <c r="K38" s="8">
        <f>IFERROR(__xludf.DUMMYFUNCTION("""COMPUTED_VALUE"""),0.103)</f>
        <v>0.103</v>
      </c>
    </row>
    <row r="39" ht="15.75" customHeight="1">
      <c r="C39" s="2" t="str">
        <f>IFERROR(__xludf.DUMMYFUNCTION("""COMPUTED_VALUE"""),"Canadá [+]")</f>
        <v>Canadá [+]</v>
      </c>
      <c r="D39" s="2">
        <f>IFERROR(__xludf.DUMMYFUNCTION("""COMPUTED_VALUE"""),2006.0)</f>
        <v>2006</v>
      </c>
      <c r="E39" s="5">
        <f>IFERROR(__xludf.DUMMYFUNCTION("""COMPUTED_VALUE"""),816.0)</f>
        <v>816</v>
      </c>
      <c r="F39" s="6">
        <f>IFERROR(__xludf.DUMMYFUNCTION("""COMPUTED_VALUE"""),2695.0)</f>
        <v>2695</v>
      </c>
      <c r="G39" s="6">
        <f>IFERROR(__xludf.DUMMYFUNCTION("""COMPUTED_VALUE"""),3511.0)</f>
        <v>3511</v>
      </c>
      <c r="H39" s="2">
        <f>IFERROR(__xludf.DUMMYFUNCTION("""COMPUTED_VALUE"""),5.0)</f>
        <v>5</v>
      </c>
      <c r="I39" s="7">
        <f>IFERROR(__xludf.DUMMYFUNCTION("""COMPUTED_VALUE"""),16.7)</f>
        <v>16.7</v>
      </c>
      <c r="J39" s="2">
        <f>IFERROR(__xludf.DUMMYFUNCTION("""COMPUTED_VALUE"""),10.8)</f>
        <v>10.8</v>
      </c>
      <c r="K39" s="8">
        <f>IFERROR(__xludf.DUMMYFUNCTION("""COMPUTED_VALUE"""),-0.069)</f>
        <v>-0.069</v>
      </c>
    </row>
    <row r="40" ht="15.75" customHeight="1">
      <c r="C40" s="2" t="str">
        <f>IFERROR(__xludf.DUMMYFUNCTION("""COMPUTED_VALUE"""),"República Democrática del Congo [+]")</f>
        <v>República Democrática del Congo [+]</v>
      </c>
      <c r="D40" s="2">
        <f>IFERROR(__xludf.DUMMYFUNCTION("""COMPUTED_VALUE"""),2006.0)</f>
        <v>2006</v>
      </c>
      <c r="E40" s="5">
        <f>IFERROR(__xludf.DUMMYFUNCTION("""COMPUTED_VALUE"""),1650.0)</f>
        <v>1650</v>
      </c>
      <c r="F40" s="6">
        <f>IFERROR(__xludf.DUMMYFUNCTION("""COMPUTED_VALUE"""),3973.0)</f>
        <v>3973</v>
      </c>
      <c r="G40" s="6">
        <f>IFERROR(__xludf.DUMMYFUNCTION("""COMPUTED_VALUE"""),5623.0)</f>
        <v>5623</v>
      </c>
      <c r="H40" s="2">
        <f>IFERROR(__xludf.DUMMYFUNCTION("""COMPUTED_VALUE"""),5.8)</f>
        <v>5.8</v>
      </c>
      <c r="I40" s="7">
        <f>IFERROR(__xludf.DUMMYFUNCTION("""COMPUTED_VALUE"""),14.13)</f>
        <v>14.13</v>
      </c>
      <c r="J40" s="2">
        <f>IFERROR(__xludf.DUMMYFUNCTION("""COMPUTED_VALUE"""),9.71)</f>
        <v>9.71</v>
      </c>
      <c r="K40" s="8">
        <f>IFERROR(__xludf.DUMMYFUNCTION("""COMPUTED_VALUE"""),-0.0231)</f>
        <v>-0.0231</v>
      </c>
    </row>
    <row r="41" ht="15.75" customHeight="1">
      <c r="C41" s="2" t="str">
        <f>IFERROR(__xludf.DUMMYFUNCTION("""COMPUTED_VALUE"""),"República Centroafricana [+]")</f>
        <v>República Centroafricana [+]</v>
      </c>
      <c r="D41" s="2">
        <f>IFERROR(__xludf.DUMMYFUNCTION("""COMPUTED_VALUE"""),2006.0)</f>
        <v>2006</v>
      </c>
      <c r="E41" s="2">
        <f>IFERROR(__xludf.DUMMYFUNCTION("""COMPUTED_VALUE"""),173.0)</f>
        <v>173</v>
      </c>
      <c r="F41" s="2">
        <f>IFERROR(__xludf.DUMMYFUNCTION("""COMPUTED_VALUE"""),547.0)</f>
        <v>547</v>
      </c>
      <c r="G41" s="2">
        <f>IFERROR(__xludf.DUMMYFUNCTION("""COMPUTED_VALUE"""),720.0)</f>
        <v>720</v>
      </c>
      <c r="H41" s="2">
        <f>IFERROR(__xludf.DUMMYFUNCTION("""COMPUTED_VALUE"""),8.31)</f>
        <v>8.31</v>
      </c>
      <c r="I41" s="7">
        <f>IFERROR(__xludf.DUMMYFUNCTION("""COMPUTED_VALUE"""),26.88)</f>
        <v>26.88</v>
      </c>
      <c r="J41" s="2">
        <f>IFERROR(__xludf.DUMMYFUNCTION("""COMPUTED_VALUE"""),17.49)</f>
        <v>17.49</v>
      </c>
      <c r="K41" s="8">
        <f>IFERROR(__xludf.DUMMYFUNCTION("""COMPUTED_VALUE"""),0.0776)</f>
        <v>0.0776</v>
      </c>
    </row>
    <row r="42" ht="15.75" customHeight="1">
      <c r="C42" s="2" t="str">
        <f>IFERROR(__xludf.DUMMYFUNCTION("""COMPUTED_VALUE"""),"República del Congo [+]")</f>
        <v>República del Congo [+]</v>
      </c>
      <c r="D42" s="2">
        <f>IFERROR(__xludf.DUMMYFUNCTION("""COMPUTED_VALUE"""),2006.0)</f>
        <v>2006</v>
      </c>
      <c r="E42" s="2">
        <f>IFERROR(__xludf.DUMMYFUNCTION("""COMPUTED_VALUE"""),124.0)</f>
        <v>124</v>
      </c>
      <c r="F42" s="2">
        <f>IFERROR(__xludf.DUMMYFUNCTION("""COMPUTED_VALUE"""),366.0)</f>
        <v>366</v>
      </c>
      <c r="G42" s="2">
        <f>IFERROR(__xludf.DUMMYFUNCTION("""COMPUTED_VALUE"""),490.0)</f>
        <v>490</v>
      </c>
      <c r="H42" s="2">
        <f>IFERROR(__xludf.DUMMYFUNCTION("""COMPUTED_VALUE"""),6.58)</f>
        <v>6.58</v>
      </c>
      <c r="I42" s="7">
        <f>IFERROR(__xludf.DUMMYFUNCTION("""COMPUTED_VALUE"""),19.68)</f>
        <v>19.68</v>
      </c>
      <c r="J42" s="2">
        <f>IFERROR(__xludf.DUMMYFUNCTION("""COMPUTED_VALUE"""),14.78)</f>
        <v>14.78</v>
      </c>
      <c r="K42" s="8">
        <f>IFERROR(__xludf.DUMMYFUNCTION("""COMPUTED_VALUE"""),-0.0592)</f>
        <v>-0.0592</v>
      </c>
    </row>
    <row r="43" ht="15.75" customHeight="1">
      <c r="C43" s="2" t="str">
        <f>IFERROR(__xludf.DUMMYFUNCTION("""COMPUTED_VALUE"""),"Suiza [+]")</f>
        <v>Suiza [+]</v>
      </c>
      <c r="D43" s="2">
        <f>IFERROR(__xludf.DUMMYFUNCTION("""COMPUTED_VALUE"""),2006.0)</f>
        <v>2006</v>
      </c>
      <c r="E43" s="5">
        <f>IFERROR(__xludf.DUMMYFUNCTION("""COMPUTED_VALUE"""),446.0)</f>
        <v>446</v>
      </c>
      <c r="F43" s="2">
        <f>IFERROR(__xludf.DUMMYFUNCTION("""COMPUTED_VALUE"""),863.0)</f>
        <v>863</v>
      </c>
      <c r="G43" s="6">
        <f>IFERROR(__xludf.DUMMYFUNCTION("""COMPUTED_VALUE"""),1309.0)</f>
        <v>1309</v>
      </c>
      <c r="H43" s="2">
        <f>IFERROR(__xludf.DUMMYFUNCTION("""COMPUTED_VALUE"""),11.7)</f>
        <v>11.7</v>
      </c>
      <c r="I43" s="7">
        <f>IFERROR(__xludf.DUMMYFUNCTION("""COMPUTED_VALUE"""),23.5)</f>
        <v>23.5</v>
      </c>
      <c r="J43" s="2">
        <f>IFERROR(__xludf.DUMMYFUNCTION("""COMPUTED_VALUE"""),17.5)</f>
        <v>17.5</v>
      </c>
      <c r="K43" s="4">
        <f>IFERROR(__xludf.DUMMYFUNCTION("""COMPUTED_VALUE"""),0.0)</f>
        <v>0</v>
      </c>
    </row>
    <row r="44" ht="15.75" customHeight="1">
      <c r="C44" s="2" t="str">
        <f>IFERROR(__xludf.DUMMYFUNCTION("""COMPUTED_VALUE"""),"Costa de Marfil [+]")</f>
        <v>Costa de Marfil [+]</v>
      </c>
      <c r="D44" s="2">
        <f>IFERROR(__xludf.DUMMYFUNCTION("""COMPUTED_VALUE"""),2006.0)</f>
        <v>2006</v>
      </c>
      <c r="E44" s="2">
        <f>IFERROR(__xludf.DUMMYFUNCTION("""COMPUTED_VALUE"""),723.0)</f>
        <v>723</v>
      </c>
      <c r="F44" s="6">
        <f>IFERROR(__xludf.DUMMYFUNCTION("""COMPUTED_VALUE"""),2312.0)</f>
        <v>2312</v>
      </c>
      <c r="G44" s="6">
        <f>IFERROR(__xludf.DUMMYFUNCTION("""COMPUTED_VALUE"""),3035.0)</f>
        <v>3035</v>
      </c>
      <c r="H44" s="2">
        <f>IFERROR(__xludf.DUMMYFUNCTION("""COMPUTED_VALUE"""),7.87)</f>
        <v>7.87</v>
      </c>
      <c r="I44" s="7">
        <f>IFERROR(__xludf.DUMMYFUNCTION("""COMPUTED_VALUE"""),24.16)</f>
        <v>24.16</v>
      </c>
      <c r="J44" s="2">
        <f>IFERROR(__xludf.DUMMYFUNCTION("""COMPUTED_VALUE"""),16.13)</f>
        <v>16.13</v>
      </c>
      <c r="K44" s="8">
        <f>IFERROR(__xludf.DUMMYFUNCTION("""COMPUTED_VALUE"""),0.0126)</f>
        <v>0.0126</v>
      </c>
    </row>
    <row r="45" ht="15.75" customHeight="1">
      <c r="C45" s="2" t="str">
        <f>IFERROR(__xludf.DUMMYFUNCTION("""COMPUTED_VALUE"""),"Chile [+]")</f>
        <v>Chile [+]</v>
      </c>
      <c r="D45" s="2">
        <f>IFERROR(__xludf.DUMMYFUNCTION("""COMPUTED_VALUE"""),2006.0)</f>
        <v>2006</v>
      </c>
      <c r="E45" s="5">
        <f>IFERROR(__xludf.DUMMYFUNCTION("""COMPUTED_VALUE"""),297.0)</f>
        <v>297</v>
      </c>
      <c r="F45" s="6">
        <f>IFERROR(__xludf.DUMMYFUNCTION("""COMPUTED_VALUE"""),1498.0)</f>
        <v>1498</v>
      </c>
      <c r="G45" s="6">
        <f>IFERROR(__xludf.DUMMYFUNCTION("""COMPUTED_VALUE"""),1795.0)</f>
        <v>1795</v>
      </c>
      <c r="H45" s="2">
        <f>IFERROR(__xludf.DUMMYFUNCTION("""COMPUTED_VALUE"""),3.6)</f>
        <v>3.6</v>
      </c>
      <c r="I45" s="7">
        <f>IFERROR(__xludf.DUMMYFUNCTION("""COMPUTED_VALUE"""),18.6)</f>
        <v>18.6</v>
      </c>
      <c r="J45" s="2">
        <f>IFERROR(__xludf.DUMMYFUNCTION("""COMPUTED_VALUE"""),11.0)</f>
        <v>11</v>
      </c>
      <c r="K45" s="8">
        <f>IFERROR(__xludf.DUMMYFUNCTION("""COMPUTED_VALUE"""),0.0577)</f>
        <v>0.0577</v>
      </c>
    </row>
    <row r="46" ht="15.75" customHeight="1">
      <c r="C46" s="2" t="str">
        <f>IFERROR(__xludf.DUMMYFUNCTION("""COMPUTED_VALUE"""),"Camerún [+]")</f>
        <v>Camerún [+]</v>
      </c>
      <c r="D46" s="2">
        <f>IFERROR(__xludf.DUMMYFUNCTION("""COMPUTED_VALUE"""),2006.0)</f>
        <v>2006</v>
      </c>
      <c r="E46" s="5">
        <f>IFERROR(__xludf.DUMMYFUNCTION("""COMPUTED_VALUE"""),499.0)</f>
        <v>499</v>
      </c>
      <c r="F46" s="6">
        <f>IFERROR(__xludf.DUMMYFUNCTION("""COMPUTED_VALUE"""),1667.0)</f>
        <v>1667</v>
      </c>
      <c r="G46" s="6">
        <f>IFERROR(__xludf.DUMMYFUNCTION("""COMPUTED_VALUE"""),2165.0)</f>
        <v>2165</v>
      </c>
      <c r="H46" s="2">
        <f>IFERROR(__xludf.DUMMYFUNCTION("""COMPUTED_VALUE"""),5.45)</f>
        <v>5.45</v>
      </c>
      <c r="I46" s="7">
        <f>IFERROR(__xludf.DUMMYFUNCTION("""COMPUTED_VALUE"""),18.35)</f>
        <v>18.35</v>
      </c>
      <c r="J46" s="2">
        <f>IFERROR(__xludf.DUMMYFUNCTION("""COMPUTED_VALUE"""),11.88)</f>
        <v>11.88</v>
      </c>
      <c r="K46" s="8">
        <f>IFERROR(__xludf.DUMMYFUNCTION("""COMPUTED_VALUE"""),0.0128)</f>
        <v>0.0128</v>
      </c>
    </row>
    <row r="47" ht="15.75" customHeight="1">
      <c r="C47" s="2" t="str">
        <f>IFERROR(__xludf.DUMMYFUNCTION("""COMPUTED_VALUE"""),"Colombia [+]")</f>
        <v>Colombia [+]</v>
      </c>
      <c r="D47" s="2">
        <f>IFERROR(__xludf.DUMMYFUNCTION("""COMPUTED_VALUE"""),2006.0)</f>
        <v>2006</v>
      </c>
      <c r="E47" s="2">
        <f>IFERROR(__xludf.DUMMYFUNCTION("""COMPUTED_VALUE"""),461.0)</f>
        <v>461</v>
      </c>
      <c r="F47" s="6">
        <f>IFERROR(__xludf.DUMMYFUNCTION("""COMPUTED_VALUE"""),1727.0)</f>
        <v>1727</v>
      </c>
      <c r="G47" s="6">
        <f>IFERROR(__xludf.DUMMYFUNCTION("""COMPUTED_VALUE"""),2188.0)</f>
        <v>2188</v>
      </c>
      <c r="H47" s="2">
        <f>IFERROR(__xludf.DUMMYFUNCTION("""COMPUTED_VALUE"""),2.1)</f>
        <v>2.1</v>
      </c>
      <c r="I47" s="7">
        <f>IFERROR(__xludf.DUMMYFUNCTION("""COMPUTED_VALUE"""),8.1)</f>
        <v>8.1</v>
      </c>
      <c r="J47" s="2">
        <f>IFERROR(__xludf.DUMMYFUNCTION("""COMPUTED_VALUE"""),5.0)</f>
        <v>5</v>
      </c>
      <c r="K47" s="8">
        <f>IFERROR(__xludf.DUMMYFUNCTION("""COMPUTED_VALUE"""),0.0204)</f>
        <v>0.0204</v>
      </c>
    </row>
    <row r="48" ht="15.75" customHeight="1">
      <c r="C48" s="2" t="str">
        <f>IFERROR(__xludf.DUMMYFUNCTION("""COMPUTED_VALUE"""),"Costa Rica [+]")</f>
        <v>Costa Rica [+]</v>
      </c>
      <c r="D48" s="2">
        <f>IFERROR(__xludf.DUMMYFUNCTION("""COMPUTED_VALUE"""),2006.0)</f>
        <v>2006</v>
      </c>
      <c r="E48" s="2">
        <f>IFERROR(__xludf.DUMMYFUNCTION("""COMPUTED_VALUE"""),55.0)</f>
        <v>55</v>
      </c>
      <c r="F48" s="2">
        <f>IFERROR(__xludf.DUMMYFUNCTION("""COMPUTED_VALUE"""),295.0)</f>
        <v>295</v>
      </c>
      <c r="G48" s="2">
        <f>IFERROR(__xludf.DUMMYFUNCTION("""COMPUTED_VALUE"""),350.0)</f>
        <v>350</v>
      </c>
      <c r="H48" s="2">
        <f>IFERROR(__xludf.DUMMYFUNCTION("""COMPUTED_VALUE"""),2.6)</f>
        <v>2.6</v>
      </c>
      <c r="I48" s="7">
        <f>IFERROR(__xludf.DUMMYFUNCTION("""COMPUTED_VALUE"""),13.6)</f>
        <v>13.6</v>
      </c>
      <c r="J48" s="2">
        <f>IFERROR(__xludf.DUMMYFUNCTION("""COMPUTED_VALUE"""),8.2)</f>
        <v>8.2</v>
      </c>
      <c r="K48" s="8">
        <f>IFERROR(__xludf.DUMMYFUNCTION("""COMPUTED_VALUE"""),0.2615)</f>
        <v>0.2615</v>
      </c>
    </row>
    <row r="49" ht="15.75" customHeight="1">
      <c r="C49" s="2" t="str">
        <f>IFERROR(__xludf.DUMMYFUNCTION("""COMPUTED_VALUE"""),"Cuba [+]")</f>
        <v>Cuba [+]</v>
      </c>
      <c r="D49" s="2">
        <f>IFERROR(__xludf.DUMMYFUNCTION("""COMPUTED_VALUE"""),2006.0)</f>
        <v>2006</v>
      </c>
      <c r="E49" s="5">
        <f>IFERROR(__xludf.DUMMYFUNCTION("""COMPUTED_VALUE"""),281.0)</f>
        <v>281</v>
      </c>
      <c r="F49" s="6">
        <f>IFERROR(__xludf.DUMMYFUNCTION("""COMPUTED_VALUE"""),1166.0)</f>
        <v>1166</v>
      </c>
      <c r="G49" s="6">
        <f>IFERROR(__xludf.DUMMYFUNCTION("""COMPUTED_VALUE"""),1448.0)</f>
        <v>1448</v>
      </c>
      <c r="H49" s="2">
        <f>IFERROR(__xludf.DUMMYFUNCTION("""COMPUTED_VALUE"""),4.98)</f>
        <v>4.98</v>
      </c>
      <c r="I49" s="7">
        <f>IFERROR(__xludf.DUMMYFUNCTION("""COMPUTED_VALUE"""),20.78)</f>
        <v>20.78</v>
      </c>
      <c r="J49" s="2">
        <f>IFERROR(__xludf.DUMMYFUNCTION("""COMPUTED_VALUE"""),12.85)</f>
        <v>12.85</v>
      </c>
      <c r="K49" s="8">
        <f>IFERROR(__xludf.DUMMYFUNCTION("""COMPUTED_VALUE"""),-0.0085)</f>
        <v>-0.0085</v>
      </c>
    </row>
    <row r="50" ht="15.75" customHeight="1">
      <c r="C50" s="2" t="str">
        <f>IFERROR(__xludf.DUMMYFUNCTION("""COMPUTED_VALUE"""),"Cabo Verde [+]")</f>
        <v>Cabo Verde [+]</v>
      </c>
      <c r="D50" s="2">
        <f>IFERROR(__xludf.DUMMYFUNCTION("""COMPUTED_VALUE"""),2006.0)</f>
        <v>2006</v>
      </c>
      <c r="E50" s="5">
        <f>IFERROR(__xludf.DUMMYFUNCTION("""COMPUTED_VALUE"""),13.0)</f>
        <v>13</v>
      </c>
      <c r="F50" s="2">
        <f>IFERROR(__xludf.DUMMYFUNCTION("""COMPUTED_VALUE"""),26.0)</f>
        <v>26</v>
      </c>
      <c r="G50" s="2">
        <f>IFERROR(__xludf.DUMMYFUNCTION("""COMPUTED_VALUE"""),39.0)</f>
        <v>39</v>
      </c>
      <c r="H50" s="2">
        <f>IFERROR(__xludf.DUMMYFUNCTION("""COMPUTED_VALUE"""),5.62)</f>
        <v>5.62</v>
      </c>
      <c r="I50" s="7">
        <f>IFERROR(__xludf.DUMMYFUNCTION("""COMPUTED_VALUE"""),11.16)</f>
        <v>11.16</v>
      </c>
      <c r="J50" s="2">
        <f>IFERROR(__xludf.DUMMYFUNCTION("""COMPUTED_VALUE"""),8.12)</f>
        <v>8.12</v>
      </c>
      <c r="K50" s="8">
        <f>IFERROR(__xludf.DUMMYFUNCTION("""COMPUTED_VALUE"""),0.01)</f>
        <v>0.01</v>
      </c>
    </row>
    <row r="51" ht="15.75" customHeight="1">
      <c r="C51" s="2" t="str">
        <f>IFERROR(__xludf.DUMMYFUNCTION("""COMPUTED_VALUE"""),"Chipre [+]")</f>
        <v>Chipre [+]</v>
      </c>
      <c r="D51" s="2">
        <f>IFERROR(__xludf.DUMMYFUNCTION("""COMPUTED_VALUE"""),2006.0)</f>
        <v>2006</v>
      </c>
      <c r="E51" s="5">
        <f>IFERROR(__xludf.DUMMYFUNCTION("""COMPUTED_VALUE"""),7.0)</f>
        <v>7</v>
      </c>
      <c r="F51" s="2">
        <f>IFERROR(__xludf.DUMMYFUNCTION("""COMPUTED_VALUE"""),12.0)</f>
        <v>12</v>
      </c>
      <c r="G51" s="6">
        <f>IFERROR(__xludf.DUMMYFUNCTION("""COMPUTED_VALUE"""),19.0)</f>
        <v>19</v>
      </c>
      <c r="H51" s="2">
        <f>IFERROR(__xludf.DUMMYFUNCTION("""COMPUTED_VALUE"""),1.8)</f>
        <v>1.8</v>
      </c>
      <c r="I51" s="7">
        <f>IFERROR(__xludf.DUMMYFUNCTION("""COMPUTED_VALUE"""),3.3)</f>
        <v>3.3</v>
      </c>
      <c r="J51" s="2">
        <f>IFERROR(__xludf.DUMMYFUNCTION("""COMPUTED_VALUE"""),2.5)</f>
        <v>2.5</v>
      </c>
      <c r="K51" s="8">
        <f>IFERROR(__xludf.DUMMYFUNCTION("""COMPUTED_VALUE"""),0.087)</f>
        <v>0.087</v>
      </c>
    </row>
    <row r="52" ht="15.75" customHeight="1">
      <c r="C52" s="2" t="str">
        <f>IFERROR(__xludf.DUMMYFUNCTION("""COMPUTED_VALUE"""),"Chequia [+]")</f>
        <v>Chequia [+]</v>
      </c>
      <c r="D52" s="2">
        <f>IFERROR(__xludf.DUMMYFUNCTION("""COMPUTED_VALUE"""),2006.0)</f>
        <v>2006</v>
      </c>
      <c r="E52" s="5">
        <f>IFERROR(__xludf.DUMMYFUNCTION("""COMPUTED_VALUE"""),258.0)</f>
        <v>258</v>
      </c>
      <c r="F52" s="6">
        <f>IFERROR(__xludf.DUMMYFUNCTION("""COMPUTED_VALUE"""),1142.0)</f>
        <v>1142</v>
      </c>
      <c r="G52" s="6">
        <f>IFERROR(__xludf.DUMMYFUNCTION("""COMPUTED_VALUE"""),1400.0)</f>
        <v>1400</v>
      </c>
      <c r="H52" s="2">
        <f>IFERROR(__xludf.DUMMYFUNCTION("""COMPUTED_VALUE"""),4.9)</f>
        <v>4.9</v>
      </c>
      <c r="I52" s="7">
        <f>IFERROR(__xludf.DUMMYFUNCTION("""COMPUTED_VALUE"""),22.8)</f>
        <v>22.8</v>
      </c>
      <c r="J52" s="2">
        <f>IFERROR(__xludf.DUMMYFUNCTION("""COMPUTED_VALUE"""),13.7)</f>
        <v>13.7</v>
      </c>
      <c r="K52" s="8">
        <f>IFERROR(__xludf.DUMMYFUNCTION("""COMPUTED_VALUE"""),-0.1046)</f>
        <v>-0.1046</v>
      </c>
    </row>
    <row r="53" ht="15.75" customHeight="1">
      <c r="C53" s="2" t="str">
        <f>IFERROR(__xludf.DUMMYFUNCTION("""COMPUTED_VALUE"""),"Yibuti [+]")</f>
        <v>Yibuti [+]</v>
      </c>
      <c r="D53" s="2">
        <f>IFERROR(__xludf.DUMMYFUNCTION("""COMPUTED_VALUE"""),2006.0)</f>
        <v>2006</v>
      </c>
      <c r="E53" s="5">
        <f>IFERROR(__xludf.DUMMYFUNCTION("""COMPUTED_VALUE"""),20.0)</f>
        <v>20</v>
      </c>
      <c r="F53" s="2">
        <f>IFERROR(__xludf.DUMMYFUNCTION("""COMPUTED_VALUE"""),39.0)</f>
        <v>39</v>
      </c>
      <c r="G53" s="6">
        <f>IFERROR(__xludf.DUMMYFUNCTION("""COMPUTED_VALUE"""),60.0)</f>
        <v>60</v>
      </c>
      <c r="H53" s="2">
        <f>IFERROR(__xludf.DUMMYFUNCTION("""COMPUTED_VALUE"""),5.18)</f>
        <v>5.18</v>
      </c>
      <c r="I53" s="7">
        <f>IFERROR(__xludf.DUMMYFUNCTION("""COMPUTED_VALUE"""),9.75)</f>
        <v>9.75</v>
      </c>
      <c r="J53" s="2">
        <f>IFERROR(__xludf.DUMMYFUNCTION("""COMPUTED_VALUE"""),7.49)</f>
        <v>7.49</v>
      </c>
      <c r="K53" s="8">
        <f>IFERROR(__xludf.DUMMYFUNCTION("""COMPUTED_VALUE"""),-0.0888)</f>
        <v>-0.0888</v>
      </c>
    </row>
    <row r="54" ht="15.75" customHeight="1">
      <c r="C54" s="2" t="str">
        <f>IFERROR(__xludf.DUMMYFUNCTION("""COMPUTED_VALUE"""),"Dinamarca [+]")</f>
        <v>Dinamarca [+]</v>
      </c>
      <c r="D54" s="2">
        <f>IFERROR(__xludf.DUMMYFUNCTION("""COMPUTED_VALUE"""),2006.0)</f>
        <v>2006</v>
      </c>
      <c r="E54" s="5">
        <f>IFERROR(__xludf.DUMMYFUNCTION("""COMPUTED_VALUE"""),178.0)</f>
        <v>178</v>
      </c>
      <c r="F54" s="2">
        <f>IFERROR(__xludf.DUMMYFUNCTION("""COMPUTED_VALUE"""),472.0)</f>
        <v>472</v>
      </c>
      <c r="G54" s="6">
        <f>IFERROR(__xludf.DUMMYFUNCTION("""COMPUTED_VALUE"""),650.0)</f>
        <v>650</v>
      </c>
      <c r="H54" s="2">
        <f>IFERROR(__xludf.DUMMYFUNCTION("""COMPUTED_VALUE"""),6.5)</f>
        <v>6.5</v>
      </c>
      <c r="I54" s="7">
        <f>IFERROR(__xludf.DUMMYFUNCTION("""COMPUTED_VALUE"""),17.5)</f>
        <v>17.5</v>
      </c>
      <c r="J54" s="2">
        <f>IFERROR(__xludf.DUMMYFUNCTION("""COMPUTED_VALUE"""),12.0)</f>
        <v>12</v>
      </c>
      <c r="K54" s="8">
        <f>IFERROR(__xludf.DUMMYFUNCTION("""COMPUTED_VALUE"""),0.0345)</f>
        <v>0.0345</v>
      </c>
    </row>
    <row r="55" ht="15.75" customHeight="1">
      <c r="C55" s="2" t="str">
        <f>IFERROR(__xludf.DUMMYFUNCTION("""COMPUTED_VALUE"""),"República Dominicana [+]")</f>
        <v>República Dominicana [+]</v>
      </c>
      <c r="D55" s="2">
        <f>IFERROR(__xludf.DUMMYFUNCTION("""COMPUTED_VALUE"""),2006.0)</f>
        <v>2006</v>
      </c>
      <c r="E55" s="2">
        <f>IFERROR(__xludf.DUMMYFUNCTION("""COMPUTED_VALUE"""),98.0)</f>
        <v>98</v>
      </c>
      <c r="F55" s="2">
        <f>IFERROR(__xludf.DUMMYFUNCTION("""COMPUTED_VALUE"""),524.0)</f>
        <v>524</v>
      </c>
      <c r="G55" s="2">
        <f>IFERROR(__xludf.DUMMYFUNCTION("""COMPUTED_VALUE"""),622.0)</f>
        <v>622</v>
      </c>
      <c r="H55" s="2">
        <f>IFERROR(__xludf.DUMMYFUNCTION("""COMPUTED_VALUE"""),2.15)</f>
        <v>2.15</v>
      </c>
      <c r="I55" s="7">
        <f>IFERROR(__xludf.DUMMYFUNCTION("""COMPUTED_VALUE"""),11.29)</f>
        <v>11.29</v>
      </c>
      <c r="J55" s="2">
        <f>IFERROR(__xludf.DUMMYFUNCTION("""COMPUTED_VALUE"""),6.86)</f>
        <v>6.86</v>
      </c>
      <c r="K55" s="8">
        <f>IFERROR(__xludf.DUMMYFUNCTION("""COMPUTED_VALUE"""),-0.2318)</f>
        <v>-0.2318</v>
      </c>
    </row>
    <row r="56" ht="15.75" customHeight="1">
      <c r="C56" s="2" t="str">
        <f>IFERROR(__xludf.DUMMYFUNCTION("""COMPUTED_VALUE"""),"Argelia [+]")</f>
        <v>Argelia [+]</v>
      </c>
      <c r="D56" s="2">
        <f>IFERROR(__xludf.DUMMYFUNCTION("""COMPUTED_VALUE"""),2006.0)</f>
        <v>2006</v>
      </c>
      <c r="E56" s="5">
        <f>IFERROR(__xludf.DUMMYFUNCTION("""COMPUTED_VALUE"""),325.0)</f>
        <v>325</v>
      </c>
      <c r="F56" s="2">
        <f>IFERROR(__xludf.DUMMYFUNCTION("""COMPUTED_VALUE"""),917.0)</f>
        <v>917</v>
      </c>
      <c r="G56" s="6">
        <f>IFERROR(__xludf.DUMMYFUNCTION("""COMPUTED_VALUE"""),1242.0)</f>
        <v>1242</v>
      </c>
      <c r="H56" s="2">
        <f>IFERROR(__xludf.DUMMYFUNCTION("""COMPUTED_VALUE"""),1.95)</f>
        <v>1.95</v>
      </c>
      <c r="I56" s="7">
        <f>IFERROR(__xludf.DUMMYFUNCTION("""COMPUTED_VALUE"""),5.39)</f>
        <v>5.39</v>
      </c>
      <c r="J56" s="2">
        <f>IFERROR(__xludf.DUMMYFUNCTION("""COMPUTED_VALUE"""),3.72)</f>
        <v>3.72</v>
      </c>
      <c r="K56" s="8">
        <f>IFERROR(__xludf.DUMMYFUNCTION("""COMPUTED_VALUE"""),0.0081)</f>
        <v>0.0081</v>
      </c>
    </row>
    <row r="57" ht="15.75" customHeight="1">
      <c r="C57" s="2" t="str">
        <f>IFERROR(__xludf.DUMMYFUNCTION("""COMPUTED_VALUE"""),"Ecuador [+]")</f>
        <v>Ecuador [+]</v>
      </c>
      <c r="D57" s="2">
        <f>IFERROR(__xludf.DUMMYFUNCTION("""COMPUTED_VALUE"""),2006.0)</f>
        <v>2006</v>
      </c>
      <c r="E57" s="2">
        <f>IFERROR(__xludf.DUMMYFUNCTION("""COMPUTED_VALUE"""),381.0)</f>
        <v>381</v>
      </c>
      <c r="F57" s="2">
        <f>IFERROR(__xludf.DUMMYFUNCTION("""COMPUTED_VALUE"""),817.0)</f>
        <v>817</v>
      </c>
      <c r="G57" s="6">
        <f>IFERROR(__xludf.DUMMYFUNCTION("""COMPUTED_VALUE"""),1198.0)</f>
        <v>1198</v>
      </c>
      <c r="H57" s="2">
        <f>IFERROR(__xludf.DUMMYFUNCTION("""COMPUTED_VALUE"""),5.44)</f>
        <v>5.44</v>
      </c>
      <c r="I57" s="7">
        <f>IFERROR(__xludf.DUMMYFUNCTION("""COMPUTED_VALUE"""),11.59)</f>
        <v>11.59</v>
      </c>
      <c r="J57" s="2">
        <f>IFERROR(__xludf.DUMMYFUNCTION("""COMPUTED_VALUE"""),8.58)</f>
        <v>8.58</v>
      </c>
      <c r="K57" s="8">
        <f>IFERROR(__xludf.DUMMYFUNCTION("""COMPUTED_VALUE"""),-0.0833)</f>
        <v>-0.0833</v>
      </c>
    </row>
    <row r="58" ht="15.75" customHeight="1">
      <c r="C58" s="2" t="str">
        <f>IFERROR(__xludf.DUMMYFUNCTION("""COMPUTED_VALUE"""),"Estonia [+]")</f>
        <v>Estonia [+]</v>
      </c>
      <c r="D58" s="2">
        <f>IFERROR(__xludf.DUMMYFUNCTION("""COMPUTED_VALUE"""),2006.0)</f>
        <v>2006</v>
      </c>
      <c r="E58" s="5">
        <f>IFERROR(__xludf.DUMMYFUNCTION("""COMPUTED_VALUE"""),56.0)</f>
        <v>56</v>
      </c>
      <c r="F58" s="2">
        <f>IFERROR(__xludf.DUMMYFUNCTION("""COMPUTED_VALUE"""),191.0)</f>
        <v>191</v>
      </c>
      <c r="G58" s="6">
        <f>IFERROR(__xludf.DUMMYFUNCTION("""COMPUTED_VALUE"""),247.0)</f>
        <v>247</v>
      </c>
      <c r="H58" s="2">
        <f>IFERROR(__xludf.DUMMYFUNCTION("""COMPUTED_VALUE"""),7.8)</f>
        <v>7.8</v>
      </c>
      <c r="I58" s="7">
        <f>IFERROR(__xludf.DUMMYFUNCTION("""COMPUTED_VALUE"""),30.6)</f>
        <v>30.6</v>
      </c>
      <c r="J58" s="2">
        <f>IFERROR(__xludf.DUMMYFUNCTION("""COMPUTED_VALUE"""),18.4)</f>
        <v>18.4</v>
      </c>
      <c r="K58" s="8">
        <f>IFERROR(__xludf.DUMMYFUNCTION("""COMPUTED_VALUE"""),-0.0891)</f>
        <v>-0.0891</v>
      </c>
    </row>
    <row r="59" ht="15.75" customHeight="1">
      <c r="C59" s="2" t="str">
        <f>IFERROR(__xludf.DUMMYFUNCTION("""COMPUTED_VALUE"""),"Egipto [+]")</f>
        <v>Egipto [+]</v>
      </c>
      <c r="D59" s="2">
        <f>IFERROR(__xludf.DUMMYFUNCTION("""COMPUTED_VALUE"""),2006.0)</f>
        <v>2006</v>
      </c>
      <c r="E59" s="5">
        <f>IFERROR(__xludf.DUMMYFUNCTION("""COMPUTED_VALUE"""),656.0)</f>
        <v>656</v>
      </c>
      <c r="F59" s="6">
        <f>IFERROR(__xludf.DUMMYFUNCTION("""COMPUTED_VALUE"""),1333.0)</f>
        <v>1333</v>
      </c>
      <c r="G59" s="6">
        <f>IFERROR(__xludf.DUMMYFUNCTION("""COMPUTED_VALUE"""),1989.0)</f>
        <v>1989</v>
      </c>
      <c r="H59" s="2">
        <f>IFERROR(__xludf.DUMMYFUNCTION("""COMPUTED_VALUE"""),1.72)</f>
        <v>1.72</v>
      </c>
      <c r="I59" s="7">
        <f>IFERROR(__xludf.DUMMYFUNCTION("""COMPUTED_VALUE"""),3.44)</f>
        <v>3.44</v>
      </c>
      <c r="J59" s="2">
        <f>IFERROR(__xludf.DUMMYFUNCTION("""COMPUTED_VALUE"""),2.75)</f>
        <v>2.75</v>
      </c>
      <c r="K59" s="8">
        <f>IFERROR(__xludf.DUMMYFUNCTION("""COMPUTED_VALUE"""),-0.0248)</f>
        <v>-0.0248</v>
      </c>
    </row>
    <row r="60" ht="15.75" customHeight="1">
      <c r="C60" s="2" t="str">
        <f>IFERROR(__xludf.DUMMYFUNCTION("""COMPUTED_VALUE"""),"Eritrea [+]")</f>
        <v>Eritrea [+]</v>
      </c>
      <c r="D60" s="2">
        <f>IFERROR(__xludf.DUMMYFUNCTION("""COMPUTED_VALUE"""),2006.0)</f>
        <v>2006</v>
      </c>
      <c r="E60" s="2">
        <f>IFERROR(__xludf.DUMMYFUNCTION("""COMPUTED_VALUE"""),85.0)</f>
        <v>85</v>
      </c>
      <c r="F60" s="2">
        <f>IFERROR(__xludf.DUMMYFUNCTION("""COMPUTED_VALUE"""),302.0)</f>
        <v>302</v>
      </c>
      <c r="G60" s="2">
        <f>IFERROR(__xludf.DUMMYFUNCTION("""COMPUTED_VALUE"""),387.0)</f>
        <v>387</v>
      </c>
      <c r="H60" s="2">
        <f>IFERROR(__xludf.DUMMYFUNCTION("""COMPUTED_VALUE"""),5.82)</f>
        <v>5.82</v>
      </c>
      <c r="I60" s="7">
        <f>IFERROR(__xludf.DUMMYFUNCTION("""COMPUTED_VALUE"""),20.73)</f>
        <v>20.73</v>
      </c>
      <c r="J60" s="2">
        <f>IFERROR(__xludf.DUMMYFUNCTION("""COMPUTED_VALUE"""),13.26)</f>
        <v>13.26</v>
      </c>
      <c r="K60" s="8">
        <f>IFERROR(__xludf.DUMMYFUNCTION("""COMPUTED_VALUE"""),0.0053)</f>
        <v>0.0053</v>
      </c>
    </row>
    <row r="61" ht="15.75" customHeight="1">
      <c r="C61" s="2" t="str">
        <f>IFERROR(__xludf.DUMMYFUNCTION("""COMPUTED_VALUE"""),"Etiopía [+]")</f>
        <v>Etiopía [+]</v>
      </c>
      <c r="D61" s="2">
        <f>IFERROR(__xludf.DUMMYFUNCTION("""COMPUTED_VALUE"""),2006.0)</f>
        <v>2006</v>
      </c>
      <c r="E61" s="6">
        <f>IFERROR(__xludf.DUMMYFUNCTION("""COMPUTED_VALUE"""),1321.0)</f>
        <v>1321</v>
      </c>
      <c r="F61" s="6">
        <f>IFERROR(__xludf.DUMMYFUNCTION("""COMPUTED_VALUE"""),4787.0)</f>
        <v>4787</v>
      </c>
      <c r="G61" s="6">
        <f>IFERROR(__xludf.DUMMYFUNCTION("""COMPUTED_VALUE"""),6108.0)</f>
        <v>6108</v>
      </c>
      <c r="H61" s="2">
        <f>IFERROR(__xludf.DUMMYFUNCTION("""COMPUTED_VALUE"""),3.36)</f>
        <v>3.36</v>
      </c>
      <c r="I61" s="7">
        <f>IFERROR(__xludf.DUMMYFUNCTION("""COMPUTED_VALUE"""),12.23)</f>
        <v>12.23</v>
      </c>
      <c r="J61" s="2">
        <f>IFERROR(__xludf.DUMMYFUNCTION("""COMPUTED_VALUE"""),7.93)</f>
        <v>7.93</v>
      </c>
      <c r="K61" s="8">
        <f>IFERROR(__xludf.DUMMYFUNCTION("""COMPUTED_VALUE"""),-0.0173)</f>
        <v>-0.0173</v>
      </c>
    </row>
    <row r="62" ht="15.75" customHeight="1">
      <c r="C62" s="2" t="str">
        <f>IFERROR(__xludf.DUMMYFUNCTION("""COMPUTED_VALUE"""),"Finlandia [+]")</f>
        <v>Finlandia [+]</v>
      </c>
      <c r="D62" s="2">
        <f>IFERROR(__xludf.DUMMYFUNCTION("""COMPUTED_VALUE"""),2006.0)</f>
        <v>2006</v>
      </c>
      <c r="E62" s="2">
        <f>IFERROR(__xludf.DUMMYFUNCTION("""COMPUTED_VALUE"""),259.0)</f>
        <v>259</v>
      </c>
      <c r="F62" s="2">
        <f>IFERROR(__xludf.DUMMYFUNCTION("""COMPUTED_VALUE"""),803.0)</f>
        <v>803</v>
      </c>
      <c r="G62" s="6">
        <f>IFERROR(__xludf.DUMMYFUNCTION("""COMPUTED_VALUE"""),1062.0)</f>
        <v>1062</v>
      </c>
      <c r="H62" s="2">
        <f>IFERROR(__xludf.DUMMYFUNCTION("""COMPUTED_VALUE"""),9.6)</f>
        <v>9.6</v>
      </c>
      <c r="I62" s="7">
        <f>IFERROR(__xludf.DUMMYFUNCTION("""COMPUTED_VALUE"""),31.1)</f>
        <v>31.1</v>
      </c>
      <c r="J62" s="2">
        <f>IFERROR(__xludf.DUMMYFUNCTION("""COMPUTED_VALUE"""),20.2)</f>
        <v>20.2</v>
      </c>
      <c r="K62" s="8">
        <f>IFERROR(__xludf.DUMMYFUNCTION("""COMPUTED_VALUE"""),0.0688)</f>
        <v>0.0688</v>
      </c>
    </row>
    <row r="63" ht="15.75" customHeight="1">
      <c r="C63" s="2" t="str">
        <f>IFERROR(__xludf.DUMMYFUNCTION("""COMPUTED_VALUE"""),"Fiyi [+]")</f>
        <v>Fiyi [+]</v>
      </c>
      <c r="D63" s="2">
        <f>IFERROR(__xludf.DUMMYFUNCTION("""COMPUTED_VALUE"""),2006.0)</f>
        <v>2006</v>
      </c>
      <c r="E63" s="2">
        <f>IFERROR(__xludf.DUMMYFUNCTION("""COMPUTED_VALUE"""),20.0)</f>
        <v>20</v>
      </c>
      <c r="F63" s="2">
        <f>IFERROR(__xludf.DUMMYFUNCTION("""COMPUTED_VALUE"""),56.0)</f>
        <v>56</v>
      </c>
      <c r="G63" s="2">
        <f>IFERROR(__xludf.DUMMYFUNCTION("""COMPUTED_VALUE"""),76.0)</f>
        <v>76</v>
      </c>
      <c r="H63" s="2">
        <f>IFERROR(__xludf.DUMMYFUNCTION("""COMPUTED_VALUE"""),4.82)</f>
        <v>4.82</v>
      </c>
      <c r="I63" s="7">
        <f>IFERROR(__xludf.DUMMYFUNCTION("""COMPUTED_VALUE"""),13.31)</f>
        <v>13.31</v>
      </c>
      <c r="J63" s="2">
        <f>IFERROR(__xludf.DUMMYFUNCTION("""COMPUTED_VALUE"""),9.11)</f>
        <v>9.11</v>
      </c>
      <c r="K63" s="8">
        <f>IFERROR(__xludf.DUMMYFUNCTION("""COMPUTED_VALUE"""),-0.0119)</f>
        <v>-0.0119</v>
      </c>
    </row>
    <row r="64" ht="15.75" customHeight="1">
      <c r="C64" s="2" t="str">
        <f>IFERROR(__xludf.DUMMYFUNCTION("""COMPUTED_VALUE"""),"Estados Federados de Micronesia [+]")</f>
        <v>Estados Federados de Micronesia [+]</v>
      </c>
      <c r="D64" s="2">
        <f>IFERROR(__xludf.DUMMYFUNCTION("""COMPUTED_VALUE"""),2006.0)</f>
        <v>2006</v>
      </c>
      <c r="E64" s="5">
        <f>IFERROR(__xludf.DUMMYFUNCTION("""COMPUTED_VALUE"""),4.0)</f>
        <v>4</v>
      </c>
      <c r="F64" s="2">
        <f>IFERROR(__xludf.DUMMYFUNCTION("""COMPUTED_VALUE"""),8.0)</f>
        <v>8</v>
      </c>
      <c r="G64" s="6">
        <f>IFERROR(__xludf.DUMMYFUNCTION("""COMPUTED_VALUE"""),12.0)</f>
        <v>12</v>
      </c>
      <c r="H64" s="2">
        <f>IFERROR(__xludf.DUMMYFUNCTION("""COMPUTED_VALUE"""),7.59)</f>
        <v>7.59</v>
      </c>
      <c r="I64" s="7">
        <f>IFERROR(__xludf.DUMMYFUNCTION("""COMPUTED_VALUE"""),15.52)</f>
        <v>15.52</v>
      </c>
      <c r="J64" s="2">
        <f>IFERROR(__xludf.DUMMYFUNCTION("""COMPUTED_VALUE"""),11.66)</f>
        <v>11.66</v>
      </c>
      <c r="K64" s="8">
        <f>IFERROR(__xludf.DUMMYFUNCTION("""COMPUTED_VALUE"""),-0.0185)</f>
        <v>-0.0185</v>
      </c>
    </row>
    <row r="65" ht="15.75" customHeight="1">
      <c r="C65" s="2" t="str">
        <f>IFERROR(__xludf.DUMMYFUNCTION("""COMPUTED_VALUE"""),"Gabón [+]")</f>
        <v>Gabón [+]</v>
      </c>
      <c r="D65" s="2">
        <f>IFERROR(__xludf.DUMMYFUNCTION("""COMPUTED_VALUE"""),2006.0)</f>
        <v>2006</v>
      </c>
      <c r="E65" s="5">
        <f>IFERROR(__xludf.DUMMYFUNCTION("""COMPUTED_VALUE"""),43.0)</f>
        <v>43</v>
      </c>
      <c r="F65" s="2">
        <f>IFERROR(__xludf.DUMMYFUNCTION("""COMPUTED_VALUE"""),103.0)</f>
        <v>103</v>
      </c>
      <c r="G65" s="2">
        <f>IFERROR(__xludf.DUMMYFUNCTION("""COMPUTED_VALUE"""),146.0)</f>
        <v>146</v>
      </c>
      <c r="H65" s="2">
        <f>IFERROR(__xludf.DUMMYFUNCTION("""COMPUTED_VALUE"""),6.02)</f>
        <v>6.02</v>
      </c>
      <c r="I65" s="7">
        <f>IFERROR(__xludf.DUMMYFUNCTION("""COMPUTED_VALUE"""),14.42)</f>
        <v>14.42</v>
      </c>
      <c r="J65" s="2">
        <f>IFERROR(__xludf.DUMMYFUNCTION("""COMPUTED_VALUE"""),10.46)</f>
        <v>10.46</v>
      </c>
      <c r="K65" s="8">
        <f>IFERROR(__xludf.DUMMYFUNCTION("""COMPUTED_VALUE"""),0.047)</f>
        <v>0.047</v>
      </c>
    </row>
    <row r="66" ht="15.75" customHeight="1">
      <c r="C66" s="2" t="str">
        <f>IFERROR(__xludf.DUMMYFUNCTION("""COMPUTED_VALUE"""),"Granada [+]")</f>
        <v>Granada [+]</v>
      </c>
      <c r="D66" s="2">
        <f>IFERROR(__xludf.DUMMYFUNCTION("""COMPUTED_VALUE"""),2006.0)</f>
        <v>2006</v>
      </c>
      <c r="E66" s="2">
        <f>IFERROR(__xludf.DUMMYFUNCTION("""COMPUTED_VALUE"""),1.0)</f>
        <v>1</v>
      </c>
      <c r="F66" s="2">
        <f>IFERROR(__xludf.DUMMYFUNCTION("""COMPUTED_VALUE"""),3.0)</f>
        <v>3</v>
      </c>
      <c r="G66" s="6">
        <f>IFERROR(__xludf.DUMMYFUNCTION("""COMPUTED_VALUE"""),4.0)</f>
        <v>4</v>
      </c>
      <c r="H66" s="2">
        <f>IFERROR(__xludf.DUMMYFUNCTION("""COMPUTED_VALUE"""),1.23)</f>
        <v>1.23</v>
      </c>
      <c r="I66" s="7">
        <f>IFERROR(__xludf.DUMMYFUNCTION("""COMPUTED_VALUE"""),5.6)</f>
        <v>5.6</v>
      </c>
      <c r="J66" s="2">
        <f>IFERROR(__xludf.DUMMYFUNCTION("""COMPUTED_VALUE"""),3.42)</f>
        <v>3.42</v>
      </c>
      <c r="K66" s="8">
        <f>IFERROR(__xludf.DUMMYFUNCTION("""COMPUTED_VALUE"""),0.3735)</f>
        <v>0.3735</v>
      </c>
    </row>
    <row r="67" ht="15.75" customHeight="1">
      <c r="C67" s="2" t="str">
        <f>IFERROR(__xludf.DUMMYFUNCTION("""COMPUTED_VALUE"""),"Georgia [+]")</f>
        <v>Georgia [+]</v>
      </c>
      <c r="D67" s="2">
        <f>IFERROR(__xludf.DUMMYFUNCTION("""COMPUTED_VALUE"""),2006.0)</f>
        <v>2006</v>
      </c>
      <c r="E67" s="2">
        <f>IFERROR(__xludf.DUMMYFUNCTION("""COMPUTED_VALUE"""),42.0)</f>
        <v>42</v>
      </c>
      <c r="F67" s="2">
        <f>IFERROR(__xludf.DUMMYFUNCTION("""COMPUTED_VALUE"""),187.0)</f>
        <v>187</v>
      </c>
      <c r="G67" s="2">
        <f>IFERROR(__xludf.DUMMYFUNCTION("""COMPUTED_VALUE"""),229.0)</f>
        <v>229</v>
      </c>
      <c r="H67" s="2">
        <f>IFERROR(__xludf.DUMMYFUNCTION("""COMPUTED_VALUE"""),1.82)</f>
        <v>1.82</v>
      </c>
      <c r="I67" s="7">
        <f>IFERROR(__xludf.DUMMYFUNCTION("""COMPUTED_VALUE"""),8.98)</f>
        <v>8.98</v>
      </c>
      <c r="J67" s="2">
        <f>IFERROR(__xludf.DUMMYFUNCTION("""COMPUTED_VALUE"""),5.21)</f>
        <v>5.21</v>
      </c>
      <c r="K67" s="8">
        <f>IFERROR(__xludf.DUMMYFUNCTION("""COMPUTED_VALUE"""),0.0337)</f>
        <v>0.0337</v>
      </c>
    </row>
    <row r="68" ht="15.75" customHeight="1">
      <c r="C68" s="2" t="str">
        <f>IFERROR(__xludf.DUMMYFUNCTION("""COMPUTED_VALUE"""),"Ghana [+]")</f>
        <v>Ghana [+]</v>
      </c>
      <c r="D68" s="2">
        <f>IFERROR(__xludf.DUMMYFUNCTION("""COMPUTED_VALUE"""),2006.0)</f>
        <v>2006</v>
      </c>
      <c r="E68" s="2">
        <f>IFERROR(__xludf.DUMMYFUNCTION("""COMPUTED_VALUE"""),287.0)</f>
        <v>287</v>
      </c>
      <c r="F68" s="6">
        <f>IFERROR(__xludf.DUMMYFUNCTION("""COMPUTED_VALUE"""),1025.0)</f>
        <v>1025</v>
      </c>
      <c r="G68" s="6">
        <f>IFERROR(__xludf.DUMMYFUNCTION("""COMPUTED_VALUE"""),1312.0)</f>
        <v>1312</v>
      </c>
      <c r="H68" s="2">
        <f>IFERROR(__xludf.DUMMYFUNCTION("""COMPUTED_VALUE"""),2.6)</f>
        <v>2.6</v>
      </c>
      <c r="I68" s="7">
        <f>IFERROR(__xludf.DUMMYFUNCTION("""COMPUTED_VALUE"""),9.06)</f>
        <v>9.06</v>
      </c>
      <c r="J68" s="2">
        <f>IFERROR(__xludf.DUMMYFUNCTION("""COMPUTED_VALUE"""),6.0)</f>
        <v>6</v>
      </c>
      <c r="K68" s="8">
        <f>IFERROR(__xludf.DUMMYFUNCTION("""COMPUTED_VALUE"""),-0.0476)</f>
        <v>-0.0476</v>
      </c>
    </row>
    <row r="69" ht="15.75" customHeight="1">
      <c r="C69" s="2" t="str">
        <f>IFERROR(__xludf.DUMMYFUNCTION("""COMPUTED_VALUE"""),"Gambia [+]")</f>
        <v>Gambia [+]</v>
      </c>
      <c r="D69" s="2">
        <f>IFERROR(__xludf.DUMMYFUNCTION("""COMPUTED_VALUE"""),2006.0)</f>
        <v>2006</v>
      </c>
      <c r="E69" s="5">
        <f>IFERROR(__xludf.DUMMYFUNCTION("""COMPUTED_VALUE"""),31.0)</f>
        <v>31</v>
      </c>
      <c r="F69" s="2">
        <f>IFERROR(__xludf.DUMMYFUNCTION("""COMPUTED_VALUE"""),67.0)</f>
        <v>67</v>
      </c>
      <c r="G69" s="6">
        <f>IFERROR(__xludf.DUMMYFUNCTION("""COMPUTED_VALUE"""),98.0)</f>
        <v>98</v>
      </c>
      <c r="H69" s="2">
        <f>IFERROR(__xludf.DUMMYFUNCTION("""COMPUTED_VALUE"""),3.87)</f>
        <v>3.87</v>
      </c>
      <c r="I69" s="7">
        <f>IFERROR(__xludf.DUMMYFUNCTION("""COMPUTED_VALUE"""),8.44)</f>
        <v>8.44</v>
      </c>
      <c r="J69" s="2">
        <f>IFERROR(__xludf.DUMMYFUNCTION("""COMPUTED_VALUE"""),6.15)</f>
        <v>6.15</v>
      </c>
      <c r="K69" s="8">
        <f>IFERROR(__xludf.DUMMYFUNCTION("""COMPUTED_VALUE"""),-0.0361)</f>
        <v>-0.0361</v>
      </c>
    </row>
    <row r="70" ht="15.75" customHeight="1">
      <c r="C70" s="2" t="str">
        <f>IFERROR(__xludf.DUMMYFUNCTION("""COMPUTED_VALUE"""),"Guinea [+]")</f>
        <v>Guinea [+]</v>
      </c>
      <c r="D70" s="2">
        <f>IFERROR(__xludf.DUMMYFUNCTION("""COMPUTED_VALUE"""),2006.0)</f>
        <v>2006</v>
      </c>
      <c r="E70" s="5">
        <f>IFERROR(__xludf.DUMMYFUNCTION("""COMPUTED_VALUE"""),209.0)</f>
        <v>209</v>
      </c>
      <c r="F70" s="2">
        <f>IFERROR(__xludf.DUMMYFUNCTION("""COMPUTED_VALUE"""),543.0)</f>
        <v>543</v>
      </c>
      <c r="G70" s="6">
        <f>IFERROR(__xludf.DUMMYFUNCTION("""COMPUTED_VALUE"""),752.0)</f>
        <v>752</v>
      </c>
      <c r="H70" s="2">
        <f>IFERROR(__xludf.DUMMYFUNCTION("""COMPUTED_VALUE"""),4.28)</f>
        <v>4.28</v>
      </c>
      <c r="I70" s="7">
        <f>IFERROR(__xludf.DUMMYFUNCTION("""COMPUTED_VALUE"""),12.24)</f>
        <v>12.24</v>
      </c>
      <c r="J70" s="2">
        <f>IFERROR(__xludf.DUMMYFUNCTION("""COMPUTED_VALUE"""),7.67)</f>
        <v>7.67</v>
      </c>
      <c r="K70" s="8">
        <f>IFERROR(__xludf.DUMMYFUNCTION("""COMPUTED_VALUE"""),0.0213)</f>
        <v>0.0213</v>
      </c>
    </row>
    <row r="71" ht="15.75" customHeight="1">
      <c r="C71" s="2" t="str">
        <f>IFERROR(__xludf.DUMMYFUNCTION("""COMPUTED_VALUE"""),"Guinea Ecuatorial [+]")</f>
        <v>Guinea Ecuatorial [+]</v>
      </c>
      <c r="D71" s="2">
        <f>IFERROR(__xludf.DUMMYFUNCTION("""COMPUTED_VALUE"""),2006.0)</f>
        <v>2006</v>
      </c>
      <c r="E71" s="5">
        <f>IFERROR(__xludf.DUMMYFUNCTION("""COMPUTED_VALUE"""),37.0)</f>
        <v>37</v>
      </c>
      <c r="F71" s="2">
        <f>IFERROR(__xludf.DUMMYFUNCTION("""COMPUTED_VALUE"""),117.0)</f>
        <v>117</v>
      </c>
      <c r="G71" s="6">
        <f>IFERROR(__xludf.DUMMYFUNCTION("""COMPUTED_VALUE"""),154.0)</f>
        <v>154</v>
      </c>
      <c r="H71" s="2">
        <f>IFERROR(__xludf.DUMMYFUNCTION("""COMPUTED_VALUE"""),10.08)</f>
        <v>10.08</v>
      </c>
      <c r="I71" s="7">
        <f>IFERROR(__xludf.DUMMYFUNCTION("""COMPUTED_VALUE"""),27.99)</f>
        <v>27.99</v>
      </c>
      <c r="J71" s="2">
        <f>IFERROR(__xludf.DUMMYFUNCTION("""COMPUTED_VALUE"""),19.45)</f>
        <v>19.45</v>
      </c>
      <c r="K71" s="8">
        <f>IFERROR(__xludf.DUMMYFUNCTION("""COMPUTED_VALUE"""),0.0989)</f>
        <v>0.0989</v>
      </c>
    </row>
    <row r="72" ht="15.75" customHeight="1">
      <c r="C72" s="2" t="str">
        <f>IFERROR(__xludf.DUMMYFUNCTION("""COMPUTED_VALUE"""),"Grecia [+]")</f>
        <v>Grecia [+]</v>
      </c>
      <c r="D72" s="2">
        <f>IFERROR(__xludf.DUMMYFUNCTION("""COMPUTED_VALUE"""),2006.0)</f>
        <v>2006</v>
      </c>
      <c r="E72" s="2">
        <f>IFERROR(__xludf.DUMMYFUNCTION("""COMPUTED_VALUE"""),68.0)</f>
        <v>68</v>
      </c>
      <c r="F72" s="2">
        <f>IFERROR(__xludf.DUMMYFUNCTION("""COMPUTED_VALUE"""),326.0)</f>
        <v>326</v>
      </c>
      <c r="G72" s="2">
        <f>IFERROR(__xludf.DUMMYFUNCTION("""COMPUTED_VALUE"""),394.0)</f>
        <v>394</v>
      </c>
      <c r="H72" s="2">
        <f>IFERROR(__xludf.DUMMYFUNCTION("""COMPUTED_VALUE"""),1.2)</f>
        <v>1.2</v>
      </c>
      <c r="I72" s="7">
        <f>IFERROR(__xludf.DUMMYFUNCTION("""COMPUTED_VALUE"""),5.9)</f>
        <v>5.9</v>
      </c>
      <c r="J72" s="2">
        <f>IFERROR(__xludf.DUMMYFUNCTION("""COMPUTED_VALUE"""),3.5)</f>
        <v>3.5</v>
      </c>
      <c r="K72" s="8">
        <f>IFERROR(__xludf.DUMMYFUNCTION("""COMPUTED_VALUE"""),-0.0278)</f>
        <v>-0.0278</v>
      </c>
    </row>
    <row r="73" ht="15.75" customHeight="1">
      <c r="C73" s="2" t="str">
        <f>IFERROR(__xludf.DUMMYFUNCTION("""COMPUTED_VALUE"""),"Guatemala [+]")</f>
        <v>Guatemala [+]</v>
      </c>
      <c r="D73" s="2">
        <f>IFERROR(__xludf.DUMMYFUNCTION("""COMPUTED_VALUE"""),2006.0)</f>
        <v>2006</v>
      </c>
      <c r="E73" s="2">
        <f>IFERROR(__xludf.DUMMYFUNCTION("""COMPUTED_VALUE"""),137.0)</f>
        <v>137</v>
      </c>
      <c r="F73" s="2">
        <f>IFERROR(__xludf.DUMMYFUNCTION("""COMPUTED_VALUE"""),464.0)</f>
        <v>464</v>
      </c>
      <c r="G73" s="2">
        <f>IFERROR(__xludf.DUMMYFUNCTION("""COMPUTED_VALUE"""),602.0)</f>
        <v>602</v>
      </c>
      <c r="H73" s="2">
        <f>IFERROR(__xludf.DUMMYFUNCTION("""COMPUTED_VALUE"""),2.04)</f>
        <v>2.04</v>
      </c>
      <c r="I73" s="7">
        <f>IFERROR(__xludf.DUMMYFUNCTION("""COMPUTED_VALUE"""),7.17)</f>
        <v>7.17</v>
      </c>
      <c r="J73" s="2">
        <f>IFERROR(__xludf.DUMMYFUNCTION("""COMPUTED_VALUE"""),4.49)</f>
        <v>4.49</v>
      </c>
      <c r="K73" s="8">
        <f>IFERROR(__xludf.DUMMYFUNCTION("""COMPUTED_VALUE"""),0.2612)</f>
        <v>0.2612</v>
      </c>
    </row>
    <row r="74" ht="15.75" customHeight="1">
      <c r="C74" s="2" t="str">
        <f>IFERROR(__xludf.DUMMYFUNCTION("""COMPUTED_VALUE"""),"Guinea-Bisáu [+]")</f>
        <v>Guinea-Bisáu [+]</v>
      </c>
      <c r="D74" s="2">
        <f>IFERROR(__xludf.DUMMYFUNCTION("""COMPUTED_VALUE"""),2006.0)</f>
        <v>2006</v>
      </c>
      <c r="E74" s="2">
        <f>IFERROR(__xludf.DUMMYFUNCTION("""COMPUTED_VALUE"""),32.0)</f>
        <v>32</v>
      </c>
      <c r="F74" s="2">
        <f>IFERROR(__xludf.DUMMYFUNCTION("""COMPUTED_VALUE"""),70.0)</f>
        <v>70</v>
      </c>
      <c r="G74" s="2">
        <f>IFERROR(__xludf.DUMMYFUNCTION("""COMPUTED_VALUE"""),102.0)</f>
        <v>102</v>
      </c>
      <c r="H74" s="2">
        <f>IFERROR(__xludf.DUMMYFUNCTION("""COMPUTED_VALUE"""),4.51)</f>
        <v>4.51</v>
      </c>
      <c r="I74" s="7">
        <f>IFERROR(__xludf.DUMMYFUNCTION("""COMPUTED_VALUE"""),10.45)</f>
        <v>10.45</v>
      </c>
      <c r="J74" s="2">
        <f>IFERROR(__xludf.DUMMYFUNCTION("""COMPUTED_VALUE"""),7.5)</f>
        <v>7.5</v>
      </c>
      <c r="K74" s="8">
        <f>IFERROR(__xludf.DUMMYFUNCTION("""COMPUTED_VALUE"""),0.004)</f>
        <v>0.004</v>
      </c>
    </row>
    <row r="75" ht="15.75" customHeight="1">
      <c r="C75" s="2" t="str">
        <f>IFERROR(__xludf.DUMMYFUNCTION("""COMPUTED_VALUE"""),"Guyana [+]")</f>
        <v>Guyana [+]</v>
      </c>
      <c r="D75" s="2">
        <f>IFERROR(__xludf.DUMMYFUNCTION("""COMPUTED_VALUE"""),2006.0)</f>
        <v>2006</v>
      </c>
      <c r="E75" s="5">
        <f>IFERROR(__xludf.DUMMYFUNCTION("""COMPUTED_VALUE"""),49.0)</f>
        <v>49</v>
      </c>
      <c r="F75" s="2">
        <f>IFERROR(__xludf.DUMMYFUNCTION("""COMPUTED_VALUE"""),127.0)</f>
        <v>127</v>
      </c>
      <c r="G75" s="2">
        <f>IFERROR(__xludf.DUMMYFUNCTION("""COMPUTED_VALUE"""),176.0)</f>
        <v>176</v>
      </c>
      <c r="H75" s="2">
        <f>IFERROR(__xludf.DUMMYFUNCTION("""COMPUTED_VALUE"""),13.12)</f>
        <v>13.12</v>
      </c>
      <c r="I75" s="7">
        <f>IFERROR(__xludf.DUMMYFUNCTION("""COMPUTED_VALUE"""),33.9)</f>
        <v>33.9</v>
      </c>
      <c r="J75" s="2">
        <f>IFERROR(__xludf.DUMMYFUNCTION("""COMPUTED_VALUE"""),23.59)</f>
        <v>23.59</v>
      </c>
      <c r="K75" s="8">
        <f>IFERROR(__xludf.DUMMYFUNCTION("""COMPUTED_VALUE"""),-0.0159)</f>
        <v>-0.0159</v>
      </c>
    </row>
    <row r="76" ht="15.75" customHeight="1">
      <c r="C76" s="2" t="str">
        <f>IFERROR(__xludf.DUMMYFUNCTION("""COMPUTED_VALUE"""),"Honduras [+]")</f>
        <v>Honduras [+]</v>
      </c>
      <c r="D76" s="2">
        <f>IFERROR(__xludf.DUMMYFUNCTION("""COMPUTED_VALUE"""),2006.0)</f>
        <v>2006</v>
      </c>
      <c r="E76" s="2">
        <f>IFERROR(__xludf.DUMMYFUNCTION("""COMPUTED_VALUE"""),105.0)</f>
        <v>105</v>
      </c>
      <c r="F76" s="2">
        <f>IFERROR(__xludf.DUMMYFUNCTION("""COMPUTED_VALUE"""),185.0)</f>
        <v>185</v>
      </c>
      <c r="G76" s="2">
        <f>IFERROR(__xludf.DUMMYFUNCTION("""COMPUTED_VALUE"""),291.0)</f>
        <v>291</v>
      </c>
      <c r="H76" s="2">
        <f>IFERROR(__xludf.DUMMYFUNCTION("""COMPUTED_VALUE"""),2.75)</f>
        <v>2.75</v>
      </c>
      <c r="I76" s="7">
        <f>IFERROR(__xludf.DUMMYFUNCTION("""COMPUTED_VALUE"""),4.87)</f>
        <v>4.87</v>
      </c>
      <c r="J76" s="2">
        <f>IFERROR(__xludf.DUMMYFUNCTION("""COMPUTED_VALUE"""),3.81)</f>
        <v>3.81</v>
      </c>
      <c r="K76" s="8">
        <f>IFERROR(__xludf.DUMMYFUNCTION("""COMPUTED_VALUE"""),0.0855)</f>
        <v>0.0855</v>
      </c>
    </row>
    <row r="77" ht="15.75" customHeight="1">
      <c r="C77" s="2" t="str">
        <f>IFERROR(__xludf.DUMMYFUNCTION("""COMPUTED_VALUE"""),"Croacia [+]")</f>
        <v>Croacia [+]</v>
      </c>
      <c r="D77" s="2">
        <f>IFERROR(__xludf.DUMMYFUNCTION("""COMPUTED_VALUE"""),2006.0)</f>
        <v>2006</v>
      </c>
      <c r="E77" s="5">
        <f>IFERROR(__xludf.DUMMYFUNCTION("""COMPUTED_VALUE"""),223.0)</f>
        <v>223</v>
      </c>
      <c r="F77" s="2">
        <f>IFERROR(__xludf.DUMMYFUNCTION("""COMPUTED_VALUE"""),575.0)</f>
        <v>575</v>
      </c>
      <c r="G77" s="6">
        <f>IFERROR(__xludf.DUMMYFUNCTION("""COMPUTED_VALUE"""),798.0)</f>
        <v>798</v>
      </c>
      <c r="H77" s="2">
        <f>IFERROR(__xludf.DUMMYFUNCTION("""COMPUTED_VALUE"""),9.7)</f>
        <v>9.7</v>
      </c>
      <c r="I77" s="7">
        <f>IFERROR(__xludf.DUMMYFUNCTION("""COMPUTED_VALUE"""),26.9)</f>
        <v>26.9</v>
      </c>
      <c r="J77" s="2">
        <f>IFERROR(__xludf.DUMMYFUNCTION("""COMPUTED_VALUE"""),18.0)</f>
        <v>18</v>
      </c>
      <c r="K77" s="8">
        <f>IFERROR(__xludf.DUMMYFUNCTION("""COMPUTED_VALUE"""),-0.0863)</f>
        <v>-0.0863</v>
      </c>
    </row>
    <row r="78" ht="15.75" customHeight="1">
      <c r="C78" s="2" t="str">
        <f>IFERROR(__xludf.DUMMYFUNCTION("""COMPUTED_VALUE"""),"Haití [+]")</f>
        <v>Haití [+]</v>
      </c>
      <c r="D78" s="2">
        <f>IFERROR(__xludf.DUMMYFUNCTION("""COMPUTED_VALUE"""),2006.0)</f>
        <v>2006</v>
      </c>
      <c r="E78" s="2">
        <f>IFERROR(__xludf.DUMMYFUNCTION("""COMPUTED_VALUE"""),203.0)</f>
        <v>203</v>
      </c>
      <c r="F78" s="2">
        <f>IFERROR(__xludf.DUMMYFUNCTION("""COMPUTED_VALUE"""),608.0)</f>
        <v>608</v>
      </c>
      <c r="G78" s="2">
        <f>IFERROR(__xludf.DUMMYFUNCTION("""COMPUTED_VALUE"""),811.0)</f>
        <v>811</v>
      </c>
      <c r="H78" s="2">
        <f>IFERROR(__xludf.DUMMYFUNCTION("""COMPUTED_VALUE"""),4.27)</f>
        <v>4.27</v>
      </c>
      <c r="I78" s="7">
        <f>IFERROR(__xludf.DUMMYFUNCTION("""COMPUTED_VALUE"""),13.2)</f>
        <v>13.2</v>
      </c>
      <c r="J78" s="2">
        <f>IFERROR(__xludf.DUMMYFUNCTION("""COMPUTED_VALUE"""),8.67)</f>
        <v>8.67</v>
      </c>
      <c r="K78" s="8">
        <f>IFERROR(__xludf.DUMMYFUNCTION("""COMPUTED_VALUE"""),-0.0091)</f>
        <v>-0.0091</v>
      </c>
    </row>
    <row r="79" ht="15.75" customHeight="1">
      <c r="C79" s="2" t="str">
        <f>IFERROR(__xludf.DUMMYFUNCTION("""COMPUTED_VALUE"""),"Hungría [+]")</f>
        <v>Hungría [+]</v>
      </c>
      <c r="D79" s="2">
        <f>IFERROR(__xludf.DUMMYFUNCTION("""COMPUTED_VALUE"""),2006.0)</f>
        <v>2006</v>
      </c>
      <c r="E79" s="2">
        <f>IFERROR(__xludf.DUMMYFUNCTION("""COMPUTED_VALUE"""),600.0)</f>
        <v>600</v>
      </c>
      <c r="F79" s="6">
        <f>IFERROR(__xludf.DUMMYFUNCTION("""COMPUTED_VALUE"""),1861.0)</f>
        <v>1861</v>
      </c>
      <c r="G79" s="6">
        <f>IFERROR(__xludf.DUMMYFUNCTION("""COMPUTED_VALUE"""),2461.0)</f>
        <v>2461</v>
      </c>
      <c r="H79" s="2">
        <f>IFERROR(__xludf.DUMMYFUNCTION("""COMPUTED_VALUE"""),11.3)</f>
        <v>11.3</v>
      </c>
      <c r="I79" s="7">
        <f>IFERROR(__xludf.DUMMYFUNCTION("""COMPUTED_VALUE"""),38.9)</f>
        <v>38.9</v>
      </c>
      <c r="J79" s="2">
        <f>IFERROR(__xludf.DUMMYFUNCTION("""COMPUTED_VALUE"""),24.4)</f>
        <v>24.4</v>
      </c>
      <c r="K79" s="8">
        <f>IFERROR(__xludf.DUMMYFUNCTION("""COMPUTED_VALUE"""),-0.0615)</f>
        <v>-0.0615</v>
      </c>
    </row>
    <row r="80" ht="15.75" customHeight="1">
      <c r="C80" s="2" t="str">
        <f>IFERROR(__xludf.DUMMYFUNCTION("""COMPUTED_VALUE"""),"Indonesia [+]")</f>
        <v>Indonesia [+]</v>
      </c>
      <c r="D80" s="2">
        <f>IFERROR(__xludf.DUMMYFUNCTION("""COMPUTED_VALUE"""),2006.0)</f>
        <v>2006</v>
      </c>
      <c r="E80" s="6">
        <f>IFERROR(__xludf.DUMMYFUNCTION("""COMPUTED_VALUE"""),2063.0)</f>
        <v>2063</v>
      </c>
      <c r="F80" s="6">
        <f>IFERROR(__xludf.DUMMYFUNCTION("""COMPUTED_VALUE"""),5366.0)</f>
        <v>5366</v>
      </c>
      <c r="G80" s="6">
        <f>IFERROR(__xludf.DUMMYFUNCTION("""COMPUTED_VALUE"""),7429.0)</f>
        <v>7429</v>
      </c>
      <c r="H80" s="2">
        <f>IFERROR(__xludf.DUMMYFUNCTION("""COMPUTED_VALUE"""),1.81)</f>
        <v>1.81</v>
      </c>
      <c r="I80" s="7">
        <f>IFERROR(__xludf.DUMMYFUNCTION("""COMPUTED_VALUE"""),4.66)</f>
        <v>4.66</v>
      </c>
      <c r="J80" s="2">
        <f>IFERROR(__xludf.DUMMYFUNCTION("""COMPUTED_VALUE"""),3.31)</f>
        <v>3.31</v>
      </c>
      <c r="K80" s="8">
        <f>IFERROR(__xludf.DUMMYFUNCTION("""COMPUTED_VALUE"""),0.0091)</f>
        <v>0.0091</v>
      </c>
    </row>
    <row r="81" ht="15.75" customHeight="1">
      <c r="C81" s="2" t="str">
        <f>IFERROR(__xludf.DUMMYFUNCTION("""COMPUTED_VALUE"""),"Irlanda [+]")</f>
        <v>Irlanda [+]</v>
      </c>
      <c r="D81" s="2">
        <f>IFERROR(__xludf.DUMMYFUNCTION("""COMPUTED_VALUE"""),2006.0)</f>
        <v>2006</v>
      </c>
      <c r="E81" s="2">
        <f>IFERROR(__xludf.DUMMYFUNCTION("""COMPUTED_VALUE"""),80.0)</f>
        <v>80</v>
      </c>
      <c r="F81" s="2">
        <f>IFERROR(__xludf.DUMMYFUNCTION("""COMPUTED_VALUE"""),372.0)</f>
        <v>372</v>
      </c>
      <c r="G81" s="2">
        <f>IFERROR(__xludf.DUMMYFUNCTION("""COMPUTED_VALUE"""),452.0)</f>
        <v>452</v>
      </c>
      <c r="H81" s="2">
        <f>IFERROR(__xludf.DUMMYFUNCTION("""COMPUTED_VALUE"""),3.7)</f>
        <v>3.7</v>
      </c>
      <c r="I81" s="7">
        <f>IFERROR(__xludf.DUMMYFUNCTION("""COMPUTED_VALUE"""),17.4)</f>
        <v>17.4</v>
      </c>
      <c r="J81" s="2">
        <f>IFERROR(__xludf.DUMMYFUNCTION("""COMPUTED_VALUE"""),10.6)</f>
        <v>10.6</v>
      </c>
      <c r="K81" s="8">
        <f>IFERROR(__xludf.DUMMYFUNCTION("""COMPUTED_VALUE"""),-0.0185)</f>
        <v>-0.0185</v>
      </c>
    </row>
    <row r="82" ht="15.75" customHeight="1">
      <c r="C82" s="2" t="str">
        <f>IFERROR(__xludf.DUMMYFUNCTION("""COMPUTED_VALUE"""),"Israel [+]")</f>
        <v>Israel [+]</v>
      </c>
      <c r="D82" s="2">
        <f>IFERROR(__xludf.DUMMYFUNCTION("""COMPUTED_VALUE"""),2006.0)</f>
        <v>2006</v>
      </c>
      <c r="E82" s="2">
        <f>IFERROR(__xludf.DUMMYFUNCTION("""COMPUTED_VALUE"""),88.0)</f>
        <v>88</v>
      </c>
      <c r="F82" s="2">
        <f>IFERROR(__xludf.DUMMYFUNCTION("""COMPUTED_VALUE"""),279.0)</f>
        <v>279</v>
      </c>
      <c r="G82" s="2">
        <f>IFERROR(__xludf.DUMMYFUNCTION("""COMPUTED_VALUE"""),367.0)</f>
        <v>367</v>
      </c>
      <c r="H82" s="2">
        <f>IFERROR(__xludf.DUMMYFUNCTION("""COMPUTED_VALUE"""),2.5)</f>
        <v>2.5</v>
      </c>
      <c r="I82" s="7">
        <f>IFERROR(__xludf.DUMMYFUNCTION("""COMPUTED_VALUE"""),8.0)</f>
        <v>8</v>
      </c>
      <c r="J82" s="2">
        <f>IFERROR(__xludf.DUMMYFUNCTION("""COMPUTED_VALUE"""),5.2)</f>
        <v>5.2</v>
      </c>
      <c r="K82" s="8">
        <f>IFERROR(__xludf.DUMMYFUNCTION("""COMPUTED_VALUE"""),-0.1475)</f>
        <v>-0.1475</v>
      </c>
    </row>
    <row r="83" ht="15.75" customHeight="1">
      <c r="C83" s="2" t="str">
        <f>IFERROR(__xludf.DUMMYFUNCTION("""COMPUTED_VALUE"""),"India [+]")</f>
        <v>India [+]</v>
      </c>
      <c r="D83" s="2">
        <f>IFERROR(__xludf.DUMMYFUNCTION("""COMPUTED_VALUE"""),2006.0)</f>
        <v>2006</v>
      </c>
      <c r="E83" s="6">
        <f>IFERROR(__xludf.DUMMYFUNCTION("""COMPUTED_VALUE"""),93413.0)</f>
        <v>93413</v>
      </c>
      <c r="F83" s="6">
        <f>IFERROR(__xludf.DUMMYFUNCTION("""COMPUTED_VALUE"""),109870.0)</f>
        <v>109870</v>
      </c>
      <c r="G83" s="6">
        <f>IFERROR(__xludf.DUMMYFUNCTION("""COMPUTED_VALUE"""),203282.0)</f>
        <v>203282</v>
      </c>
      <c r="H83" s="2">
        <f>IFERROR(__xludf.DUMMYFUNCTION("""COMPUTED_VALUE"""),16.71)</f>
        <v>16.71</v>
      </c>
      <c r="I83" s="7">
        <f>IFERROR(__xludf.DUMMYFUNCTION("""COMPUTED_VALUE"""),18.12)</f>
        <v>18.12</v>
      </c>
      <c r="J83" s="2">
        <f>IFERROR(__xludf.DUMMYFUNCTION("""COMPUTED_VALUE"""),17.44)</f>
        <v>17.44</v>
      </c>
      <c r="K83" s="8">
        <f>IFERROR(__xludf.DUMMYFUNCTION("""COMPUTED_VALUE"""),0.0023)</f>
        <v>0.0023</v>
      </c>
    </row>
    <row r="84" ht="15.75" customHeight="1">
      <c r="C84" s="2" t="str">
        <f>IFERROR(__xludf.DUMMYFUNCTION("""COMPUTED_VALUE"""),"Irak [+]")</f>
        <v>Irak [+]</v>
      </c>
      <c r="D84" s="2">
        <f>IFERROR(__xludf.DUMMYFUNCTION("""COMPUTED_VALUE"""),2006.0)</f>
        <v>2006</v>
      </c>
      <c r="E84" s="2">
        <f>IFERROR(__xludf.DUMMYFUNCTION("""COMPUTED_VALUE"""),300.0)</f>
        <v>300</v>
      </c>
      <c r="F84" s="2">
        <f>IFERROR(__xludf.DUMMYFUNCTION("""COMPUTED_VALUE"""),388.0)</f>
        <v>388</v>
      </c>
      <c r="G84" s="2">
        <f>IFERROR(__xludf.DUMMYFUNCTION("""COMPUTED_VALUE"""),688.0)</f>
        <v>688</v>
      </c>
      <c r="H84" s="2">
        <f>IFERROR(__xludf.DUMMYFUNCTION("""COMPUTED_VALUE"""),2.21)</f>
        <v>2.21</v>
      </c>
      <c r="I84" s="7">
        <f>IFERROR(__xludf.DUMMYFUNCTION("""COMPUTED_VALUE"""),2.8)</f>
        <v>2.8</v>
      </c>
      <c r="J84" s="2">
        <f>IFERROR(__xludf.DUMMYFUNCTION("""COMPUTED_VALUE"""),2.45)</f>
        <v>2.45</v>
      </c>
      <c r="K84" s="8">
        <f>IFERROR(__xludf.DUMMYFUNCTION("""COMPUTED_VALUE"""),0.0251)</f>
        <v>0.0251</v>
      </c>
    </row>
    <row r="85" ht="15.75" customHeight="1">
      <c r="C85" s="2" t="str">
        <f>IFERROR(__xludf.DUMMYFUNCTION("""COMPUTED_VALUE"""),"Irán [+]")</f>
        <v>Irán [+]</v>
      </c>
      <c r="D85" s="2">
        <f>IFERROR(__xludf.DUMMYFUNCTION("""COMPUTED_VALUE"""),2006.0)</f>
        <v>2006</v>
      </c>
      <c r="E85" s="6">
        <f>IFERROR(__xludf.DUMMYFUNCTION("""COMPUTED_VALUE"""),2576.0)</f>
        <v>2576</v>
      </c>
      <c r="F85" s="6">
        <f>IFERROR(__xludf.DUMMYFUNCTION("""COMPUTED_VALUE"""),4518.0)</f>
        <v>4518</v>
      </c>
      <c r="G85" s="6">
        <f>IFERROR(__xludf.DUMMYFUNCTION("""COMPUTED_VALUE"""),7094.0)</f>
        <v>7094</v>
      </c>
      <c r="H85" s="2">
        <f>IFERROR(__xludf.DUMMYFUNCTION("""COMPUTED_VALUE"""),7.42)</f>
        <v>7.42</v>
      </c>
      <c r="I85" s="7">
        <f>IFERROR(__xludf.DUMMYFUNCTION("""COMPUTED_VALUE"""),12.61)</f>
        <v>12.61</v>
      </c>
      <c r="J85" s="2">
        <f>IFERROR(__xludf.DUMMYFUNCTION("""COMPUTED_VALUE"""),10.06)</f>
        <v>10.06</v>
      </c>
      <c r="K85" s="8">
        <f>IFERROR(__xludf.DUMMYFUNCTION("""COMPUTED_VALUE"""),0.0393)</f>
        <v>0.0393</v>
      </c>
    </row>
    <row r="86" ht="15.75" customHeight="1">
      <c r="C86" s="2" t="str">
        <f>IFERROR(__xludf.DUMMYFUNCTION("""COMPUTED_VALUE"""),"Islandia [+]")</f>
        <v>Islandia [+]</v>
      </c>
      <c r="D86" s="2">
        <f>IFERROR(__xludf.DUMMYFUNCTION("""COMPUTED_VALUE"""),2006.0)</f>
        <v>2006</v>
      </c>
      <c r="E86" s="5">
        <f>IFERROR(__xludf.DUMMYFUNCTION("""COMPUTED_VALUE"""),10.0)</f>
        <v>10</v>
      </c>
      <c r="F86" s="2">
        <f>IFERROR(__xludf.DUMMYFUNCTION("""COMPUTED_VALUE"""),22.0)</f>
        <v>22</v>
      </c>
      <c r="G86" s="2">
        <f>IFERROR(__xludf.DUMMYFUNCTION("""COMPUTED_VALUE"""),32.0)</f>
        <v>32</v>
      </c>
      <c r="H86" s="2">
        <f>IFERROR(__xludf.DUMMYFUNCTION("""COMPUTED_VALUE"""),6.7)</f>
        <v>6.7</v>
      </c>
      <c r="I86" s="7">
        <f>IFERROR(__xludf.DUMMYFUNCTION("""COMPUTED_VALUE"""),14.3)</f>
        <v>14.3</v>
      </c>
      <c r="J86" s="2">
        <f>IFERROR(__xludf.DUMMYFUNCTION("""COMPUTED_VALUE"""),10.5)</f>
        <v>10.5</v>
      </c>
      <c r="K86" s="8">
        <f>IFERROR(__xludf.DUMMYFUNCTION("""COMPUTED_VALUE"""),-0.0541)</f>
        <v>-0.0541</v>
      </c>
    </row>
    <row r="87" ht="15.75" customHeight="1">
      <c r="C87" s="2" t="str">
        <f>IFERROR(__xludf.DUMMYFUNCTION("""COMPUTED_VALUE"""),"Jamaica [+]")</f>
        <v>Jamaica [+]</v>
      </c>
      <c r="D87" s="2">
        <f>IFERROR(__xludf.DUMMYFUNCTION("""COMPUTED_VALUE"""),2006.0)</f>
        <v>2006</v>
      </c>
      <c r="E87" s="5">
        <f>IFERROR(__xludf.DUMMYFUNCTION("""COMPUTED_VALUE"""),5.0)</f>
        <v>5</v>
      </c>
      <c r="F87" s="2">
        <f>IFERROR(__xludf.DUMMYFUNCTION("""COMPUTED_VALUE"""),2.0)</f>
        <v>2</v>
      </c>
      <c r="G87" s="6">
        <f>IFERROR(__xludf.DUMMYFUNCTION("""COMPUTED_VALUE"""),6.0)</f>
        <v>6</v>
      </c>
      <c r="H87" s="2">
        <f>IFERROR(__xludf.DUMMYFUNCTION("""COMPUTED_VALUE"""),0.33)</f>
        <v>0.33</v>
      </c>
      <c r="I87" s="7">
        <f>IFERROR(__xludf.DUMMYFUNCTION("""COMPUTED_VALUE"""),0.11)</f>
        <v>0.11</v>
      </c>
      <c r="J87" s="2">
        <f>IFERROR(__xludf.DUMMYFUNCTION("""COMPUTED_VALUE"""),0.23)</f>
        <v>0.23</v>
      </c>
      <c r="K87" s="8">
        <f>IFERROR(__xludf.DUMMYFUNCTION("""COMPUTED_VALUE"""),-0.8808)</f>
        <v>-0.8808</v>
      </c>
    </row>
    <row r="88" ht="15.75" customHeight="1">
      <c r="C88" s="2" t="str">
        <f>IFERROR(__xludf.DUMMYFUNCTION("""COMPUTED_VALUE"""),"Jordania [+]")</f>
        <v>Jordania [+]</v>
      </c>
      <c r="D88" s="2">
        <f>IFERROR(__xludf.DUMMYFUNCTION("""COMPUTED_VALUE"""),2006.0)</f>
        <v>2006</v>
      </c>
      <c r="E88" s="5">
        <f>IFERROR(__xludf.DUMMYFUNCTION("""COMPUTED_VALUE"""),52.0)</f>
        <v>52</v>
      </c>
      <c r="F88" s="2">
        <f>IFERROR(__xludf.DUMMYFUNCTION("""COMPUTED_VALUE"""),130.0)</f>
        <v>130</v>
      </c>
      <c r="G88" s="6">
        <f>IFERROR(__xludf.DUMMYFUNCTION("""COMPUTED_VALUE"""),182.0)</f>
        <v>182</v>
      </c>
      <c r="H88" s="2">
        <f>IFERROR(__xludf.DUMMYFUNCTION("""COMPUTED_VALUE"""),1.78)</f>
        <v>1.78</v>
      </c>
      <c r="I88" s="7">
        <f>IFERROR(__xludf.DUMMYFUNCTION("""COMPUTED_VALUE"""),4.22)</f>
        <v>4.22</v>
      </c>
      <c r="J88" s="2">
        <f>IFERROR(__xludf.DUMMYFUNCTION("""COMPUTED_VALUE"""),3.04)</f>
        <v>3.04</v>
      </c>
      <c r="K88" s="8">
        <f>IFERROR(__xludf.DUMMYFUNCTION("""COMPUTED_VALUE"""),-0.041)</f>
        <v>-0.041</v>
      </c>
    </row>
    <row r="89" ht="15.75" customHeight="1">
      <c r="C89" s="2" t="str">
        <f>IFERROR(__xludf.DUMMYFUNCTION("""COMPUTED_VALUE"""),"Kenia [+]")</f>
        <v>Kenia [+]</v>
      </c>
      <c r="D89" s="2">
        <f>IFERROR(__xludf.DUMMYFUNCTION("""COMPUTED_VALUE"""),2006.0)</f>
        <v>2006</v>
      </c>
      <c r="E89" s="2">
        <f>IFERROR(__xludf.DUMMYFUNCTION("""COMPUTED_VALUE"""),505.0)</f>
        <v>505</v>
      </c>
      <c r="F89" s="6">
        <f>IFERROR(__xludf.DUMMYFUNCTION("""COMPUTED_VALUE"""),1961.0)</f>
        <v>1961</v>
      </c>
      <c r="G89" s="6">
        <f>IFERROR(__xludf.DUMMYFUNCTION("""COMPUTED_VALUE"""),2466.0)</f>
        <v>2466</v>
      </c>
      <c r="H89" s="2">
        <f>IFERROR(__xludf.DUMMYFUNCTION("""COMPUTED_VALUE"""),2.66)</f>
        <v>2.66</v>
      </c>
      <c r="I89" s="7">
        <f>IFERROR(__xludf.DUMMYFUNCTION("""COMPUTED_VALUE"""),10.5)</f>
        <v>10.5</v>
      </c>
      <c r="J89" s="2">
        <f>IFERROR(__xludf.DUMMYFUNCTION("""COMPUTED_VALUE"""),7.11)</f>
        <v>7.11</v>
      </c>
      <c r="K89" s="8">
        <f>IFERROR(__xludf.DUMMYFUNCTION("""COMPUTED_VALUE"""),0.0143)</f>
        <v>0.0143</v>
      </c>
    </row>
    <row r="90" ht="15.75" customHeight="1">
      <c r="C90" s="2" t="str">
        <f>IFERROR(__xludf.DUMMYFUNCTION("""COMPUTED_VALUE"""),"Kirguistán [+]")</f>
        <v>Kirguistán [+]</v>
      </c>
      <c r="D90" s="2">
        <f>IFERROR(__xludf.DUMMYFUNCTION("""COMPUTED_VALUE"""),2006.0)</f>
        <v>2006</v>
      </c>
      <c r="E90" s="2">
        <f>IFERROR(__xludf.DUMMYFUNCTION("""COMPUTED_VALUE"""),107.0)</f>
        <v>107</v>
      </c>
      <c r="F90" s="2">
        <f>IFERROR(__xludf.DUMMYFUNCTION("""COMPUTED_VALUE"""),436.0)</f>
        <v>436</v>
      </c>
      <c r="G90" s="2">
        <f>IFERROR(__xludf.DUMMYFUNCTION("""COMPUTED_VALUE"""),543.0)</f>
        <v>543</v>
      </c>
      <c r="H90" s="2">
        <f>IFERROR(__xludf.DUMMYFUNCTION("""COMPUTED_VALUE"""),4.07)</f>
        <v>4.07</v>
      </c>
      <c r="I90" s="7">
        <f>IFERROR(__xludf.DUMMYFUNCTION("""COMPUTED_VALUE"""),16.87)</f>
        <v>16.87</v>
      </c>
      <c r="J90" s="2">
        <f>IFERROR(__xludf.DUMMYFUNCTION("""COMPUTED_VALUE"""),10.47)</f>
        <v>10.47</v>
      </c>
      <c r="K90" s="8">
        <f>IFERROR(__xludf.DUMMYFUNCTION("""COMPUTED_VALUE"""),-0.0315)</f>
        <v>-0.0315</v>
      </c>
    </row>
    <row r="91" ht="15.75" customHeight="1">
      <c r="C91" s="2" t="str">
        <f>IFERROR(__xludf.DUMMYFUNCTION("""COMPUTED_VALUE"""),"Camboya [+]")</f>
        <v>Camboya [+]</v>
      </c>
      <c r="D91" s="2">
        <f>IFERROR(__xludf.DUMMYFUNCTION("""COMPUTED_VALUE"""),2006.0)</f>
        <v>2006</v>
      </c>
      <c r="E91" s="2">
        <f>IFERROR(__xludf.DUMMYFUNCTION("""COMPUTED_VALUE"""),558.0)</f>
        <v>558</v>
      </c>
      <c r="F91" s="2">
        <f>IFERROR(__xludf.DUMMYFUNCTION("""COMPUTED_VALUE"""),898.0)</f>
        <v>898</v>
      </c>
      <c r="G91" s="6">
        <f>IFERROR(__xludf.DUMMYFUNCTION("""COMPUTED_VALUE"""),1456.0)</f>
        <v>1456</v>
      </c>
      <c r="H91" s="2">
        <f>IFERROR(__xludf.DUMMYFUNCTION("""COMPUTED_VALUE"""),8.05)</f>
        <v>8.05</v>
      </c>
      <c r="I91" s="7">
        <f>IFERROR(__xludf.DUMMYFUNCTION("""COMPUTED_VALUE"""),13.73)</f>
        <v>13.73</v>
      </c>
      <c r="J91" s="2">
        <f>IFERROR(__xludf.DUMMYFUNCTION("""COMPUTED_VALUE"""),10.74)</f>
        <v>10.74</v>
      </c>
      <c r="K91" s="8">
        <f>IFERROR(__xludf.DUMMYFUNCTION("""COMPUTED_VALUE"""),-0.0685)</f>
        <v>-0.0685</v>
      </c>
    </row>
    <row r="92" ht="15.75" customHeight="1">
      <c r="C92" s="2" t="str">
        <f>IFERROR(__xludf.DUMMYFUNCTION("""COMPUTED_VALUE"""),"Kiribati [+]")</f>
        <v>Kiribati [+]</v>
      </c>
      <c r="D92" s="2">
        <f>IFERROR(__xludf.DUMMYFUNCTION("""COMPUTED_VALUE"""),2006.0)</f>
        <v>2006</v>
      </c>
      <c r="E92" s="2">
        <f>IFERROR(__xludf.DUMMYFUNCTION("""COMPUTED_VALUE"""),3.0)</f>
        <v>3</v>
      </c>
      <c r="F92" s="2">
        <f>IFERROR(__xludf.DUMMYFUNCTION("""COMPUTED_VALUE"""),10.0)</f>
        <v>10</v>
      </c>
      <c r="G92" s="2">
        <f>IFERROR(__xludf.DUMMYFUNCTION("""COMPUTED_VALUE"""),13.0)</f>
        <v>13</v>
      </c>
      <c r="H92" s="2">
        <f>IFERROR(__xludf.DUMMYFUNCTION("""COMPUTED_VALUE"""),6.89)</f>
        <v>6.89</v>
      </c>
      <c r="I92" s="7">
        <f>IFERROR(__xludf.DUMMYFUNCTION("""COMPUTED_VALUE"""),21.03)</f>
        <v>21.03</v>
      </c>
      <c r="J92" s="2">
        <f>IFERROR(__xludf.DUMMYFUNCTION("""COMPUTED_VALUE"""),13.91)</f>
        <v>13.91</v>
      </c>
      <c r="K92" s="8">
        <f>IFERROR(__xludf.DUMMYFUNCTION("""COMPUTED_VALUE"""),-0.0446)</f>
        <v>-0.0446</v>
      </c>
    </row>
    <row r="93" ht="15.75" customHeight="1">
      <c r="C93" s="2" t="str">
        <f>IFERROR(__xludf.DUMMYFUNCTION("""COMPUTED_VALUE"""),"Comoras [+]")</f>
        <v>Comoras [+]</v>
      </c>
      <c r="D93" s="2">
        <f>IFERROR(__xludf.DUMMYFUNCTION("""COMPUTED_VALUE"""),2006.0)</f>
        <v>2006</v>
      </c>
      <c r="E93" s="5">
        <f>IFERROR(__xludf.DUMMYFUNCTION("""COMPUTED_VALUE"""),18.0)</f>
        <v>18</v>
      </c>
      <c r="F93" s="2">
        <f>IFERROR(__xludf.DUMMYFUNCTION("""COMPUTED_VALUE"""),31.0)</f>
        <v>31</v>
      </c>
      <c r="G93" s="2">
        <f>IFERROR(__xludf.DUMMYFUNCTION("""COMPUTED_VALUE"""),49.0)</f>
        <v>49</v>
      </c>
      <c r="H93" s="2">
        <f>IFERROR(__xludf.DUMMYFUNCTION("""COMPUTED_VALUE"""),5.66)</f>
        <v>5.66</v>
      </c>
      <c r="I93" s="7">
        <f>IFERROR(__xludf.DUMMYFUNCTION("""COMPUTED_VALUE"""),9.87)</f>
        <v>9.87</v>
      </c>
      <c r="J93" s="2">
        <f>IFERROR(__xludf.DUMMYFUNCTION("""COMPUTED_VALUE"""),7.86)</f>
        <v>7.86</v>
      </c>
      <c r="K93" s="8">
        <f>IFERROR(__xludf.DUMMYFUNCTION("""COMPUTED_VALUE"""),-0.0175)</f>
        <v>-0.0175</v>
      </c>
    </row>
    <row r="94" ht="15.75" customHeight="1">
      <c r="C94" s="2" t="str">
        <f>IFERROR(__xludf.DUMMYFUNCTION("""COMPUTED_VALUE"""),"Corea del Norte [+]")</f>
        <v>Corea del Norte [+]</v>
      </c>
      <c r="D94" s="2">
        <f>IFERROR(__xludf.DUMMYFUNCTION("""COMPUTED_VALUE"""),2006.0)</f>
        <v>2006</v>
      </c>
      <c r="E94" s="6">
        <f>IFERROR(__xludf.DUMMYFUNCTION("""COMPUTED_VALUE"""),2529.0)</f>
        <v>2529</v>
      </c>
      <c r="F94" s="6">
        <f>IFERROR(__xludf.DUMMYFUNCTION("""COMPUTED_VALUE"""),2488.0)</f>
        <v>2488</v>
      </c>
      <c r="G94" s="6">
        <f>IFERROR(__xludf.DUMMYFUNCTION("""COMPUTED_VALUE"""),5017.0)</f>
        <v>5017</v>
      </c>
      <c r="H94" s="2">
        <f>IFERROR(__xludf.DUMMYFUNCTION("""COMPUTED_VALUE"""),20.55)</f>
        <v>20.55</v>
      </c>
      <c r="I94" s="7">
        <f>IFERROR(__xludf.DUMMYFUNCTION("""COMPUTED_VALUE"""),21.18)</f>
        <v>21.18</v>
      </c>
      <c r="J94" s="2">
        <f>IFERROR(__xludf.DUMMYFUNCTION("""COMPUTED_VALUE"""),20.86)</f>
        <v>20.86</v>
      </c>
      <c r="K94" s="4">
        <f>IFERROR(__xludf.DUMMYFUNCTION("""COMPUTED_VALUE"""),0.0)</f>
        <v>0</v>
      </c>
    </row>
    <row r="95" ht="15.75" customHeight="1">
      <c r="C95" s="2" t="str">
        <f>IFERROR(__xludf.DUMMYFUNCTION("""COMPUTED_VALUE"""),"Corea del Sur [+]")</f>
        <v>Corea del Sur [+]</v>
      </c>
      <c r="D95" s="2">
        <f>IFERROR(__xludf.DUMMYFUNCTION("""COMPUTED_VALUE"""),2006.0)</f>
        <v>2006</v>
      </c>
      <c r="E95" s="6">
        <f>IFERROR(__xludf.DUMMYFUNCTION("""COMPUTED_VALUE"""),3465.0)</f>
        <v>3465</v>
      </c>
      <c r="F95" s="6">
        <f>IFERROR(__xludf.DUMMYFUNCTION("""COMPUTED_VALUE"""),7271.0)</f>
        <v>7271</v>
      </c>
      <c r="G95" s="6">
        <f>IFERROR(__xludf.DUMMYFUNCTION("""COMPUTED_VALUE"""),10736.0)</f>
        <v>10736</v>
      </c>
      <c r="H95" s="2">
        <f>IFERROR(__xludf.DUMMYFUNCTION("""COMPUTED_VALUE"""),14.4)</f>
        <v>14.4</v>
      </c>
      <c r="I95" s="7">
        <f>IFERROR(__xludf.DUMMYFUNCTION("""COMPUTED_VALUE"""),29.8)</f>
        <v>29.8</v>
      </c>
      <c r="J95" s="2">
        <f>IFERROR(__xludf.DUMMYFUNCTION("""COMPUTED_VALUE"""),22.2)</f>
        <v>22.2</v>
      </c>
      <c r="K95" s="8">
        <f>IFERROR(__xludf.DUMMYFUNCTION("""COMPUTED_VALUE"""),-0.1155)</f>
        <v>-0.1155</v>
      </c>
    </row>
    <row r="96" ht="15.75" customHeight="1">
      <c r="C96" s="2" t="str">
        <f>IFERROR(__xludf.DUMMYFUNCTION("""COMPUTED_VALUE"""),"Kuwait [+]")</f>
        <v>Kuwait [+]</v>
      </c>
      <c r="D96" s="2">
        <f>IFERROR(__xludf.DUMMYFUNCTION("""COMPUTED_VALUE"""),2006.0)</f>
        <v>2006</v>
      </c>
      <c r="E96" s="5">
        <f>IFERROR(__xludf.DUMMYFUNCTION("""COMPUTED_VALUE"""),16.0)</f>
        <v>16</v>
      </c>
      <c r="F96" s="2">
        <f>IFERROR(__xludf.DUMMYFUNCTION("""COMPUTED_VALUE"""),50.0)</f>
        <v>50</v>
      </c>
      <c r="G96" s="6">
        <f>IFERROR(__xludf.DUMMYFUNCTION("""COMPUTED_VALUE"""),65.0)</f>
        <v>65</v>
      </c>
      <c r="H96" s="2">
        <f>IFERROR(__xludf.DUMMYFUNCTION("""COMPUTED_VALUE"""),1.61)</f>
        <v>1.61</v>
      </c>
      <c r="I96" s="7">
        <f>IFERROR(__xludf.DUMMYFUNCTION("""COMPUTED_VALUE"""),3.55)</f>
        <v>3.55</v>
      </c>
      <c r="J96" s="2">
        <f>IFERROR(__xludf.DUMMYFUNCTION("""COMPUTED_VALUE"""),2.05)</f>
        <v>2.05</v>
      </c>
      <c r="K96" s="8">
        <f>IFERROR(__xludf.DUMMYFUNCTION("""COMPUTED_VALUE"""),0.025)</f>
        <v>0.025</v>
      </c>
    </row>
    <row r="97" ht="15.75" customHeight="1">
      <c r="C97" s="2" t="str">
        <f>IFERROR(__xludf.DUMMYFUNCTION("""COMPUTED_VALUE"""),"Kazajistán [+]")</f>
        <v>Kazajistán [+]</v>
      </c>
      <c r="D97" s="2">
        <f>IFERROR(__xludf.DUMMYFUNCTION("""COMPUTED_VALUE"""),2006.0)</f>
        <v>2006</v>
      </c>
      <c r="E97" s="2">
        <f>IFERROR(__xludf.DUMMYFUNCTION("""COMPUTED_VALUE"""),811.0)</f>
        <v>811</v>
      </c>
      <c r="F97" s="6">
        <f>IFERROR(__xludf.DUMMYFUNCTION("""COMPUTED_VALUE"""),4080.0)</f>
        <v>4080</v>
      </c>
      <c r="G97" s="6">
        <f>IFERROR(__xludf.DUMMYFUNCTION("""COMPUTED_VALUE"""),4891.0)</f>
        <v>4891</v>
      </c>
      <c r="H97" s="2">
        <f>IFERROR(__xludf.DUMMYFUNCTION("""COMPUTED_VALUE"""),10.23)</f>
        <v>10.23</v>
      </c>
      <c r="I97" s="7">
        <f>IFERROR(__xludf.DUMMYFUNCTION("""COMPUTED_VALUE"""),55.29)</f>
        <v>55.29</v>
      </c>
      <c r="J97" s="2">
        <f>IFERROR(__xludf.DUMMYFUNCTION("""COMPUTED_VALUE"""),31.76)</f>
        <v>31.76</v>
      </c>
      <c r="K97" s="8">
        <f>IFERROR(__xludf.DUMMYFUNCTION("""COMPUTED_VALUE"""),0.0272)</f>
        <v>0.0272</v>
      </c>
    </row>
    <row r="98" ht="15.75" customHeight="1">
      <c r="C98" s="2" t="str">
        <f>IFERROR(__xludf.DUMMYFUNCTION("""COMPUTED_VALUE"""),"Laos [+]")</f>
        <v>Laos [+]</v>
      </c>
      <c r="D98" s="2">
        <f>IFERROR(__xludf.DUMMYFUNCTION("""COMPUTED_VALUE"""),2006.0)</f>
        <v>2006</v>
      </c>
      <c r="E98" s="5">
        <f>IFERROR(__xludf.DUMMYFUNCTION("""COMPUTED_VALUE"""),301.0)</f>
        <v>301</v>
      </c>
      <c r="F98" s="2">
        <f>IFERROR(__xludf.DUMMYFUNCTION("""COMPUTED_VALUE"""),466.0)</f>
        <v>466</v>
      </c>
      <c r="G98" s="6">
        <f>IFERROR(__xludf.DUMMYFUNCTION("""COMPUTED_VALUE"""),767.0)</f>
        <v>767</v>
      </c>
      <c r="H98" s="2">
        <f>IFERROR(__xludf.DUMMYFUNCTION("""COMPUTED_VALUE"""),10.19)</f>
        <v>10.19</v>
      </c>
      <c r="I98" s="7">
        <f>IFERROR(__xludf.DUMMYFUNCTION("""COMPUTED_VALUE"""),16.11)</f>
        <v>16.11</v>
      </c>
      <c r="J98" s="2">
        <f>IFERROR(__xludf.DUMMYFUNCTION("""COMPUTED_VALUE"""),13.12)</f>
        <v>13.12</v>
      </c>
      <c r="K98" s="8">
        <f>IFERROR(__xludf.DUMMYFUNCTION("""COMPUTED_VALUE"""),-0.0194)</f>
        <v>-0.0194</v>
      </c>
    </row>
    <row r="99" ht="15.75" customHeight="1">
      <c r="C99" s="2" t="str">
        <f>IFERROR(__xludf.DUMMYFUNCTION("""COMPUTED_VALUE"""),"Líbano [+]")</f>
        <v>Líbano [+]</v>
      </c>
      <c r="D99" s="2">
        <f>IFERROR(__xludf.DUMMYFUNCTION("""COMPUTED_VALUE"""),2006.0)</f>
        <v>2006</v>
      </c>
      <c r="E99" s="5">
        <f>IFERROR(__xludf.DUMMYFUNCTION("""COMPUTED_VALUE"""),40.0)</f>
        <v>40</v>
      </c>
      <c r="F99" s="2">
        <f>IFERROR(__xludf.DUMMYFUNCTION("""COMPUTED_VALUE"""),76.0)</f>
        <v>76</v>
      </c>
      <c r="G99" s="6">
        <f>IFERROR(__xludf.DUMMYFUNCTION("""COMPUTED_VALUE"""),115.0)</f>
        <v>115</v>
      </c>
      <c r="H99" s="2">
        <f>IFERROR(__xludf.DUMMYFUNCTION("""COMPUTED_VALUE"""),1.7)</f>
        <v>1.7</v>
      </c>
      <c r="I99" s="7">
        <f>IFERROR(__xludf.DUMMYFUNCTION("""COMPUTED_VALUE"""),3.12)</f>
        <v>3.12</v>
      </c>
      <c r="J99" s="2">
        <f>IFERROR(__xludf.DUMMYFUNCTION("""COMPUTED_VALUE"""),2.42)</f>
        <v>2.42</v>
      </c>
      <c r="K99" s="8">
        <f>IFERROR(__xludf.DUMMYFUNCTION("""COMPUTED_VALUE"""),-0.0041)</f>
        <v>-0.0041</v>
      </c>
    </row>
    <row r="100" ht="15.75" customHeight="1">
      <c r="C100" s="2" t="str">
        <f>IFERROR(__xludf.DUMMYFUNCTION("""COMPUTED_VALUE"""),"Santa Lucía [+]")</f>
        <v>Santa Lucía [+]</v>
      </c>
      <c r="D100" s="2">
        <f>IFERROR(__xludf.DUMMYFUNCTION("""COMPUTED_VALUE"""),2006.0)</f>
        <v>2006</v>
      </c>
      <c r="E100" s="2">
        <f>IFERROR(__xludf.DUMMYFUNCTION("""COMPUTED_VALUE"""),0.0)</f>
        <v>0</v>
      </c>
      <c r="F100" s="2">
        <f>IFERROR(__xludf.DUMMYFUNCTION("""COMPUTED_VALUE"""),3.0)</f>
        <v>3</v>
      </c>
      <c r="G100" s="2">
        <f>IFERROR(__xludf.DUMMYFUNCTION("""COMPUTED_VALUE"""),3.0)</f>
        <v>3</v>
      </c>
      <c r="H100" s="2">
        <f>IFERROR(__xludf.DUMMYFUNCTION("""COMPUTED_VALUE"""),0.0)</f>
        <v>0</v>
      </c>
      <c r="I100" s="7">
        <f>IFERROR(__xludf.DUMMYFUNCTION("""COMPUTED_VALUE"""),3.12)</f>
        <v>3.12</v>
      </c>
      <c r="J100" s="2">
        <f>IFERROR(__xludf.DUMMYFUNCTION("""COMPUTED_VALUE"""),1.52)</f>
        <v>1.52</v>
      </c>
      <c r="K100" s="8">
        <f>IFERROR(__xludf.DUMMYFUNCTION("""COMPUTED_VALUE"""),-0.342)</f>
        <v>-0.342</v>
      </c>
    </row>
    <row r="101" ht="15.75" customHeight="1">
      <c r="C101" s="2" t="str">
        <f>IFERROR(__xludf.DUMMYFUNCTION("""COMPUTED_VALUE"""),"Sri Lanka [+]")</f>
        <v>Sri Lanka [+]</v>
      </c>
      <c r="D101" s="2">
        <f>IFERROR(__xludf.DUMMYFUNCTION("""COMPUTED_VALUE"""),2006.0)</f>
        <v>2006</v>
      </c>
      <c r="E101" s="6">
        <f>IFERROR(__xludf.DUMMYFUNCTION("""COMPUTED_VALUE"""),1310.0)</f>
        <v>1310</v>
      </c>
      <c r="F101" s="6">
        <f>IFERROR(__xludf.DUMMYFUNCTION("""COMPUTED_VALUE"""),4131.0)</f>
        <v>4131</v>
      </c>
      <c r="G101" s="6">
        <f>IFERROR(__xludf.DUMMYFUNCTION("""COMPUTED_VALUE"""),5441.0)</f>
        <v>5441</v>
      </c>
      <c r="H101" s="2">
        <f>IFERROR(__xludf.DUMMYFUNCTION("""COMPUTED_VALUE"""),13.09)</f>
        <v>13.09</v>
      </c>
      <c r="I101" s="7">
        <f>IFERROR(__xludf.DUMMYFUNCTION("""COMPUTED_VALUE"""),42.64)</f>
        <v>42.64</v>
      </c>
      <c r="J101" s="2">
        <f>IFERROR(__xludf.DUMMYFUNCTION("""COMPUTED_VALUE"""),27.63)</f>
        <v>27.63</v>
      </c>
      <c r="K101" s="8">
        <f>IFERROR(__xludf.DUMMYFUNCTION("""COMPUTED_VALUE"""),-0.0947)</f>
        <v>-0.0947</v>
      </c>
    </row>
    <row r="102" ht="15.75" customHeight="1">
      <c r="C102" s="2" t="str">
        <f>IFERROR(__xludf.DUMMYFUNCTION("""COMPUTED_VALUE"""),"Liberia [+]")</f>
        <v>Liberia [+]</v>
      </c>
      <c r="D102" s="2">
        <f>IFERROR(__xludf.DUMMYFUNCTION("""COMPUTED_VALUE"""),2006.0)</f>
        <v>2006</v>
      </c>
      <c r="E102" s="2">
        <f>IFERROR(__xludf.DUMMYFUNCTION("""COMPUTED_VALUE"""),44.0)</f>
        <v>44</v>
      </c>
      <c r="F102" s="2">
        <f>IFERROR(__xludf.DUMMYFUNCTION("""COMPUTED_VALUE"""),172.0)</f>
        <v>172</v>
      </c>
      <c r="G102" s="2">
        <f>IFERROR(__xludf.DUMMYFUNCTION("""COMPUTED_VALUE"""),217.0)</f>
        <v>217</v>
      </c>
      <c r="H102" s="2">
        <f>IFERROR(__xludf.DUMMYFUNCTION("""COMPUTED_VALUE"""),2.66)</f>
        <v>2.66</v>
      </c>
      <c r="I102" s="7">
        <f>IFERROR(__xludf.DUMMYFUNCTION("""COMPUTED_VALUE"""),10.36)</f>
        <v>10.36</v>
      </c>
      <c r="J102" s="2">
        <f>IFERROR(__xludf.DUMMYFUNCTION("""COMPUTED_VALUE"""),6.51)</f>
        <v>6.51</v>
      </c>
      <c r="K102" s="8">
        <f>IFERROR(__xludf.DUMMYFUNCTION("""COMPUTED_VALUE"""),-0.0412)</f>
        <v>-0.0412</v>
      </c>
    </row>
    <row r="103" ht="15.75" customHeight="1">
      <c r="C103" s="2" t="str">
        <f>IFERROR(__xludf.DUMMYFUNCTION("""COMPUTED_VALUE"""),"Lesoto [+]")</f>
        <v>Lesoto [+]</v>
      </c>
      <c r="D103" s="2">
        <f>IFERROR(__xludf.DUMMYFUNCTION("""COMPUTED_VALUE"""),2006.0)</f>
        <v>2006</v>
      </c>
      <c r="E103" s="5">
        <f>IFERROR(__xludf.DUMMYFUNCTION("""COMPUTED_VALUE"""),65.0)</f>
        <v>65</v>
      </c>
      <c r="F103" s="2">
        <f>IFERROR(__xludf.DUMMYFUNCTION("""COMPUTED_VALUE"""),152.0)</f>
        <v>152</v>
      </c>
      <c r="G103" s="6">
        <f>IFERROR(__xludf.DUMMYFUNCTION("""COMPUTED_VALUE"""),217.0)</f>
        <v>217</v>
      </c>
      <c r="H103" s="2">
        <f>IFERROR(__xludf.DUMMYFUNCTION("""COMPUTED_VALUE"""),6.33)</f>
        <v>6.33</v>
      </c>
      <c r="I103" s="7">
        <f>IFERROR(__xludf.DUMMYFUNCTION("""COMPUTED_VALUE"""),15.78)</f>
        <v>15.78</v>
      </c>
      <c r="J103" s="2">
        <f>IFERROR(__xludf.DUMMYFUNCTION("""COMPUTED_VALUE"""),11.56)</f>
        <v>11.56</v>
      </c>
      <c r="K103" s="8">
        <f>IFERROR(__xludf.DUMMYFUNCTION("""COMPUTED_VALUE"""),0.0043)</f>
        <v>0.0043</v>
      </c>
    </row>
    <row r="104" ht="15.75" customHeight="1">
      <c r="C104" s="2" t="str">
        <f>IFERROR(__xludf.DUMMYFUNCTION("""COMPUTED_VALUE"""),"Lituania [+]")</f>
        <v>Lituania [+]</v>
      </c>
      <c r="D104" s="2">
        <f>IFERROR(__xludf.DUMMYFUNCTION("""COMPUTED_VALUE"""),2006.0)</f>
        <v>2006</v>
      </c>
      <c r="E104" s="2">
        <f>IFERROR(__xludf.DUMMYFUNCTION("""COMPUTED_VALUE"""),196.0)</f>
        <v>196</v>
      </c>
      <c r="F104" s="2">
        <f>IFERROR(__xludf.DUMMYFUNCTION("""COMPUTED_VALUE"""),853.0)</f>
        <v>853</v>
      </c>
      <c r="G104" s="6">
        <f>IFERROR(__xludf.DUMMYFUNCTION("""COMPUTED_VALUE"""),1049.0)</f>
        <v>1049</v>
      </c>
      <c r="H104" s="2">
        <f>IFERROR(__xludf.DUMMYFUNCTION("""COMPUTED_VALUE"""),11.2)</f>
        <v>11.2</v>
      </c>
      <c r="I104" s="7">
        <f>IFERROR(__xludf.DUMMYFUNCTION("""COMPUTED_VALUE"""),56.2)</f>
        <v>56.2</v>
      </c>
      <c r="J104" s="2">
        <f>IFERROR(__xludf.DUMMYFUNCTION("""COMPUTED_VALUE"""),32.1)</f>
        <v>32.1</v>
      </c>
      <c r="K104" s="8">
        <f>IFERROR(__xludf.DUMMYFUNCTION("""COMPUTED_VALUE"""),-0.1914)</f>
        <v>-0.1914</v>
      </c>
    </row>
    <row r="105" ht="15.75" customHeight="1">
      <c r="C105" s="2" t="str">
        <f>IFERROR(__xludf.DUMMYFUNCTION("""COMPUTED_VALUE"""),"Luxemburgo [+]")</f>
        <v>Luxemburgo [+]</v>
      </c>
      <c r="D105" s="2">
        <f>IFERROR(__xludf.DUMMYFUNCTION("""COMPUTED_VALUE"""),2006.0)</f>
        <v>2006</v>
      </c>
      <c r="E105" s="5">
        <f>IFERROR(__xludf.DUMMYFUNCTION("""COMPUTED_VALUE"""),18.0)</f>
        <v>18</v>
      </c>
      <c r="F105" s="2">
        <f>IFERROR(__xludf.DUMMYFUNCTION("""COMPUTED_VALUE"""),47.0)</f>
        <v>47</v>
      </c>
      <c r="G105" s="6">
        <f>IFERROR(__xludf.DUMMYFUNCTION("""COMPUTED_VALUE"""),65.0)</f>
        <v>65</v>
      </c>
      <c r="H105" s="2">
        <f>IFERROR(__xludf.DUMMYFUNCTION("""COMPUTED_VALUE"""),7.5)</f>
        <v>7.5</v>
      </c>
      <c r="I105" s="7">
        <f>IFERROR(__xludf.DUMMYFUNCTION("""COMPUTED_VALUE"""),20.1)</f>
        <v>20.1</v>
      </c>
      <c r="J105" s="2">
        <f>IFERROR(__xludf.DUMMYFUNCTION("""COMPUTED_VALUE"""),13.8)</f>
        <v>13.8</v>
      </c>
      <c r="K105" s="8">
        <f>IFERROR(__xludf.DUMMYFUNCTION("""COMPUTED_VALUE"""),0.3143)</f>
        <v>0.3143</v>
      </c>
    </row>
    <row r="106" ht="15.75" customHeight="1">
      <c r="C106" s="2" t="str">
        <f>IFERROR(__xludf.DUMMYFUNCTION("""COMPUTED_VALUE"""),"Letonia [+]")</f>
        <v>Letonia [+]</v>
      </c>
      <c r="D106" s="2">
        <f>IFERROR(__xludf.DUMMYFUNCTION("""COMPUTED_VALUE"""),2006.0)</f>
        <v>2006</v>
      </c>
      <c r="E106" s="5">
        <f>IFERROR(__xludf.DUMMYFUNCTION("""COMPUTED_VALUE"""),80.0)</f>
        <v>80</v>
      </c>
      <c r="F106" s="2">
        <f>IFERROR(__xludf.DUMMYFUNCTION("""COMPUTED_VALUE"""),407.0)</f>
        <v>407</v>
      </c>
      <c r="G106" s="6">
        <f>IFERROR(__xludf.DUMMYFUNCTION("""COMPUTED_VALUE"""),487.0)</f>
        <v>487</v>
      </c>
      <c r="H106" s="2">
        <f>IFERROR(__xludf.DUMMYFUNCTION("""COMPUTED_VALUE"""),6.7)</f>
        <v>6.7</v>
      </c>
      <c r="I106" s="7">
        <f>IFERROR(__xludf.DUMMYFUNCTION("""COMPUTED_VALUE"""),40.0)</f>
        <v>40</v>
      </c>
      <c r="J106" s="2">
        <f>IFERROR(__xludf.DUMMYFUNCTION("""COMPUTED_VALUE"""),22.0)</f>
        <v>22</v>
      </c>
      <c r="K106" s="8">
        <f>IFERROR(__xludf.DUMMYFUNCTION("""COMPUTED_VALUE"""),-0.1304)</f>
        <v>-0.1304</v>
      </c>
    </row>
    <row r="107" ht="15.75" customHeight="1">
      <c r="C107" s="2" t="str">
        <f>IFERROR(__xludf.DUMMYFUNCTION("""COMPUTED_VALUE"""),"Libia [+]")</f>
        <v>Libia [+]</v>
      </c>
      <c r="D107" s="2">
        <f>IFERROR(__xludf.DUMMYFUNCTION("""COMPUTED_VALUE"""),2006.0)</f>
        <v>2006</v>
      </c>
      <c r="E107" s="2">
        <f>IFERROR(__xludf.DUMMYFUNCTION("""COMPUTED_VALUE"""),91.0)</f>
        <v>91</v>
      </c>
      <c r="F107" s="2">
        <f>IFERROR(__xludf.DUMMYFUNCTION("""COMPUTED_VALUE"""),254.0)</f>
        <v>254</v>
      </c>
      <c r="G107" s="2">
        <f>IFERROR(__xludf.DUMMYFUNCTION("""COMPUTED_VALUE"""),345.0)</f>
        <v>345</v>
      </c>
      <c r="H107" s="2">
        <f>IFERROR(__xludf.DUMMYFUNCTION("""COMPUTED_VALUE"""),3.18)</f>
        <v>3.18</v>
      </c>
      <c r="I107" s="7">
        <f>IFERROR(__xludf.DUMMYFUNCTION("""COMPUTED_VALUE"""),8.39)</f>
        <v>8.39</v>
      </c>
      <c r="J107" s="2">
        <f>IFERROR(__xludf.DUMMYFUNCTION("""COMPUTED_VALUE"""),6.07)</f>
        <v>6.07</v>
      </c>
      <c r="K107" s="8">
        <f>IFERROR(__xludf.DUMMYFUNCTION("""COMPUTED_VALUE"""),-0.0272)</f>
        <v>-0.0272</v>
      </c>
    </row>
    <row r="108" ht="15.75" customHeight="1">
      <c r="C108" s="2" t="str">
        <f>IFERROR(__xludf.DUMMYFUNCTION("""COMPUTED_VALUE"""),"Marruecos [+]")</f>
        <v>Marruecos [+]</v>
      </c>
      <c r="D108" s="2">
        <f>IFERROR(__xludf.DUMMYFUNCTION("""COMPUTED_VALUE"""),2006.0)</f>
        <v>2006</v>
      </c>
      <c r="E108" s="2">
        <f>IFERROR(__xludf.DUMMYFUNCTION("""COMPUTED_VALUE"""),723.0)</f>
        <v>723</v>
      </c>
      <c r="F108" s="6">
        <f>IFERROR(__xludf.DUMMYFUNCTION("""COMPUTED_VALUE"""),1418.0)</f>
        <v>1418</v>
      </c>
      <c r="G108" s="6">
        <f>IFERROR(__xludf.DUMMYFUNCTION("""COMPUTED_VALUE"""),2141.0)</f>
        <v>2141</v>
      </c>
      <c r="H108" s="2">
        <f>IFERROR(__xludf.DUMMYFUNCTION("""COMPUTED_VALUE"""),4.64)</f>
        <v>4.64</v>
      </c>
      <c r="I108" s="7">
        <f>IFERROR(__xludf.DUMMYFUNCTION("""COMPUTED_VALUE"""),9.32)</f>
        <v>9.32</v>
      </c>
      <c r="J108" s="2">
        <f>IFERROR(__xludf.DUMMYFUNCTION("""COMPUTED_VALUE"""),7.0)</f>
        <v>7</v>
      </c>
      <c r="K108" s="8">
        <f>IFERROR(__xludf.DUMMYFUNCTION("""COMPUTED_VALUE"""),-0.0385)</f>
        <v>-0.0385</v>
      </c>
    </row>
    <row r="109" ht="15.75" customHeight="1">
      <c r="C109" s="2" t="str">
        <f>IFERROR(__xludf.DUMMYFUNCTION("""COMPUTED_VALUE"""),"Moldavia [+]")</f>
        <v>Moldavia [+]</v>
      </c>
      <c r="D109" s="2">
        <f>IFERROR(__xludf.DUMMYFUNCTION("""COMPUTED_VALUE"""),2006.0)</f>
        <v>2006</v>
      </c>
      <c r="E109" s="2">
        <f>IFERROR(__xludf.DUMMYFUNCTION("""COMPUTED_VALUE"""),133.0)</f>
        <v>133</v>
      </c>
      <c r="F109" s="2">
        <f>IFERROR(__xludf.DUMMYFUNCTION("""COMPUTED_VALUE"""),695.0)</f>
        <v>695</v>
      </c>
      <c r="G109" s="2">
        <f>IFERROR(__xludf.DUMMYFUNCTION("""COMPUTED_VALUE"""),828.0)</f>
        <v>828</v>
      </c>
      <c r="H109" s="2">
        <f>IFERROR(__xludf.DUMMYFUNCTION("""COMPUTED_VALUE"""),7.16)</f>
        <v>7.16</v>
      </c>
      <c r="I109" s="7">
        <f>IFERROR(__xludf.DUMMYFUNCTION("""COMPUTED_VALUE"""),40.36)</f>
        <v>40.36</v>
      </c>
      <c r="J109" s="2">
        <f>IFERROR(__xludf.DUMMYFUNCTION("""COMPUTED_VALUE"""),23.11)</f>
        <v>23.11</v>
      </c>
      <c r="K109" s="8">
        <f>IFERROR(__xludf.DUMMYFUNCTION("""COMPUTED_VALUE"""),0.003)</f>
        <v>0.003</v>
      </c>
    </row>
    <row r="110" ht="15.75" customHeight="1">
      <c r="C110" s="2" t="str">
        <f>IFERROR(__xludf.DUMMYFUNCTION("""COMPUTED_VALUE"""),"Montenegro [+]")</f>
        <v>Montenegro [+]</v>
      </c>
      <c r="D110" s="2">
        <f>IFERROR(__xludf.DUMMYFUNCTION("""COMPUTED_VALUE"""),2006.0)</f>
        <v>2006</v>
      </c>
      <c r="E110" s="2">
        <f>IFERROR(__xludf.DUMMYFUNCTION("""COMPUTED_VALUE"""),23.0)</f>
        <v>23</v>
      </c>
      <c r="F110" s="2">
        <f>IFERROR(__xludf.DUMMYFUNCTION("""COMPUTED_VALUE"""),52.0)</f>
        <v>52</v>
      </c>
      <c r="G110" s="2">
        <f>IFERROR(__xludf.DUMMYFUNCTION("""COMPUTED_VALUE"""),75.0)</f>
        <v>75</v>
      </c>
      <c r="H110" s="2">
        <f>IFERROR(__xludf.DUMMYFUNCTION("""COMPUTED_VALUE"""),7.43)</f>
        <v>7.43</v>
      </c>
      <c r="I110" s="7">
        <f>IFERROR(__xludf.DUMMYFUNCTION("""COMPUTED_VALUE"""),17.25)</f>
        <v>17.25</v>
      </c>
      <c r="J110" s="2">
        <f>IFERROR(__xludf.DUMMYFUNCTION("""COMPUTED_VALUE"""),12.26)</f>
        <v>12.26</v>
      </c>
      <c r="K110" s="8">
        <f>IFERROR(__xludf.DUMMYFUNCTION("""COMPUTED_VALUE"""),0.0381)</f>
        <v>0.0381</v>
      </c>
    </row>
    <row r="111" ht="15.75" customHeight="1">
      <c r="C111" s="2" t="str">
        <f>IFERROR(__xludf.DUMMYFUNCTION("""COMPUTED_VALUE"""),"Madagascar [+]")</f>
        <v>Madagascar [+]</v>
      </c>
      <c r="D111" s="2">
        <f>IFERROR(__xludf.DUMMYFUNCTION("""COMPUTED_VALUE"""),2006.0)</f>
        <v>2006</v>
      </c>
      <c r="E111" s="2">
        <f>IFERROR(__xludf.DUMMYFUNCTION("""COMPUTED_VALUE"""),289.0)</f>
        <v>289</v>
      </c>
      <c r="F111" s="2">
        <f>IFERROR(__xludf.DUMMYFUNCTION("""COMPUTED_VALUE"""),739.0)</f>
        <v>739</v>
      </c>
      <c r="G111" s="6">
        <f>IFERROR(__xludf.DUMMYFUNCTION("""COMPUTED_VALUE"""),1028.0)</f>
        <v>1028</v>
      </c>
      <c r="H111" s="2">
        <f>IFERROR(__xludf.DUMMYFUNCTION("""COMPUTED_VALUE"""),3.05)</f>
        <v>3.05</v>
      </c>
      <c r="I111" s="7">
        <f>IFERROR(__xludf.DUMMYFUNCTION("""COMPUTED_VALUE"""),7.86)</f>
        <v>7.86</v>
      </c>
      <c r="J111" s="2">
        <f>IFERROR(__xludf.DUMMYFUNCTION("""COMPUTED_VALUE"""),5.71)</f>
        <v>5.71</v>
      </c>
      <c r="K111" s="8">
        <f>IFERROR(__xludf.DUMMYFUNCTION("""COMPUTED_VALUE"""),0.0307)</f>
        <v>0.0307</v>
      </c>
    </row>
    <row r="112" ht="15.75" customHeight="1">
      <c r="C112" s="2" t="str">
        <f>IFERROR(__xludf.DUMMYFUNCTION("""COMPUTED_VALUE"""),"Macedonia del Norte [+]")</f>
        <v>Macedonia del Norte [+]</v>
      </c>
      <c r="D112" s="2">
        <f>IFERROR(__xludf.DUMMYFUNCTION("""COMPUTED_VALUE"""),2006.0)</f>
        <v>2006</v>
      </c>
      <c r="E112" s="2">
        <f>IFERROR(__xludf.DUMMYFUNCTION("""COMPUTED_VALUE"""),42.0)</f>
        <v>42</v>
      </c>
      <c r="F112" s="2">
        <f>IFERROR(__xludf.DUMMYFUNCTION("""COMPUTED_VALUE"""),124.0)</f>
        <v>124</v>
      </c>
      <c r="G112" s="2">
        <f>IFERROR(__xludf.DUMMYFUNCTION("""COMPUTED_VALUE"""),166.0)</f>
        <v>166</v>
      </c>
      <c r="H112" s="2">
        <f>IFERROR(__xludf.DUMMYFUNCTION("""COMPUTED_VALUE"""),4.1)</f>
        <v>4.1</v>
      </c>
      <c r="I112" s="7">
        <f>IFERROR(__xludf.DUMMYFUNCTION("""COMPUTED_VALUE"""),12.1)</f>
        <v>12.1</v>
      </c>
      <c r="J112" s="2">
        <f>IFERROR(__xludf.DUMMYFUNCTION("""COMPUTED_VALUE"""),8.1)</f>
        <v>8.1</v>
      </c>
      <c r="K112" s="8">
        <f>IFERROR(__xludf.DUMMYFUNCTION("""COMPUTED_VALUE"""),0.1571)</f>
        <v>0.1571</v>
      </c>
    </row>
    <row r="113" ht="15.75" customHeight="1">
      <c r="C113" s="2" t="str">
        <f>IFERROR(__xludf.DUMMYFUNCTION("""COMPUTED_VALUE"""),"Malí [+]")</f>
        <v>Malí [+]</v>
      </c>
      <c r="D113" s="2">
        <f>IFERROR(__xludf.DUMMYFUNCTION("""COMPUTED_VALUE"""),2006.0)</f>
        <v>2006</v>
      </c>
      <c r="E113" s="2">
        <f>IFERROR(__xludf.DUMMYFUNCTION("""COMPUTED_VALUE"""),245.0)</f>
        <v>245</v>
      </c>
      <c r="F113" s="2">
        <f>IFERROR(__xludf.DUMMYFUNCTION("""COMPUTED_VALUE"""),531.0)</f>
        <v>531</v>
      </c>
      <c r="G113" s="2">
        <f>IFERROR(__xludf.DUMMYFUNCTION("""COMPUTED_VALUE"""),776.0)</f>
        <v>776</v>
      </c>
      <c r="H113" s="2">
        <f>IFERROR(__xludf.DUMMYFUNCTION("""COMPUTED_VALUE"""),3.7)</f>
        <v>3.7</v>
      </c>
      <c r="I113" s="7">
        <f>IFERROR(__xludf.DUMMYFUNCTION("""COMPUTED_VALUE"""),8.07)</f>
        <v>8.07</v>
      </c>
      <c r="J113" s="2">
        <f>IFERROR(__xludf.DUMMYFUNCTION("""COMPUTED_VALUE"""),5.88)</f>
        <v>5.88</v>
      </c>
      <c r="K113" s="8">
        <f>IFERROR(__xludf.DUMMYFUNCTION("""COMPUTED_VALUE"""),0.0051)</f>
        <v>0.0051</v>
      </c>
    </row>
    <row r="114" ht="15.75" customHeight="1">
      <c r="C114" s="2" t="str">
        <f>IFERROR(__xludf.DUMMYFUNCTION("""COMPUTED_VALUE"""),"Myanmar [+]")</f>
        <v>Myanmar [+]</v>
      </c>
      <c r="D114" s="2">
        <f>IFERROR(__xludf.DUMMYFUNCTION("""COMPUTED_VALUE"""),2006.0)</f>
        <v>2006</v>
      </c>
      <c r="E114" s="2">
        <f>IFERROR(__xludf.DUMMYFUNCTION("""COMPUTED_VALUE"""),752.0)</f>
        <v>752</v>
      </c>
      <c r="F114" s="6">
        <f>IFERROR(__xludf.DUMMYFUNCTION("""COMPUTED_VALUE"""),1020.0)</f>
        <v>1020</v>
      </c>
      <c r="G114" s="6">
        <f>IFERROR(__xludf.DUMMYFUNCTION("""COMPUTED_VALUE"""),1772.0)</f>
        <v>1772</v>
      </c>
      <c r="H114" s="2">
        <f>IFERROR(__xludf.DUMMYFUNCTION("""COMPUTED_VALUE"""),2.95)</f>
        <v>2.95</v>
      </c>
      <c r="I114" s="7">
        <f>IFERROR(__xludf.DUMMYFUNCTION("""COMPUTED_VALUE"""),4.28)</f>
        <v>4.28</v>
      </c>
      <c r="J114" s="2">
        <f>IFERROR(__xludf.DUMMYFUNCTION("""COMPUTED_VALUE"""),3.7)</f>
        <v>3.7</v>
      </c>
      <c r="K114" s="8">
        <f>IFERROR(__xludf.DUMMYFUNCTION("""COMPUTED_VALUE"""),0.0193)</f>
        <v>0.0193</v>
      </c>
    </row>
    <row r="115" ht="15.75" customHeight="1">
      <c r="C115" s="2" t="str">
        <f>IFERROR(__xludf.DUMMYFUNCTION("""COMPUTED_VALUE"""),"Mongolia [+]")</f>
        <v>Mongolia [+]</v>
      </c>
      <c r="D115" s="2">
        <f>IFERROR(__xludf.DUMMYFUNCTION("""COMPUTED_VALUE"""),2006.0)</f>
        <v>2006</v>
      </c>
      <c r="E115" s="2">
        <f>IFERROR(__xludf.DUMMYFUNCTION("""COMPUTED_VALUE"""),134.0)</f>
        <v>134</v>
      </c>
      <c r="F115" s="2">
        <f>IFERROR(__xludf.DUMMYFUNCTION("""COMPUTED_VALUE"""),672.0)</f>
        <v>672</v>
      </c>
      <c r="G115" s="2">
        <f>IFERROR(__xludf.DUMMYFUNCTION("""COMPUTED_VALUE"""),805.0)</f>
        <v>805</v>
      </c>
      <c r="H115" s="2">
        <f>IFERROR(__xludf.DUMMYFUNCTION("""COMPUTED_VALUE"""),10.38)</f>
        <v>10.38</v>
      </c>
      <c r="I115" s="7">
        <f>IFERROR(__xludf.DUMMYFUNCTION("""COMPUTED_VALUE"""),52.81)</f>
        <v>52.81</v>
      </c>
      <c r="J115" s="2">
        <f>IFERROR(__xludf.DUMMYFUNCTION("""COMPUTED_VALUE"""),31.18)</f>
        <v>31.18</v>
      </c>
      <c r="K115" s="8">
        <f>IFERROR(__xludf.DUMMYFUNCTION("""COMPUTED_VALUE"""),-0.0035)</f>
        <v>-0.0035</v>
      </c>
    </row>
    <row r="116" ht="15.75" customHeight="1">
      <c r="C116" s="2" t="str">
        <f>IFERROR(__xludf.DUMMYFUNCTION("""COMPUTED_VALUE"""),"Mauritania [+]")</f>
        <v>Mauritania [+]</v>
      </c>
      <c r="D116" s="2">
        <f>IFERROR(__xludf.DUMMYFUNCTION("""COMPUTED_VALUE"""),2006.0)</f>
        <v>2006</v>
      </c>
      <c r="E116" s="2">
        <f>IFERROR(__xludf.DUMMYFUNCTION("""COMPUTED_VALUE"""),51.0)</f>
        <v>51</v>
      </c>
      <c r="F116" s="2">
        <f>IFERROR(__xludf.DUMMYFUNCTION("""COMPUTED_VALUE"""),121.0)</f>
        <v>121</v>
      </c>
      <c r="G116" s="2">
        <f>IFERROR(__xludf.DUMMYFUNCTION("""COMPUTED_VALUE"""),172.0)</f>
        <v>172</v>
      </c>
      <c r="H116" s="2">
        <f>IFERROR(__xludf.DUMMYFUNCTION("""COMPUTED_VALUE"""),3.26)</f>
        <v>3.26</v>
      </c>
      <c r="I116" s="7">
        <f>IFERROR(__xludf.DUMMYFUNCTION("""COMPUTED_VALUE"""),7.78)</f>
        <v>7.78</v>
      </c>
      <c r="J116" s="2">
        <f>IFERROR(__xludf.DUMMYFUNCTION("""COMPUTED_VALUE"""),5.81)</f>
        <v>5.81</v>
      </c>
      <c r="K116" s="8">
        <f>IFERROR(__xludf.DUMMYFUNCTION("""COMPUTED_VALUE"""),0.1046)</f>
        <v>0.1046</v>
      </c>
    </row>
    <row r="117" ht="15.75" customHeight="1">
      <c r="C117" s="2" t="str">
        <f>IFERROR(__xludf.DUMMYFUNCTION("""COMPUTED_VALUE"""),"Malta [+]")</f>
        <v>Malta [+]</v>
      </c>
      <c r="D117" s="2">
        <f>IFERROR(__xludf.DUMMYFUNCTION("""COMPUTED_VALUE"""),2006.0)</f>
        <v>2006</v>
      </c>
      <c r="E117" s="2">
        <f>IFERROR(__xludf.DUMMYFUNCTION("""COMPUTED_VALUE"""),5.0)</f>
        <v>5</v>
      </c>
      <c r="F117" s="2">
        <f>IFERROR(__xludf.DUMMYFUNCTION("""COMPUTED_VALUE"""),21.0)</f>
        <v>21</v>
      </c>
      <c r="G117" s="2">
        <f>IFERROR(__xludf.DUMMYFUNCTION("""COMPUTED_VALUE"""),26.0)</f>
        <v>26</v>
      </c>
      <c r="H117" s="2">
        <f>IFERROR(__xludf.DUMMYFUNCTION("""COMPUTED_VALUE"""),2.4)</f>
        <v>2.4</v>
      </c>
      <c r="I117" s="7">
        <f>IFERROR(__xludf.DUMMYFUNCTION("""COMPUTED_VALUE"""),10.4)</f>
        <v>10.4</v>
      </c>
      <c r="J117" s="2">
        <f>IFERROR(__xludf.DUMMYFUNCTION("""COMPUTED_VALUE"""),6.4)</f>
        <v>6.4</v>
      </c>
      <c r="K117" s="8">
        <f>IFERROR(__xludf.DUMMYFUNCTION("""COMPUTED_VALUE"""),0.3617)</f>
        <v>0.3617</v>
      </c>
    </row>
    <row r="118" ht="15.75" customHeight="1">
      <c r="C118" s="2" t="str">
        <f>IFERROR(__xludf.DUMMYFUNCTION("""COMPUTED_VALUE"""),"Mauricio [+]")</f>
        <v>Mauricio [+]</v>
      </c>
      <c r="D118" s="2">
        <f>IFERROR(__xludf.DUMMYFUNCTION("""COMPUTED_VALUE"""),2006.0)</f>
        <v>2006</v>
      </c>
      <c r="E118" s="5">
        <f>IFERROR(__xludf.DUMMYFUNCTION("""COMPUTED_VALUE"""),32.0)</f>
        <v>32</v>
      </c>
      <c r="F118" s="5">
        <f>IFERROR(__xludf.DUMMYFUNCTION("""COMPUTED_VALUE"""),101.0)</f>
        <v>101</v>
      </c>
      <c r="G118" s="2">
        <f>IFERROR(__xludf.DUMMYFUNCTION("""COMPUTED_VALUE"""),133.0)</f>
        <v>133</v>
      </c>
      <c r="H118" s="2">
        <f>IFERROR(__xludf.DUMMYFUNCTION("""COMPUTED_VALUE"""),5.1)</f>
        <v>5.1</v>
      </c>
      <c r="I118" s="7">
        <f>IFERROR(__xludf.DUMMYFUNCTION("""COMPUTED_VALUE"""),16.51)</f>
        <v>16.51</v>
      </c>
      <c r="J118" s="2">
        <f>IFERROR(__xludf.DUMMYFUNCTION("""COMPUTED_VALUE"""),10.75)</f>
        <v>10.75</v>
      </c>
      <c r="K118" s="8">
        <f>IFERROR(__xludf.DUMMYFUNCTION("""COMPUTED_VALUE"""),0.1878)</f>
        <v>0.1878</v>
      </c>
    </row>
    <row r="119" ht="15.75" customHeight="1">
      <c r="C119" s="2" t="str">
        <f>IFERROR(__xludf.DUMMYFUNCTION("""COMPUTED_VALUE"""),"Maldivas [+]")</f>
        <v>Maldivas [+]</v>
      </c>
      <c r="D119" s="2">
        <f>IFERROR(__xludf.DUMMYFUNCTION("""COMPUTED_VALUE"""),2006.0)</f>
        <v>2006</v>
      </c>
      <c r="E119" s="5">
        <f>IFERROR(__xludf.DUMMYFUNCTION("""COMPUTED_VALUE"""),14.0)</f>
        <v>14</v>
      </c>
      <c r="F119" s="2">
        <f>IFERROR(__xludf.DUMMYFUNCTION("""COMPUTED_VALUE"""),20.0)</f>
        <v>20</v>
      </c>
      <c r="G119" s="2">
        <f>IFERROR(__xludf.DUMMYFUNCTION("""COMPUTED_VALUE"""),34.0)</f>
        <v>34</v>
      </c>
      <c r="H119" s="2">
        <f>IFERROR(__xludf.DUMMYFUNCTION("""COMPUTED_VALUE"""),8.72)</f>
        <v>8.72</v>
      </c>
      <c r="I119" s="7">
        <f>IFERROR(__xludf.DUMMYFUNCTION("""COMPUTED_VALUE"""),11.67)</f>
        <v>11.67</v>
      </c>
      <c r="J119" s="2">
        <f>IFERROR(__xludf.DUMMYFUNCTION("""COMPUTED_VALUE"""),11.25)</f>
        <v>11.25</v>
      </c>
      <c r="K119" s="8">
        <f>IFERROR(__xludf.DUMMYFUNCTION("""COMPUTED_VALUE"""),-0.0578)</f>
        <v>-0.0578</v>
      </c>
    </row>
    <row r="120" ht="15.75" customHeight="1">
      <c r="C120" s="2" t="str">
        <f>IFERROR(__xludf.DUMMYFUNCTION("""COMPUTED_VALUE"""),"Malaui [+]")</f>
        <v>Malaui [+]</v>
      </c>
      <c r="D120" s="2">
        <f>IFERROR(__xludf.DUMMYFUNCTION("""COMPUTED_VALUE"""),2006.0)</f>
        <v>2006</v>
      </c>
      <c r="E120" s="2">
        <f>IFERROR(__xludf.DUMMYFUNCTION("""COMPUTED_VALUE"""),138.0)</f>
        <v>138</v>
      </c>
      <c r="F120" s="2">
        <f>IFERROR(__xludf.DUMMYFUNCTION("""COMPUTED_VALUE"""),564.0)</f>
        <v>564</v>
      </c>
      <c r="G120" s="2">
        <f>IFERROR(__xludf.DUMMYFUNCTION("""COMPUTED_VALUE"""),703.0)</f>
        <v>703</v>
      </c>
      <c r="H120" s="2">
        <f>IFERROR(__xludf.DUMMYFUNCTION("""COMPUTED_VALUE"""),2.1)</f>
        <v>2.1</v>
      </c>
      <c r="I120" s="7">
        <f>IFERROR(__xludf.DUMMYFUNCTION("""COMPUTED_VALUE"""),8.84)</f>
        <v>8.84</v>
      </c>
      <c r="J120" s="2">
        <f>IFERROR(__xludf.DUMMYFUNCTION("""COMPUTED_VALUE"""),5.0)</f>
        <v>5</v>
      </c>
      <c r="K120" s="8">
        <f>IFERROR(__xludf.DUMMYFUNCTION("""COMPUTED_VALUE"""),-0.0234)</f>
        <v>-0.0234</v>
      </c>
    </row>
    <row r="121" ht="15.75" customHeight="1">
      <c r="C121" s="2" t="str">
        <f>IFERROR(__xludf.DUMMYFUNCTION("""COMPUTED_VALUE"""),"México [+]")</f>
        <v>México [+]</v>
      </c>
      <c r="D121" s="2">
        <f>IFERROR(__xludf.DUMMYFUNCTION("""COMPUTED_VALUE"""),2006.0)</f>
        <v>2006</v>
      </c>
      <c r="E121" s="2">
        <f>IFERROR(__xludf.DUMMYFUNCTION("""COMPUTED_VALUE"""),713.0)</f>
        <v>713</v>
      </c>
      <c r="F121" s="6">
        <f>IFERROR(__xludf.DUMMYFUNCTION("""COMPUTED_VALUE"""),3553.0)</f>
        <v>3553</v>
      </c>
      <c r="G121" s="6">
        <f>IFERROR(__xludf.DUMMYFUNCTION("""COMPUTED_VALUE"""),4277.0)</f>
        <v>4277</v>
      </c>
      <c r="H121" s="2">
        <f>IFERROR(__xludf.DUMMYFUNCTION("""COMPUTED_VALUE"""),1.3)</f>
        <v>1.3</v>
      </c>
      <c r="I121" s="7">
        <f>IFERROR(__xludf.DUMMYFUNCTION("""COMPUTED_VALUE"""),6.8)</f>
        <v>6.8</v>
      </c>
      <c r="J121" s="2">
        <f>IFERROR(__xludf.DUMMYFUNCTION("""COMPUTED_VALUE"""),4.0)</f>
        <v>4</v>
      </c>
      <c r="K121" s="8">
        <f>IFERROR(__xludf.DUMMYFUNCTION("""COMPUTED_VALUE"""),-0.0244)</f>
        <v>-0.0244</v>
      </c>
    </row>
    <row r="122" ht="15.75" customHeight="1">
      <c r="C122" s="2" t="str">
        <f>IFERROR(__xludf.DUMMYFUNCTION("""COMPUTED_VALUE"""),"Malasia [+]")</f>
        <v>Malasia [+]</v>
      </c>
      <c r="D122" s="2">
        <f>IFERROR(__xludf.DUMMYFUNCTION("""COMPUTED_VALUE"""),2006.0)</f>
        <v>2006</v>
      </c>
      <c r="E122" s="2">
        <f>IFERROR(__xludf.DUMMYFUNCTION("""COMPUTED_VALUE"""),398.0)</f>
        <v>398</v>
      </c>
      <c r="F122" s="2">
        <f>IFERROR(__xludf.DUMMYFUNCTION("""COMPUTED_VALUE"""),990.0)</f>
        <v>990</v>
      </c>
      <c r="G122" s="6">
        <f>IFERROR(__xludf.DUMMYFUNCTION("""COMPUTED_VALUE"""),1388.0)</f>
        <v>1388</v>
      </c>
      <c r="H122" s="2">
        <f>IFERROR(__xludf.DUMMYFUNCTION("""COMPUTED_VALUE"""),3.12)</f>
        <v>3.12</v>
      </c>
      <c r="I122" s="7">
        <f>IFERROR(__xludf.DUMMYFUNCTION("""COMPUTED_VALUE"""),7.36)</f>
        <v>7.36</v>
      </c>
      <c r="J122" s="2">
        <f>IFERROR(__xludf.DUMMYFUNCTION("""COMPUTED_VALUE"""),5.17)</f>
        <v>5.17</v>
      </c>
      <c r="K122" s="4">
        <f>IFERROR(__xludf.DUMMYFUNCTION("""COMPUTED_VALUE"""),0.0)</f>
        <v>0</v>
      </c>
    </row>
    <row r="123" ht="15.75" customHeight="1">
      <c r="C123" s="4" t="str">
        <f>IFERROR(__xludf.DUMMYFUNCTION("""COMPUTED_VALUE"""),"Mozambique [+]")</f>
        <v>Mozambique [+]</v>
      </c>
      <c r="D123" s="4">
        <f>IFERROR(__xludf.DUMMYFUNCTION("""COMPUTED_VALUE"""),2006.0)</f>
        <v>2006</v>
      </c>
      <c r="E123" s="4">
        <f>IFERROR(__xludf.DUMMYFUNCTION("""COMPUTED_VALUE"""),503.0)</f>
        <v>503</v>
      </c>
      <c r="F123" s="9">
        <f>IFERROR(__xludf.DUMMYFUNCTION("""COMPUTED_VALUE"""),1406.0)</f>
        <v>1406</v>
      </c>
      <c r="G123" s="9">
        <f>IFERROR(__xludf.DUMMYFUNCTION("""COMPUTED_VALUE"""),1909.0)</f>
        <v>1909</v>
      </c>
      <c r="H123" s="4">
        <f>IFERROR(__xludf.DUMMYFUNCTION("""COMPUTED_VALUE"""),4.6)</f>
        <v>4.6</v>
      </c>
      <c r="I123" s="4">
        <f>IFERROR(__xludf.DUMMYFUNCTION("""COMPUTED_VALUE"""),13.86)</f>
        <v>13.86</v>
      </c>
      <c r="J123" s="4">
        <f>IFERROR(__xludf.DUMMYFUNCTION("""COMPUTED_VALUE"""),9.06)</f>
        <v>9.06</v>
      </c>
      <c r="K123" s="8">
        <f>IFERROR(__xludf.DUMMYFUNCTION("""COMPUTED_VALUE"""),-0.0098)</f>
        <v>-0.0098</v>
      </c>
    </row>
    <row r="124" ht="15.75" customHeight="1">
      <c r="C124" s="4" t="str">
        <f>IFERROR(__xludf.DUMMYFUNCTION("""COMPUTED_VALUE"""),"Namibia [+]")</f>
        <v>Namibia [+]</v>
      </c>
      <c r="D124" s="4">
        <f>IFERROR(__xludf.DUMMYFUNCTION("""COMPUTED_VALUE"""),2006.0)</f>
        <v>2006</v>
      </c>
      <c r="E124" s="4">
        <f>IFERROR(__xludf.DUMMYFUNCTION("""COMPUTED_VALUE"""),39.0)</f>
        <v>39</v>
      </c>
      <c r="F124" s="4">
        <f>IFERROR(__xludf.DUMMYFUNCTION("""COMPUTED_VALUE"""),139.0)</f>
        <v>139</v>
      </c>
      <c r="G124" s="4">
        <f>IFERROR(__xludf.DUMMYFUNCTION("""COMPUTED_VALUE"""),178.0)</f>
        <v>178</v>
      </c>
      <c r="H124" s="4">
        <f>IFERROR(__xludf.DUMMYFUNCTION("""COMPUTED_VALUE"""),3.84)</f>
        <v>3.84</v>
      </c>
      <c r="I124" s="4">
        <f>IFERROR(__xludf.DUMMYFUNCTION("""COMPUTED_VALUE"""),14.58)</f>
        <v>14.58</v>
      </c>
      <c r="J124" s="4">
        <f>IFERROR(__xludf.DUMMYFUNCTION("""COMPUTED_VALUE"""),8.93)</f>
        <v>8.93</v>
      </c>
      <c r="K124" s="8">
        <f>IFERROR(__xludf.DUMMYFUNCTION("""COMPUTED_VALUE"""),-0.047)</f>
        <v>-0.047</v>
      </c>
    </row>
    <row r="125" ht="15.75" customHeight="1">
      <c r="C125" s="4" t="str">
        <f>IFERROR(__xludf.DUMMYFUNCTION("""COMPUTED_VALUE"""),"Níger [+]")</f>
        <v>Níger [+]</v>
      </c>
      <c r="D125" s="4">
        <f>IFERROR(__xludf.DUMMYFUNCTION("""COMPUTED_VALUE"""),2006.0)</f>
        <v>2006</v>
      </c>
      <c r="E125" s="4">
        <f>IFERROR(__xludf.DUMMYFUNCTION("""COMPUTED_VALUE"""),245.0)</f>
        <v>245</v>
      </c>
      <c r="F125" s="4">
        <f>IFERROR(__xludf.DUMMYFUNCTION("""COMPUTED_VALUE"""),436.0)</f>
        <v>436</v>
      </c>
      <c r="G125" s="4">
        <f>IFERROR(__xludf.DUMMYFUNCTION("""COMPUTED_VALUE"""),681.0)</f>
        <v>681</v>
      </c>
      <c r="H125" s="4">
        <f>IFERROR(__xludf.DUMMYFUNCTION("""COMPUTED_VALUE"""),3.46)</f>
        <v>3.46</v>
      </c>
      <c r="I125" s="4">
        <f>IFERROR(__xludf.DUMMYFUNCTION("""COMPUTED_VALUE"""),6.18)</f>
        <v>6.18</v>
      </c>
      <c r="J125" s="4">
        <f>IFERROR(__xludf.DUMMYFUNCTION("""COMPUTED_VALUE"""),4.82)</f>
        <v>4.82</v>
      </c>
      <c r="K125" s="8">
        <f>IFERROR(__xludf.DUMMYFUNCTION("""COMPUTED_VALUE"""),0.0147)</f>
        <v>0.0147</v>
      </c>
    </row>
    <row r="126" ht="15.75" customHeight="1">
      <c r="C126" s="4" t="str">
        <f>IFERROR(__xludf.DUMMYFUNCTION("""COMPUTED_VALUE"""),"Nigeria [+]")</f>
        <v>Nigeria [+]</v>
      </c>
      <c r="D126" s="4">
        <f>IFERROR(__xludf.DUMMYFUNCTION("""COMPUTED_VALUE"""),2006.0)</f>
        <v>2006</v>
      </c>
      <c r="E126" s="9">
        <f>IFERROR(__xludf.DUMMYFUNCTION("""COMPUTED_VALUE"""),3860.0)</f>
        <v>3860</v>
      </c>
      <c r="F126" s="9">
        <f>IFERROR(__xludf.DUMMYFUNCTION("""COMPUTED_VALUE"""),9813.0)</f>
        <v>9813</v>
      </c>
      <c r="G126" s="9">
        <f>IFERROR(__xludf.DUMMYFUNCTION("""COMPUTED_VALUE"""),13673.0)</f>
        <v>13673</v>
      </c>
      <c r="H126" s="4">
        <f>IFERROR(__xludf.DUMMYFUNCTION("""COMPUTED_VALUE"""),5.47)</f>
        <v>5.47</v>
      </c>
      <c r="I126" s="4">
        <f>IFERROR(__xludf.DUMMYFUNCTION("""COMPUTED_VALUE"""),13.63)</f>
        <v>13.63</v>
      </c>
      <c r="J126" s="4">
        <f>IFERROR(__xludf.DUMMYFUNCTION("""COMPUTED_VALUE"""),9.59)</f>
        <v>9.59</v>
      </c>
      <c r="K126" s="4">
        <f>IFERROR(__xludf.DUMMYFUNCTION("""COMPUTED_VALUE"""),0.0)</f>
        <v>0</v>
      </c>
    </row>
    <row r="127" ht="15.75" customHeight="1">
      <c r="C127" s="4" t="str">
        <f>IFERROR(__xludf.DUMMYFUNCTION("""COMPUTED_VALUE"""),"Nicaragua [+]")</f>
        <v>Nicaragua [+]</v>
      </c>
      <c r="D127" s="4">
        <f>IFERROR(__xludf.DUMMYFUNCTION("""COMPUTED_VALUE"""),2006.0)</f>
        <v>2006</v>
      </c>
      <c r="E127" s="4">
        <f>IFERROR(__xludf.DUMMYFUNCTION("""COMPUTED_VALUE"""),143.0)</f>
        <v>143</v>
      </c>
      <c r="F127" s="4">
        <f>IFERROR(__xludf.DUMMYFUNCTION("""COMPUTED_VALUE"""),431.0)</f>
        <v>431</v>
      </c>
      <c r="G127" s="4">
        <f>IFERROR(__xludf.DUMMYFUNCTION("""COMPUTED_VALUE"""),574.0)</f>
        <v>574</v>
      </c>
      <c r="H127" s="4">
        <f>IFERROR(__xludf.DUMMYFUNCTION("""COMPUTED_VALUE"""),5.12)</f>
        <v>5.12</v>
      </c>
      <c r="I127" s="4">
        <f>IFERROR(__xludf.DUMMYFUNCTION("""COMPUTED_VALUE"""),15.83)</f>
        <v>15.83</v>
      </c>
      <c r="J127" s="4">
        <f>IFERROR(__xludf.DUMMYFUNCTION("""COMPUTED_VALUE"""),10.39)</f>
        <v>10.39</v>
      </c>
      <c r="K127" s="8">
        <f>IFERROR(__xludf.DUMMYFUNCTION("""COMPUTED_VALUE"""),-0.2999)</f>
        <v>-0.2999</v>
      </c>
    </row>
    <row r="128" ht="15.75" customHeight="1">
      <c r="C128" s="4" t="str">
        <f>IFERROR(__xludf.DUMMYFUNCTION("""COMPUTED_VALUE"""),"Países Bajos [+]")</f>
        <v>Países Bajos [+]</v>
      </c>
      <c r="D128" s="4">
        <f>IFERROR(__xludf.DUMMYFUNCTION("""COMPUTED_VALUE"""),2006.0)</f>
        <v>2006</v>
      </c>
      <c r="E128" s="4">
        <f>IFERROR(__xludf.DUMMYFUNCTION("""COMPUTED_VALUE"""),478.0)</f>
        <v>478</v>
      </c>
      <c r="F128" s="9">
        <f>IFERROR(__xludf.DUMMYFUNCTION("""COMPUTED_VALUE"""),1046.0)</f>
        <v>1046</v>
      </c>
      <c r="G128" s="9">
        <f>IFERROR(__xludf.DUMMYFUNCTION("""COMPUTED_VALUE"""),1524.0)</f>
        <v>1524</v>
      </c>
      <c r="H128" s="4">
        <f>IFERROR(__xludf.DUMMYFUNCTION("""COMPUTED_VALUE"""),5.8)</f>
        <v>5.8</v>
      </c>
      <c r="I128" s="4">
        <f>IFERROR(__xludf.DUMMYFUNCTION("""COMPUTED_VALUE"""),12.9)</f>
        <v>12.9</v>
      </c>
      <c r="J128" s="4">
        <f>IFERROR(__xludf.DUMMYFUNCTION("""COMPUTED_VALUE"""),9.3)</f>
        <v>9.3</v>
      </c>
      <c r="K128" s="8">
        <f>IFERROR(__xludf.DUMMYFUNCTION("""COMPUTED_VALUE"""),-0.0312)</f>
        <v>-0.0312</v>
      </c>
    </row>
    <row r="129" ht="15.75" customHeight="1">
      <c r="C129" s="4" t="str">
        <f>IFERROR(__xludf.DUMMYFUNCTION("""COMPUTED_VALUE"""),"Noruega [+]")</f>
        <v>Noruega [+]</v>
      </c>
      <c r="D129" s="4">
        <f>IFERROR(__xludf.DUMMYFUNCTION("""COMPUTED_VALUE"""),2006.0)</f>
        <v>2006</v>
      </c>
      <c r="E129" s="4">
        <f>IFERROR(__xludf.DUMMYFUNCTION("""COMPUTED_VALUE"""),141.0)</f>
        <v>141</v>
      </c>
      <c r="F129" s="4">
        <f>IFERROR(__xludf.DUMMYFUNCTION("""COMPUTED_VALUE"""),391.0)</f>
        <v>391</v>
      </c>
      <c r="G129" s="4">
        <f>IFERROR(__xludf.DUMMYFUNCTION("""COMPUTED_VALUE"""),532.0)</f>
        <v>532</v>
      </c>
      <c r="H129" s="4">
        <f>IFERROR(__xludf.DUMMYFUNCTION("""COMPUTED_VALUE"""),6.0)</f>
        <v>6</v>
      </c>
      <c r="I129" s="4">
        <f>IFERROR(__xludf.DUMMYFUNCTION("""COMPUTED_VALUE"""),16.9)</f>
        <v>16.9</v>
      </c>
      <c r="J129" s="4">
        <f>IFERROR(__xludf.DUMMYFUNCTION("""COMPUTED_VALUE"""),11.4)</f>
        <v>11.4</v>
      </c>
      <c r="K129" s="8">
        <f>IFERROR(__xludf.DUMMYFUNCTION("""COMPUTED_VALUE"""),-0.0087)</f>
        <v>-0.0087</v>
      </c>
    </row>
    <row r="130" ht="15.75" customHeight="1">
      <c r="C130" s="4" t="str">
        <f>IFERROR(__xludf.DUMMYFUNCTION("""COMPUTED_VALUE"""),"Nepal [+]")</f>
        <v>Nepal [+]</v>
      </c>
      <c r="D130" s="4">
        <f>IFERROR(__xludf.DUMMYFUNCTION("""COMPUTED_VALUE"""),2006.0)</f>
        <v>2006</v>
      </c>
      <c r="E130" s="4">
        <f>IFERROR(__xludf.DUMMYFUNCTION("""COMPUTED_VALUE"""),900.0)</f>
        <v>900</v>
      </c>
      <c r="F130" s="9">
        <f>IFERROR(__xludf.DUMMYFUNCTION("""COMPUTED_VALUE"""),1004.0)</f>
        <v>1004</v>
      </c>
      <c r="G130" s="9">
        <f>IFERROR(__xludf.DUMMYFUNCTION("""COMPUTED_VALUE"""),1904.0)</f>
        <v>1904</v>
      </c>
      <c r="H130" s="4">
        <f>IFERROR(__xludf.DUMMYFUNCTION("""COMPUTED_VALUE"""),6.86)</f>
        <v>6.86</v>
      </c>
      <c r="I130" s="4">
        <f>IFERROR(__xludf.DUMMYFUNCTION("""COMPUTED_VALUE"""),7.75)</f>
        <v>7.75</v>
      </c>
      <c r="J130" s="4">
        <f>IFERROR(__xludf.DUMMYFUNCTION("""COMPUTED_VALUE"""),7.31)</f>
        <v>7.31</v>
      </c>
      <c r="K130" s="8">
        <f>IFERROR(__xludf.DUMMYFUNCTION("""COMPUTED_VALUE"""),-0.0081)</f>
        <v>-0.0081</v>
      </c>
    </row>
    <row r="131" ht="15.75" customHeight="1">
      <c r="C131" s="4" t="str">
        <f>IFERROR(__xludf.DUMMYFUNCTION("""COMPUTED_VALUE"""),"Nueva Zelanda [+]")</f>
        <v>Nueva Zelanda [+]</v>
      </c>
      <c r="D131" s="4">
        <f>IFERROR(__xludf.DUMMYFUNCTION("""COMPUTED_VALUE"""),2006.0)</f>
        <v>2006</v>
      </c>
      <c r="E131" s="4">
        <f>IFERROR(__xludf.DUMMYFUNCTION("""COMPUTED_VALUE"""),137.0)</f>
        <v>137</v>
      </c>
      <c r="F131" s="4">
        <f>IFERROR(__xludf.DUMMYFUNCTION("""COMPUTED_VALUE"""),387.0)</f>
        <v>387</v>
      </c>
      <c r="G131" s="4">
        <f>IFERROR(__xludf.DUMMYFUNCTION("""COMPUTED_VALUE"""),524.0)</f>
        <v>524</v>
      </c>
      <c r="H131" s="4">
        <f>IFERROR(__xludf.DUMMYFUNCTION("""COMPUTED_VALUE"""),6.4)</f>
        <v>6.4</v>
      </c>
      <c r="I131" s="4">
        <f>IFERROR(__xludf.DUMMYFUNCTION("""COMPUTED_VALUE"""),18.9)</f>
        <v>18.9</v>
      </c>
      <c r="J131" s="4">
        <f>IFERROR(__xludf.DUMMYFUNCTION("""COMPUTED_VALUE"""),12.5)</f>
        <v>12.5</v>
      </c>
      <c r="K131" s="8">
        <f>IFERROR(__xludf.DUMMYFUNCTION("""COMPUTED_VALUE"""),0.0081)</f>
        <v>0.0081</v>
      </c>
    </row>
    <row r="132" ht="15.75" customHeight="1">
      <c r="C132" s="4" t="str">
        <f>IFERROR(__xludf.DUMMYFUNCTION("""COMPUTED_VALUE"""),"Omán [+]")</f>
        <v>Omán [+]</v>
      </c>
      <c r="D132" s="4">
        <f>IFERROR(__xludf.DUMMYFUNCTION("""COMPUTED_VALUE"""),2006.0)</f>
        <v>2006</v>
      </c>
      <c r="E132" s="4">
        <f>IFERROR(__xludf.DUMMYFUNCTION("""COMPUTED_VALUE"""),12.0)</f>
        <v>12</v>
      </c>
      <c r="F132" s="4">
        <f>IFERROR(__xludf.DUMMYFUNCTION("""COMPUTED_VALUE"""),89.0)</f>
        <v>89</v>
      </c>
      <c r="G132" s="4">
        <f>IFERROR(__xludf.DUMMYFUNCTION("""COMPUTED_VALUE"""),100.0)</f>
        <v>100</v>
      </c>
      <c r="H132" s="4">
        <f>IFERROR(__xludf.DUMMYFUNCTION("""COMPUTED_VALUE"""),1.04)</f>
        <v>1.04</v>
      </c>
      <c r="I132" s="4">
        <f>IFERROR(__xludf.DUMMYFUNCTION("""COMPUTED_VALUE"""),6.01)</f>
        <v>6.01</v>
      </c>
      <c r="J132" s="4">
        <f>IFERROR(__xludf.DUMMYFUNCTION("""COMPUTED_VALUE"""),3.75)</f>
        <v>3.75</v>
      </c>
      <c r="K132" s="8">
        <f>IFERROR(__xludf.DUMMYFUNCTION("""COMPUTED_VALUE"""),-0.0079)</f>
        <v>-0.0079</v>
      </c>
    </row>
    <row r="133" ht="15.75" customHeight="1">
      <c r="C133" s="4" t="str">
        <f>IFERROR(__xludf.DUMMYFUNCTION("""COMPUTED_VALUE"""),"Panamá [+]")</f>
        <v>Panamá [+]</v>
      </c>
      <c r="D133" s="4">
        <f>IFERROR(__xludf.DUMMYFUNCTION("""COMPUTED_VALUE"""),2006.0)</f>
        <v>2006</v>
      </c>
      <c r="E133" s="4">
        <f>IFERROR(__xludf.DUMMYFUNCTION("""COMPUTED_VALUE"""),18.0)</f>
        <v>18</v>
      </c>
      <c r="F133" s="4">
        <f>IFERROR(__xludf.DUMMYFUNCTION("""COMPUTED_VALUE"""),239.0)</f>
        <v>239</v>
      </c>
      <c r="G133" s="4">
        <f>IFERROR(__xludf.DUMMYFUNCTION("""COMPUTED_VALUE"""),257.0)</f>
        <v>257</v>
      </c>
      <c r="H133" s="4">
        <f>IFERROR(__xludf.DUMMYFUNCTION("""COMPUTED_VALUE"""),1.05)</f>
        <v>1.05</v>
      </c>
      <c r="I133" s="4">
        <f>IFERROR(__xludf.DUMMYFUNCTION("""COMPUTED_VALUE"""),14.0)</f>
        <v>14</v>
      </c>
      <c r="J133" s="4">
        <f>IFERROR(__xludf.DUMMYFUNCTION("""COMPUTED_VALUE"""),7.52)</f>
        <v>7.52</v>
      </c>
      <c r="K133" s="8">
        <f>IFERROR(__xludf.DUMMYFUNCTION("""COMPUTED_VALUE"""),0.0774)</f>
        <v>0.0774</v>
      </c>
    </row>
    <row r="134" ht="15.75" customHeight="1">
      <c r="C134" s="4" t="str">
        <f>IFERROR(__xludf.DUMMYFUNCTION("""COMPUTED_VALUE"""),"Perú [+]")</f>
        <v>Perú [+]</v>
      </c>
      <c r="D134" s="4">
        <f>IFERROR(__xludf.DUMMYFUNCTION("""COMPUTED_VALUE"""),2006.0)</f>
        <v>2006</v>
      </c>
      <c r="E134" s="4">
        <f>IFERROR(__xludf.DUMMYFUNCTION("""COMPUTED_VALUE"""),89.0)</f>
        <v>89</v>
      </c>
      <c r="F134" s="4">
        <f>IFERROR(__xludf.DUMMYFUNCTION("""COMPUTED_VALUE"""),140.0)</f>
        <v>140</v>
      </c>
      <c r="G134" s="4">
        <f>IFERROR(__xludf.DUMMYFUNCTION("""COMPUTED_VALUE"""),229.0)</f>
        <v>229</v>
      </c>
      <c r="H134" s="4">
        <f>IFERROR(__xludf.DUMMYFUNCTION("""COMPUTED_VALUE"""),0.6)</f>
        <v>0.6</v>
      </c>
      <c r="I134" s="4">
        <f>IFERROR(__xludf.DUMMYFUNCTION("""COMPUTED_VALUE"""),1.0)</f>
        <v>1</v>
      </c>
      <c r="J134" s="4">
        <f>IFERROR(__xludf.DUMMYFUNCTION("""COMPUTED_VALUE"""),0.8)</f>
        <v>0.8</v>
      </c>
      <c r="K134" s="8">
        <f>IFERROR(__xludf.DUMMYFUNCTION("""COMPUTED_VALUE"""),0.1429)</f>
        <v>0.1429</v>
      </c>
    </row>
    <row r="135" ht="15.75" customHeight="1">
      <c r="C135" s="4" t="str">
        <f>IFERROR(__xludf.DUMMYFUNCTION("""COMPUTED_VALUE"""),"Papúa Nueva Guinea [+]")</f>
        <v>Papúa Nueva Guinea [+]</v>
      </c>
      <c r="D135" s="4">
        <f>IFERROR(__xludf.DUMMYFUNCTION("""COMPUTED_VALUE"""),2006.0)</f>
        <v>2006</v>
      </c>
      <c r="E135" s="4">
        <f>IFERROR(__xludf.DUMMYFUNCTION("""COMPUTED_VALUE"""),127.0)</f>
        <v>127</v>
      </c>
      <c r="F135" s="4">
        <f>IFERROR(__xludf.DUMMYFUNCTION("""COMPUTED_VALUE"""),410.0)</f>
        <v>410</v>
      </c>
      <c r="G135" s="4">
        <f>IFERROR(__xludf.DUMMYFUNCTION("""COMPUTED_VALUE"""),537.0)</f>
        <v>537</v>
      </c>
      <c r="H135" s="4">
        <f>IFERROR(__xludf.DUMMYFUNCTION("""COMPUTED_VALUE"""),3.89)</f>
        <v>3.89</v>
      </c>
      <c r="I135" s="4">
        <f>IFERROR(__xludf.DUMMYFUNCTION("""COMPUTED_VALUE"""),12.14)</f>
        <v>12.14</v>
      </c>
      <c r="J135" s="4">
        <f>IFERROR(__xludf.DUMMYFUNCTION("""COMPUTED_VALUE"""),9.08)</f>
        <v>9.08</v>
      </c>
      <c r="K135" s="8">
        <f>IFERROR(__xludf.DUMMYFUNCTION("""COMPUTED_VALUE"""),-0.0532)</f>
        <v>-0.0532</v>
      </c>
    </row>
    <row r="136" ht="15.75" customHeight="1">
      <c r="C136" s="4" t="str">
        <f>IFERROR(__xludf.DUMMYFUNCTION("""COMPUTED_VALUE"""),"Filipinas [+]")</f>
        <v>Filipinas [+]</v>
      </c>
      <c r="D136" s="4">
        <f>IFERROR(__xludf.DUMMYFUNCTION("""COMPUTED_VALUE"""),2006.0)</f>
        <v>2006</v>
      </c>
      <c r="E136" s="4">
        <f>IFERROR(__xludf.DUMMYFUNCTION("""COMPUTED_VALUE"""),586.0)</f>
        <v>586</v>
      </c>
      <c r="F136" s="9">
        <f>IFERROR(__xludf.DUMMYFUNCTION("""COMPUTED_VALUE"""),1994.0)</f>
        <v>1994</v>
      </c>
      <c r="G136" s="9">
        <f>IFERROR(__xludf.DUMMYFUNCTION("""COMPUTED_VALUE"""),2580.0)</f>
        <v>2580</v>
      </c>
      <c r="H136" s="4">
        <f>IFERROR(__xludf.DUMMYFUNCTION("""COMPUTED_VALUE"""),1.34)</f>
        <v>1.34</v>
      </c>
      <c r="I136" s="4">
        <f>IFERROR(__xludf.DUMMYFUNCTION("""COMPUTED_VALUE"""),4.51)</f>
        <v>4.51</v>
      </c>
      <c r="J136" s="4">
        <f>IFERROR(__xludf.DUMMYFUNCTION("""COMPUTED_VALUE"""),2.97)</f>
        <v>2.97</v>
      </c>
      <c r="K136" s="8">
        <f>IFERROR(__xludf.DUMMYFUNCTION("""COMPUTED_VALUE"""),0.0102)</f>
        <v>0.0102</v>
      </c>
    </row>
    <row r="137" ht="15.75" customHeight="1">
      <c r="C137" s="4" t="str">
        <f>IFERROR(__xludf.DUMMYFUNCTION("""COMPUTED_VALUE"""),"Pakistán [+]")</f>
        <v>Pakistán [+]</v>
      </c>
      <c r="D137" s="4">
        <f>IFERROR(__xludf.DUMMYFUNCTION("""COMPUTED_VALUE"""),2006.0)</f>
        <v>2006</v>
      </c>
      <c r="E137" s="9">
        <f>IFERROR(__xludf.DUMMYFUNCTION("""COMPUTED_VALUE"""),1615.0)</f>
        <v>1615</v>
      </c>
      <c r="F137" s="9">
        <f>IFERROR(__xludf.DUMMYFUNCTION("""COMPUTED_VALUE"""),1901.0)</f>
        <v>1901</v>
      </c>
      <c r="G137" s="9">
        <f>IFERROR(__xludf.DUMMYFUNCTION("""COMPUTED_VALUE"""),3515.0)</f>
        <v>3515</v>
      </c>
      <c r="H137" s="4">
        <f>IFERROR(__xludf.DUMMYFUNCTION("""COMPUTED_VALUE"""),2.03)</f>
        <v>2.03</v>
      </c>
      <c r="I137" s="4">
        <f>IFERROR(__xludf.DUMMYFUNCTION("""COMPUTED_VALUE"""),2.25)</f>
        <v>2.25</v>
      </c>
      <c r="J137" s="4">
        <f>IFERROR(__xludf.DUMMYFUNCTION("""COMPUTED_VALUE"""),2.19)</f>
        <v>2.19</v>
      </c>
      <c r="K137" s="4">
        <f>IFERROR(__xludf.DUMMYFUNCTION("""COMPUTED_VALUE"""),0.0)</f>
        <v>0</v>
      </c>
    </row>
    <row r="138" ht="15.75" customHeight="1">
      <c r="C138" s="4" t="str">
        <f>IFERROR(__xludf.DUMMYFUNCTION("""COMPUTED_VALUE"""),"Polonia [+]")</f>
        <v>Polonia [+]</v>
      </c>
      <c r="D138" s="4">
        <f>IFERROR(__xludf.DUMMYFUNCTION("""COMPUTED_VALUE"""),2006.0)</f>
        <v>2006</v>
      </c>
      <c r="E138" s="4">
        <f>IFERROR(__xludf.DUMMYFUNCTION("""COMPUTED_VALUE"""),858.0)</f>
        <v>858</v>
      </c>
      <c r="F138" s="9">
        <f>IFERROR(__xludf.DUMMYFUNCTION("""COMPUTED_VALUE"""),4947.0)</f>
        <v>4947</v>
      </c>
      <c r="G138" s="9">
        <f>IFERROR(__xludf.DUMMYFUNCTION("""COMPUTED_VALUE"""),5805.0)</f>
        <v>5805</v>
      </c>
      <c r="H138" s="4">
        <f>IFERROR(__xludf.DUMMYFUNCTION("""COMPUTED_VALUE"""),4.4)</f>
        <v>4.4</v>
      </c>
      <c r="I138" s="4">
        <f>IFERROR(__xludf.DUMMYFUNCTION("""COMPUTED_VALUE"""),26.8)</f>
        <v>26.8</v>
      </c>
      <c r="J138" s="4">
        <f>IFERROR(__xludf.DUMMYFUNCTION("""COMPUTED_VALUE"""),15.2)</f>
        <v>15.2</v>
      </c>
      <c r="K138" s="8">
        <f>IFERROR(__xludf.DUMMYFUNCTION("""COMPUTED_VALUE"""),-0.038)</f>
        <v>-0.038</v>
      </c>
    </row>
    <row r="139" ht="15.75" customHeight="1">
      <c r="C139" s="4" t="str">
        <f>IFERROR(__xludf.DUMMYFUNCTION("""COMPUTED_VALUE"""),"Paraguay [+]")</f>
        <v>Paraguay [+]</v>
      </c>
      <c r="D139" s="4">
        <f>IFERROR(__xludf.DUMMYFUNCTION("""COMPUTED_VALUE"""),2006.0)</f>
        <v>2006</v>
      </c>
      <c r="E139" s="4">
        <f>IFERROR(__xludf.DUMMYFUNCTION("""COMPUTED_VALUE"""),197.0)</f>
        <v>197</v>
      </c>
      <c r="F139" s="4">
        <f>IFERROR(__xludf.DUMMYFUNCTION("""COMPUTED_VALUE"""),421.0)</f>
        <v>421</v>
      </c>
      <c r="G139" s="4">
        <f>IFERROR(__xludf.DUMMYFUNCTION("""COMPUTED_VALUE"""),618.0)</f>
        <v>618</v>
      </c>
      <c r="H139" s="4">
        <f>IFERROR(__xludf.DUMMYFUNCTION("""COMPUTED_VALUE"""),6.76)</f>
        <v>6.76</v>
      </c>
      <c r="I139" s="4">
        <f>IFERROR(__xludf.DUMMYFUNCTION("""COMPUTED_VALUE"""),14.02)</f>
        <v>14.02</v>
      </c>
      <c r="J139" s="4">
        <f>IFERROR(__xludf.DUMMYFUNCTION("""COMPUTED_VALUE"""),10.51)</f>
        <v>10.51</v>
      </c>
      <c r="K139" s="8">
        <f>IFERROR(__xludf.DUMMYFUNCTION("""COMPUTED_VALUE"""),0.0096)</f>
        <v>0.0096</v>
      </c>
    </row>
    <row r="140" ht="15.75" customHeight="1">
      <c r="C140" s="4" t="str">
        <f>IFERROR(__xludf.DUMMYFUNCTION("""COMPUTED_VALUE"""),"Catar [+]")</f>
        <v>Catar [+]</v>
      </c>
      <c r="D140" s="4">
        <f>IFERROR(__xludf.DUMMYFUNCTION("""COMPUTED_VALUE"""),2006.0)</f>
        <v>2006</v>
      </c>
      <c r="E140" s="4">
        <f>IFERROR(__xludf.DUMMYFUNCTION("""COMPUTED_VALUE"""),3.0)</f>
        <v>3</v>
      </c>
      <c r="F140" s="4">
        <f>IFERROR(__xludf.DUMMYFUNCTION("""COMPUTED_VALUE"""),34.0)</f>
        <v>34</v>
      </c>
      <c r="G140" s="4">
        <f>IFERROR(__xludf.DUMMYFUNCTION("""COMPUTED_VALUE"""),36.0)</f>
        <v>36</v>
      </c>
      <c r="H140" s="4">
        <f>IFERROR(__xludf.DUMMYFUNCTION("""COMPUTED_VALUE"""),0.85)</f>
        <v>0.85</v>
      </c>
      <c r="I140" s="4">
        <f>IFERROR(__xludf.DUMMYFUNCTION("""COMPUTED_VALUE"""),4.68)</f>
        <v>4.68</v>
      </c>
      <c r="J140" s="4">
        <f>IFERROR(__xludf.DUMMYFUNCTION("""COMPUTED_VALUE"""),3.73)</f>
        <v>3.73</v>
      </c>
      <c r="K140" s="8">
        <f>IFERROR(__xludf.DUMMYFUNCTION("""COMPUTED_VALUE"""),0.0332)</f>
        <v>0.0332</v>
      </c>
    </row>
    <row r="141" ht="15.75" customHeight="1">
      <c r="C141" s="4" t="str">
        <f>IFERROR(__xludf.DUMMYFUNCTION("""COMPUTED_VALUE"""),"Rumanía [+]")</f>
        <v>Rumanía [+]</v>
      </c>
      <c r="D141" s="4">
        <f>IFERROR(__xludf.DUMMYFUNCTION("""COMPUTED_VALUE"""),2006.0)</f>
        <v>2006</v>
      </c>
      <c r="E141" s="4">
        <f>IFERROR(__xludf.DUMMYFUNCTION("""COMPUTED_VALUE"""),481.0)</f>
        <v>481</v>
      </c>
      <c r="F141" s="9">
        <f>IFERROR(__xludf.DUMMYFUNCTION("""COMPUTED_VALUE"""),2240.0)</f>
        <v>2240</v>
      </c>
      <c r="G141" s="9">
        <f>IFERROR(__xludf.DUMMYFUNCTION("""COMPUTED_VALUE"""),2721.0)</f>
        <v>2721</v>
      </c>
      <c r="H141" s="4">
        <f>IFERROR(__xludf.DUMMYFUNCTION("""COMPUTED_VALUE"""),4.4)</f>
        <v>4.4</v>
      </c>
      <c r="I141" s="4">
        <f>IFERROR(__xludf.DUMMYFUNCTION("""COMPUTED_VALUE"""),21.7)</f>
        <v>21.7</v>
      </c>
      <c r="J141" s="4">
        <f>IFERROR(__xludf.DUMMYFUNCTION("""COMPUTED_VALUE"""),12.8)</f>
        <v>12.8</v>
      </c>
      <c r="K141" s="8">
        <f>IFERROR(__xludf.DUMMYFUNCTION("""COMPUTED_VALUE"""),0.0492)</f>
        <v>0.0492</v>
      </c>
    </row>
    <row r="142" ht="15.75" customHeight="1">
      <c r="C142" s="4" t="str">
        <f>IFERROR(__xludf.DUMMYFUNCTION("""COMPUTED_VALUE"""),"Rusia [+]")</f>
        <v>Rusia [+]</v>
      </c>
      <c r="D142" s="4">
        <f>IFERROR(__xludf.DUMMYFUNCTION("""COMPUTED_VALUE"""),2006.0)</f>
        <v>2006</v>
      </c>
      <c r="E142" s="9">
        <f>IFERROR(__xludf.DUMMYFUNCTION("""COMPUTED_VALUE"""),7247.0)</f>
        <v>7247</v>
      </c>
      <c r="F142" s="9">
        <f>IFERROR(__xludf.DUMMYFUNCTION("""COMPUTED_VALUE"""),35608.0)</f>
        <v>35608</v>
      </c>
      <c r="G142" s="9">
        <f>IFERROR(__xludf.DUMMYFUNCTION("""COMPUTED_VALUE"""),42855.0)</f>
        <v>42855</v>
      </c>
      <c r="H142" s="4">
        <f>IFERROR(__xludf.DUMMYFUNCTION("""COMPUTED_VALUE"""),9.5)</f>
        <v>9.5</v>
      </c>
      <c r="I142" s="4">
        <f>IFERROR(__xludf.DUMMYFUNCTION("""COMPUTED_VALUE"""),53.9)</f>
        <v>53.9</v>
      </c>
      <c r="J142" s="4">
        <f>IFERROR(__xludf.DUMMYFUNCTION("""COMPUTED_VALUE"""),30.1)</f>
        <v>30.1</v>
      </c>
      <c r="K142" s="8">
        <f>IFERROR(__xludf.DUMMYFUNCTION("""COMPUTED_VALUE"""),-0.0652)</f>
        <v>-0.0652</v>
      </c>
    </row>
    <row r="143" ht="15.75" customHeight="1">
      <c r="C143" s="4" t="str">
        <f>IFERROR(__xludf.DUMMYFUNCTION("""COMPUTED_VALUE"""),"Ruanda [+]")</f>
        <v>Ruanda [+]</v>
      </c>
      <c r="D143" s="4">
        <f>IFERROR(__xludf.DUMMYFUNCTION("""COMPUTED_VALUE"""),2006.0)</f>
        <v>2006</v>
      </c>
      <c r="E143" s="4">
        <f>IFERROR(__xludf.DUMMYFUNCTION("""COMPUTED_VALUE"""),118.0)</f>
        <v>118</v>
      </c>
      <c r="F143" s="4">
        <f>IFERROR(__xludf.DUMMYFUNCTION("""COMPUTED_VALUE"""),819.0)</f>
        <v>819</v>
      </c>
      <c r="G143" s="4">
        <f>IFERROR(__xludf.DUMMYFUNCTION("""COMPUTED_VALUE"""),938.0)</f>
        <v>938</v>
      </c>
      <c r="H143" s="4">
        <f>IFERROR(__xludf.DUMMYFUNCTION("""COMPUTED_VALUE"""),2.56)</f>
        <v>2.56</v>
      </c>
      <c r="I143" s="4">
        <f>IFERROR(__xludf.DUMMYFUNCTION("""COMPUTED_VALUE"""),18.51)</f>
        <v>18.51</v>
      </c>
      <c r="J143" s="4">
        <f>IFERROR(__xludf.DUMMYFUNCTION("""COMPUTED_VALUE"""),10.42)</f>
        <v>10.42</v>
      </c>
      <c r="K143" s="8">
        <f>IFERROR(__xludf.DUMMYFUNCTION("""COMPUTED_VALUE"""),-0.0123)</f>
        <v>-0.0123</v>
      </c>
    </row>
    <row r="144" ht="15.75" customHeight="1">
      <c r="C144" s="4" t="str">
        <f>IFERROR(__xludf.DUMMYFUNCTION("""COMPUTED_VALUE"""),"Arabia Saudita [+]")</f>
        <v>Arabia Saudita [+]</v>
      </c>
      <c r="D144" s="4">
        <f>IFERROR(__xludf.DUMMYFUNCTION("""COMPUTED_VALUE"""),2006.0)</f>
        <v>2006</v>
      </c>
      <c r="E144" s="4">
        <f>IFERROR(__xludf.DUMMYFUNCTION("""COMPUTED_VALUE"""),181.0)</f>
        <v>181</v>
      </c>
      <c r="F144" s="4">
        <f>IFERROR(__xludf.DUMMYFUNCTION("""COMPUTED_VALUE"""),576.0)</f>
        <v>576</v>
      </c>
      <c r="G144" s="4">
        <f>IFERROR(__xludf.DUMMYFUNCTION("""COMPUTED_VALUE"""),757.0)</f>
        <v>757</v>
      </c>
      <c r="H144" s="4">
        <f>IFERROR(__xludf.DUMMYFUNCTION("""COMPUTED_VALUE"""),1.67)</f>
        <v>1.67</v>
      </c>
      <c r="I144" s="4">
        <f>IFERROR(__xludf.DUMMYFUNCTION("""COMPUTED_VALUE"""),4.21)</f>
        <v>4.21</v>
      </c>
      <c r="J144" s="4">
        <f>IFERROR(__xludf.DUMMYFUNCTION("""COMPUTED_VALUE"""),3.14)</f>
        <v>3.14</v>
      </c>
      <c r="K144" s="8">
        <f>IFERROR(__xludf.DUMMYFUNCTION("""COMPUTED_VALUE"""),0.0329)</f>
        <v>0.0329</v>
      </c>
    </row>
    <row r="145" ht="15.75" customHeight="1">
      <c r="C145" s="4" t="str">
        <f>IFERROR(__xludf.DUMMYFUNCTION("""COMPUTED_VALUE"""),"Islas Salomón [+]")</f>
        <v>Islas Salomón [+]</v>
      </c>
      <c r="D145" s="4">
        <f>IFERROR(__xludf.DUMMYFUNCTION("""COMPUTED_VALUE"""),2006.0)</f>
        <v>2006</v>
      </c>
      <c r="E145" s="4">
        <f>IFERROR(__xludf.DUMMYFUNCTION("""COMPUTED_VALUE"""),11.0)</f>
        <v>11</v>
      </c>
      <c r="F145" s="4">
        <f>IFERROR(__xludf.DUMMYFUNCTION("""COMPUTED_VALUE"""),30.0)</f>
        <v>30</v>
      </c>
      <c r="G145" s="4">
        <f>IFERROR(__xludf.DUMMYFUNCTION("""COMPUTED_VALUE"""),41.0)</f>
        <v>41</v>
      </c>
      <c r="H145" s="4">
        <f>IFERROR(__xludf.DUMMYFUNCTION("""COMPUTED_VALUE"""),4.7)</f>
        <v>4.7</v>
      </c>
      <c r="I145" s="4">
        <f>IFERROR(__xludf.DUMMYFUNCTION("""COMPUTED_VALUE"""),12.23)</f>
        <v>12.23</v>
      </c>
      <c r="J145" s="4">
        <f>IFERROR(__xludf.DUMMYFUNCTION("""COMPUTED_VALUE"""),8.55)</f>
        <v>8.55</v>
      </c>
      <c r="K145" s="8">
        <f>IFERROR(__xludf.DUMMYFUNCTION("""COMPUTED_VALUE"""),-0.0295)</f>
        <v>-0.0295</v>
      </c>
    </row>
    <row r="146" ht="15.75" customHeight="1">
      <c r="C146" s="4" t="str">
        <f>IFERROR(__xludf.DUMMYFUNCTION("""COMPUTED_VALUE"""),"Seychelles [+]")</f>
        <v>Seychelles [+]</v>
      </c>
      <c r="D146" s="4">
        <f>IFERROR(__xludf.DUMMYFUNCTION("""COMPUTED_VALUE"""),2006.0)</f>
        <v>2006</v>
      </c>
      <c r="E146" s="4">
        <f>IFERROR(__xludf.DUMMYFUNCTION("""COMPUTED_VALUE"""),1.0)</f>
        <v>1</v>
      </c>
      <c r="F146" s="4">
        <f>IFERROR(__xludf.DUMMYFUNCTION("""COMPUTED_VALUE"""),8.0)</f>
        <v>8</v>
      </c>
      <c r="G146" s="4">
        <f>IFERROR(__xludf.DUMMYFUNCTION("""COMPUTED_VALUE"""),9.0)</f>
        <v>9</v>
      </c>
      <c r="H146" s="4">
        <f>IFERROR(__xludf.DUMMYFUNCTION("""COMPUTED_VALUE"""),2.22)</f>
        <v>2.22</v>
      </c>
      <c r="I146" s="4">
        <f>IFERROR(__xludf.DUMMYFUNCTION("""COMPUTED_VALUE"""),17.84)</f>
        <v>17.84</v>
      </c>
      <c r="J146" s="4">
        <f>IFERROR(__xludf.DUMMYFUNCTION("""COMPUTED_VALUE"""),10.02)</f>
        <v>10.02</v>
      </c>
      <c r="K146" s="4">
        <f>IFERROR(__xludf.DUMMYFUNCTION("""COMPUTED_VALUE"""),0.0)</f>
        <v>0</v>
      </c>
    </row>
    <row r="147" ht="15.75" customHeight="1">
      <c r="C147" s="4" t="str">
        <f>IFERROR(__xludf.DUMMYFUNCTION("""COMPUTED_VALUE"""),"Sudán [+]")</f>
        <v>Sudán [+]</v>
      </c>
      <c r="D147" s="4">
        <f>IFERROR(__xludf.DUMMYFUNCTION("""COMPUTED_VALUE"""),2006.0)</f>
        <v>2006</v>
      </c>
      <c r="E147" s="4">
        <f>IFERROR(__xludf.DUMMYFUNCTION("""COMPUTED_VALUE"""),992.0)</f>
        <v>992</v>
      </c>
      <c r="F147" s="9">
        <f>IFERROR(__xludf.DUMMYFUNCTION("""COMPUTED_VALUE"""),2667.0)</f>
        <v>2667</v>
      </c>
      <c r="G147" s="9">
        <f>IFERROR(__xludf.DUMMYFUNCTION("""COMPUTED_VALUE"""),3659.0)</f>
        <v>3659</v>
      </c>
      <c r="H147" s="4">
        <f>IFERROR(__xludf.DUMMYFUNCTION("""COMPUTED_VALUE"""),6.28)</f>
        <v>6.28</v>
      </c>
      <c r="I147" s="4">
        <f>IFERROR(__xludf.DUMMYFUNCTION("""COMPUTED_VALUE"""),16.82)</f>
        <v>16.82</v>
      </c>
      <c r="J147" s="4">
        <f>IFERROR(__xludf.DUMMYFUNCTION("""COMPUTED_VALUE"""),10.1)</f>
        <v>10.1</v>
      </c>
      <c r="K147" s="8">
        <f>IFERROR(__xludf.DUMMYFUNCTION("""COMPUTED_VALUE"""),0.013)</f>
        <v>0.013</v>
      </c>
    </row>
    <row r="148" ht="15.75" customHeight="1">
      <c r="C148" s="4" t="str">
        <f>IFERROR(__xludf.DUMMYFUNCTION("""COMPUTED_VALUE"""),"Suecia [+]")</f>
        <v>Suecia [+]</v>
      </c>
      <c r="D148" s="4">
        <f>IFERROR(__xludf.DUMMYFUNCTION("""COMPUTED_VALUE"""),2006.0)</f>
        <v>2006</v>
      </c>
      <c r="E148" s="4">
        <f>IFERROR(__xludf.DUMMYFUNCTION("""COMPUTED_VALUE"""),380.0)</f>
        <v>380</v>
      </c>
      <c r="F148" s="4">
        <f>IFERROR(__xludf.DUMMYFUNCTION("""COMPUTED_VALUE"""),817.0)</f>
        <v>817</v>
      </c>
      <c r="G148" s="9">
        <f>IFERROR(__xludf.DUMMYFUNCTION("""COMPUTED_VALUE"""),1197.0)</f>
        <v>1197</v>
      </c>
      <c r="H148" s="4">
        <f>IFERROR(__xludf.DUMMYFUNCTION("""COMPUTED_VALUE"""),8.3)</f>
        <v>8.3</v>
      </c>
      <c r="I148" s="4">
        <f>IFERROR(__xludf.DUMMYFUNCTION("""COMPUTED_VALUE"""),18.1)</f>
        <v>18.1</v>
      </c>
      <c r="J148" s="4">
        <f>IFERROR(__xludf.DUMMYFUNCTION("""COMPUTED_VALUE"""),13.2)</f>
        <v>13.2</v>
      </c>
      <c r="K148" s="8">
        <f>IFERROR(__xludf.DUMMYFUNCTION("""COMPUTED_VALUE"""),-0.0222)</f>
        <v>-0.0222</v>
      </c>
    </row>
    <row r="149" ht="15.75" customHeight="1">
      <c r="C149" s="4" t="str">
        <f>IFERROR(__xludf.DUMMYFUNCTION("""COMPUTED_VALUE"""),"Singapur [+]")</f>
        <v>Singapur [+]</v>
      </c>
      <c r="D149" s="4">
        <f>IFERROR(__xludf.DUMMYFUNCTION("""COMPUTED_VALUE"""),2006.0)</f>
        <v>2006</v>
      </c>
      <c r="E149" s="4">
        <f>IFERROR(__xludf.DUMMYFUNCTION("""COMPUTED_VALUE"""),199.0)</f>
        <v>199</v>
      </c>
      <c r="F149" s="4">
        <f>IFERROR(__xludf.DUMMYFUNCTION("""COMPUTED_VALUE"""),339.0)</f>
        <v>339</v>
      </c>
      <c r="G149" s="4">
        <f>IFERROR(__xludf.DUMMYFUNCTION("""COMPUTED_VALUE"""),538.0)</f>
        <v>538</v>
      </c>
      <c r="H149" s="4">
        <f>IFERROR(__xludf.DUMMYFUNCTION("""COMPUTED_VALUE"""),9.2)</f>
        <v>9.2</v>
      </c>
      <c r="I149" s="4">
        <f>IFERROR(__xludf.DUMMYFUNCTION("""COMPUTED_VALUE"""),15.17)</f>
        <v>15.17</v>
      </c>
      <c r="J149" s="4">
        <f>IFERROR(__xludf.DUMMYFUNCTION("""COMPUTED_VALUE"""),12.23)</f>
        <v>12.23</v>
      </c>
      <c r="K149" s="4">
        <f>IFERROR(__xludf.DUMMYFUNCTION("""COMPUTED_VALUE"""),0.0)</f>
        <v>0</v>
      </c>
    </row>
    <row r="150" ht="15.75" customHeight="1">
      <c r="C150" s="4" t="str">
        <f>IFERROR(__xludf.DUMMYFUNCTION("""COMPUTED_VALUE"""),"Eslovenia [+]")</f>
        <v>Eslovenia [+]</v>
      </c>
      <c r="D150" s="4">
        <f>IFERROR(__xludf.DUMMYFUNCTION("""COMPUTED_VALUE"""),2006.0)</f>
        <v>2006</v>
      </c>
      <c r="E150" s="4">
        <f>IFERROR(__xludf.DUMMYFUNCTION("""COMPUTED_VALUE"""),114.0)</f>
        <v>114</v>
      </c>
      <c r="F150" s="4">
        <f>IFERROR(__xludf.DUMMYFUNCTION("""COMPUTED_VALUE"""),415.0)</f>
        <v>415</v>
      </c>
      <c r="G150" s="4">
        <f>IFERROR(__xludf.DUMMYFUNCTION("""COMPUTED_VALUE"""),529.0)</f>
        <v>529</v>
      </c>
      <c r="H150" s="4">
        <f>IFERROR(__xludf.DUMMYFUNCTION("""COMPUTED_VALUE"""),11.1)</f>
        <v>11.1</v>
      </c>
      <c r="I150" s="4">
        <f>IFERROR(__xludf.DUMMYFUNCTION("""COMPUTED_VALUE"""),42.2)</f>
        <v>42.2</v>
      </c>
      <c r="J150" s="4">
        <f>IFERROR(__xludf.DUMMYFUNCTION("""COMPUTED_VALUE"""),26.4)</f>
        <v>26.4</v>
      </c>
      <c r="K150" s="8">
        <f>IFERROR(__xludf.DUMMYFUNCTION("""COMPUTED_VALUE"""),0.0518)</f>
        <v>0.0518</v>
      </c>
    </row>
    <row r="151" ht="15.75" customHeight="1">
      <c r="C151" s="4" t="str">
        <f>IFERROR(__xludf.DUMMYFUNCTION("""COMPUTED_VALUE"""),"Eslovaquia [+]")</f>
        <v>Eslovaquia [+]</v>
      </c>
      <c r="D151" s="4">
        <f>IFERROR(__xludf.DUMMYFUNCTION("""COMPUTED_VALUE"""),2006.0)</f>
        <v>2006</v>
      </c>
      <c r="E151" s="4">
        <f>IFERROR(__xludf.DUMMYFUNCTION("""COMPUTED_VALUE"""),68.0)</f>
        <v>68</v>
      </c>
      <c r="F151" s="4">
        <f>IFERROR(__xludf.DUMMYFUNCTION("""COMPUTED_VALUE"""),464.0)</f>
        <v>464</v>
      </c>
      <c r="G151" s="4">
        <f>IFERROR(__xludf.DUMMYFUNCTION("""COMPUTED_VALUE"""),532.0)</f>
        <v>532</v>
      </c>
      <c r="H151" s="4">
        <f>IFERROR(__xludf.DUMMYFUNCTION("""COMPUTED_VALUE"""),2.5)</f>
        <v>2.5</v>
      </c>
      <c r="I151" s="4">
        <f>IFERROR(__xludf.DUMMYFUNCTION("""COMPUTED_VALUE"""),17.8)</f>
        <v>17.8</v>
      </c>
      <c r="J151" s="4">
        <f>IFERROR(__xludf.DUMMYFUNCTION("""COMPUTED_VALUE"""),9.9)</f>
        <v>9.9</v>
      </c>
      <c r="K151" s="8">
        <f>IFERROR(__xludf.DUMMYFUNCTION("""COMPUTED_VALUE"""),-0.2143)</f>
        <v>-0.2143</v>
      </c>
    </row>
    <row r="152" ht="15.75" customHeight="1">
      <c r="C152" s="4" t="str">
        <f>IFERROR(__xludf.DUMMYFUNCTION("""COMPUTED_VALUE"""),"Sierra Leona [+]")</f>
        <v>Sierra Leona [+]</v>
      </c>
      <c r="D152" s="4">
        <f>IFERROR(__xludf.DUMMYFUNCTION("""COMPUTED_VALUE"""),2006.0)</f>
        <v>2006</v>
      </c>
      <c r="E152" s="4">
        <f>IFERROR(__xludf.DUMMYFUNCTION("""COMPUTED_VALUE"""),238.0)</f>
        <v>238</v>
      </c>
      <c r="F152" s="4">
        <f>IFERROR(__xludf.DUMMYFUNCTION("""COMPUTED_VALUE"""),552.0)</f>
        <v>552</v>
      </c>
      <c r="G152" s="4">
        <f>IFERROR(__xludf.DUMMYFUNCTION("""COMPUTED_VALUE"""),790.0)</f>
        <v>790</v>
      </c>
      <c r="H152" s="4">
        <f>IFERROR(__xludf.DUMMYFUNCTION("""COMPUTED_VALUE"""),8.12)</f>
        <v>8.12</v>
      </c>
      <c r="I152" s="4">
        <f>IFERROR(__xludf.DUMMYFUNCTION("""COMPUTED_VALUE"""),19.04)</f>
        <v>19.04</v>
      </c>
      <c r="J152" s="4">
        <f>IFERROR(__xludf.DUMMYFUNCTION("""COMPUTED_VALUE"""),13.55)</f>
        <v>13.55</v>
      </c>
      <c r="K152" s="8">
        <f>IFERROR(__xludf.DUMMYFUNCTION("""COMPUTED_VALUE"""),-0.0363)</f>
        <v>-0.0363</v>
      </c>
    </row>
    <row r="153" ht="15.75" customHeight="1">
      <c r="C153" s="4" t="str">
        <f>IFERROR(__xludf.DUMMYFUNCTION("""COMPUTED_VALUE"""),"Senegal [+]")</f>
        <v>Senegal [+]</v>
      </c>
      <c r="D153" s="4">
        <f>IFERROR(__xludf.DUMMYFUNCTION("""COMPUTED_VALUE"""),2006.0)</f>
        <v>2006</v>
      </c>
      <c r="E153" s="4">
        <f>IFERROR(__xludf.DUMMYFUNCTION("""COMPUTED_VALUE"""),254.0)</f>
        <v>254</v>
      </c>
      <c r="F153" s="4">
        <f>IFERROR(__xludf.DUMMYFUNCTION("""COMPUTED_VALUE"""),639.0)</f>
        <v>639</v>
      </c>
      <c r="G153" s="4">
        <f>IFERROR(__xludf.DUMMYFUNCTION("""COMPUTED_VALUE"""),894.0)</f>
        <v>894</v>
      </c>
      <c r="H153" s="4">
        <f>IFERROR(__xludf.DUMMYFUNCTION("""COMPUTED_VALUE"""),4.36)</f>
        <v>4.36</v>
      </c>
      <c r="I153" s="4">
        <f>IFERROR(__xludf.DUMMYFUNCTION("""COMPUTED_VALUE"""),11.51)</f>
        <v>11.51</v>
      </c>
      <c r="J153" s="4">
        <f>IFERROR(__xludf.DUMMYFUNCTION("""COMPUTED_VALUE"""),7.85)</f>
        <v>7.85</v>
      </c>
      <c r="K153" s="8">
        <f>IFERROR(__xludf.DUMMYFUNCTION("""COMPUTED_VALUE"""),-0.0438)</f>
        <v>-0.0438</v>
      </c>
    </row>
    <row r="154" ht="15.75" customHeight="1">
      <c r="C154" s="4" t="str">
        <f>IFERROR(__xludf.DUMMYFUNCTION("""COMPUTED_VALUE"""),"Somalia [+]")</f>
        <v>Somalia [+]</v>
      </c>
      <c r="D154" s="4">
        <f>IFERROR(__xludf.DUMMYFUNCTION("""COMPUTED_VALUE"""),2006.0)</f>
        <v>2006</v>
      </c>
      <c r="E154" s="4">
        <f>IFERROR(__xludf.DUMMYFUNCTION("""COMPUTED_VALUE"""),128.0)</f>
        <v>128</v>
      </c>
      <c r="F154" s="4">
        <f>IFERROR(__xludf.DUMMYFUNCTION("""COMPUTED_VALUE"""),323.0)</f>
        <v>323</v>
      </c>
      <c r="G154" s="4">
        <f>IFERROR(__xludf.DUMMYFUNCTION("""COMPUTED_VALUE"""),451.0)</f>
        <v>451</v>
      </c>
      <c r="H154" s="4">
        <f>IFERROR(__xludf.DUMMYFUNCTION("""COMPUTED_VALUE"""),2.38)</f>
        <v>2.38</v>
      </c>
      <c r="I154" s="4">
        <f>IFERROR(__xludf.DUMMYFUNCTION("""COMPUTED_VALUE"""),6.0)</f>
        <v>6</v>
      </c>
      <c r="J154" s="4">
        <f>IFERROR(__xludf.DUMMYFUNCTION("""COMPUTED_VALUE"""),4.19)</f>
        <v>4.19</v>
      </c>
      <c r="K154" s="8">
        <f>IFERROR(__xludf.DUMMYFUNCTION("""COMPUTED_VALUE"""),-0.0187)</f>
        <v>-0.0187</v>
      </c>
    </row>
    <row r="155" ht="15.75" customHeight="1">
      <c r="C155" s="4" t="str">
        <f>IFERROR(__xludf.DUMMYFUNCTION("""COMPUTED_VALUE"""),"Surinam [+]")</f>
        <v>Surinam [+]</v>
      </c>
      <c r="D155" s="4">
        <f>IFERROR(__xludf.DUMMYFUNCTION("""COMPUTED_VALUE"""),2006.0)</f>
        <v>2006</v>
      </c>
      <c r="E155" s="4">
        <f>IFERROR(__xludf.DUMMYFUNCTION("""COMPUTED_VALUE"""),27.0)</f>
        <v>27</v>
      </c>
      <c r="F155" s="4">
        <f>IFERROR(__xludf.DUMMYFUNCTION("""COMPUTED_VALUE"""),111.0)</f>
        <v>111</v>
      </c>
      <c r="G155" s="4">
        <f>IFERROR(__xludf.DUMMYFUNCTION("""COMPUTED_VALUE"""),138.0)</f>
        <v>138</v>
      </c>
      <c r="H155" s="4">
        <f>IFERROR(__xludf.DUMMYFUNCTION("""COMPUTED_VALUE"""),10.83)</f>
        <v>10.83</v>
      </c>
      <c r="I155" s="4">
        <f>IFERROR(__xludf.DUMMYFUNCTION("""COMPUTED_VALUE"""),43.48)</f>
        <v>43.48</v>
      </c>
      <c r="J155" s="4">
        <f>IFERROR(__xludf.DUMMYFUNCTION("""COMPUTED_VALUE"""),27.37)</f>
        <v>27.37</v>
      </c>
      <c r="K155" s="8">
        <f>IFERROR(__xludf.DUMMYFUNCTION("""COMPUTED_VALUE"""),-0.0119)</f>
        <v>-0.0119</v>
      </c>
    </row>
    <row r="156" ht="15.75" customHeight="1">
      <c r="C156" s="4" t="str">
        <f>IFERROR(__xludf.DUMMYFUNCTION("""COMPUTED_VALUE"""),"Sudán del Sur [+]")</f>
        <v>Sudán del Sur [+]</v>
      </c>
      <c r="D156" s="4">
        <f>IFERROR(__xludf.DUMMYFUNCTION("""COMPUTED_VALUE"""),2006.0)</f>
        <v>2006</v>
      </c>
      <c r="E156" s="4">
        <f>IFERROR(__xludf.DUMMYFUNCTION("""COMPUTED_VALUE"""),168.0)</f>
        <v>168</v>
      </c>
      <c r="F156" s="4">
        <f>IFERROR(__xludf.DUMMYFUNCTION("""COMPUTED_VALUE"""),440.0)</f>
        <v>440</v>
      </c>
      <c r="G156" s="4">
        <f>IFERROR(__xludf.DUMMYFUNCTION("""COMPUTED_VALUE"""),608.0)</f>
        <v>608</v>
      </c>
      <c r="H156" s="4">
        <f>IFERROR(__xludf.DUMMYFUNCTION("""COMPUTED_VALUE"""),4.25)</f>
        <v>4.25</v>
      </c>
      <c r="I156" s="4">
        <f>IFERROR(__xludf.DUMMYFUNCTION("""COMPUTED_VALUE"""),11.14)</f>
        <v>11.14</v>
      </c>
      <c r="J156" s="4">
        <f>IFERROR(__xludf.DUMMYFUNCTION("""COMPUTED_VALUE"""),7.69)</f>
        <v>7.69</v>
      </c>
      <c r="K156" s="8">
        <f>IFERROR(__xludf.DUMMYFUNCTION("""COMPUTED_VALUE"""),0.0199)</f>
        <v>0.0199</v>
      </c>
    </row>
    <row r="157" ht="15.75" customHeight="1">
      <c r="C157" s="4" t="str">
        <f>IFERROR(__xludf.DUMMYFUNCTION("""COMPUTED_VALUE"""),"Santo Tomé y Príncipe [+]")</f>
        <v>Santo Tomé y Príncipe [+]</v>
      </c>
      <c r="D157" s="4">
        <f>IFERROR(__xludf.DUMMYFUNCTION("""COMPUTED_VALUE"""),2006.0)</f>
        <v>2006</v>
      </c>
      <c r="E157" s="4">
        <f>IFERROR(__xludf.DUMMYFUNCTION("""COMPUTED_VALUE"""),1.0)</f>
        <v>1</v>
      </c>
      <c r="F157" s="4">
        <f>IFERROR(__xludf.DUMMYFUNCTION("""COMPUTED_VALUE"""),2.0)</f>
        <v>2</v>
      </c>
      <c r="G157" s="4">
        <f>IFERROR(__xludf.DUMMYFUNCTION("""COMPUTED_VALUE"""),3.0)</f>
        <v>3</v>
      </c>
      <c r="H157" s="4">
        <f>IFERROR(__xludf.DUMMYFUNCTION("""COMPUTED_VALUE"""),1.18)</f>
        <v>1.18</v>
      </c>
      <c r="I157" s="4">
        <f>IFERROR(__xludf.DUMMYFUNCTION("""COMPUTED_VALUE"""),2.68)</f>
        <v>2.68</v>
      </c>
      <c r="J157" s="4">
        <f>IFERROR(__xludf.DUMMYFUNCTION("""COMPUTED_VALUE"""),1.96)</f>
        <v>1.96</v>
      </c>
      <c r="K157" s="8">
        <f>IFERROR(__xludf.DUMMYFUNCTION("""COMPUTED_VALUE"""),0.0262)</f>
        <v>0.0262</v>
      </c>
    </row>
    <row r="158" ht="15.75" customHeight="1">
      <c r="C158" s="4" t="str">
        <f>IFERROR(__xludf.DUMMYFUNCTION("""COMPUTED_VALUE"""),"El Salvador [+]")</f>
        <v>El Salvador [+]</v>
      </c>
      <c r="D158" s="4">
        <f>IFERROR(__xludf.DUMMYFUNCTION("""COMPUTED_VALUE"""),2006.0)</f>
        <v>2006</v>
      </c>
      <c r="E158" s="4">
        <f>IFERROR(__xludf.DUMMYFUNCTION("""COMPUTED_VALUE"""),182.0)</f>
        <v>182</v>
      </c>
      <c r="F158" s="4">
        <f>IFERROR(__xludf.DUMMYFUNCTION("""COMPUTED_VALUE"""),632.0)</f>
        <v>632</v>
      </c>
      <c r="G158" s="4">
        <f>IFERROR(__xludf.DUMMYFUNCTION("""COMPUTED_VALUE"""),814.0)</f>
        <v>814</v>
      </c>
      <c r="H158" s="4">
        <f>IFERROR(__xludf.DUMMYFUNCTION("""COMPUTED_VALUE"""),5.73)</f>
        <v>5.73</v>
      </c>
      <c r="I158" s="4">
        <f>IFERROR(__xludf.DUMMYFUNCTION("""COMPUTED_VALUE"""),21.82)</f>
        <v>21.82</v>
      </c>
      <c r="J158" s="4">
        <f>IFERROR(__xludf.DUMMYFUNCTION("""COMPUTED_VALUE"""),13.4)</f>
        <v>13.4</v>
      </c>
      <c r="K158" s="8">
        <f>IFERROR(__xludf.DUMMYFUNCTION("""COMPUTED_VALUE"""),-0.0603)</f>
        <v>-0.0603</v>
      </c>
    </row>
    <row r="159" ht="15.75" customHeight="1">
      <c r="C159" s="4" t="str">
        <f>IFERROR(__xludf.DUMMYFUNCTION("""COMPUTED_VALUE"""),"Siria [+]")</f>
        <v>Siria [+]</v>
      </c>
      <c r="D159" s="4">
        <f>IFERROR(__xludf.DUMMYFUNCTION("""COMPUTED_VALUE"""),2006.0)</f>
        <v>2006</v>
      </c>
      <c r="E159" s="4">
        <f>IFERROR(__xludf.DUMMYFUNCTION("""COMPUTED_VALUE"""),67.0)</f>
        <v>67</v>
      </c>
      <c r="F159" s="4">
        <f>IFERROR(__xludf.DUMMYFUNCTION("""COMPUTED_VALUE"""),272.0)</f>
        <v>272</v>
      </c>
      <c r="G159" s="4">
        <f>IFERROR(__xludf.DUMMYFUNCTION("""COMPUTED_VALUE"""),339.0)</f>
        <v>339</v>
      </c>
      <c r="H159" s="4">
        <f>IFERROR(__xludf.DUMMYFUNCTION("""COMPUTED_VALUE"""),0.72)</f>
        <v>0.72</v>
      </c>
      <c r="I159" s="4">
        <f>IFERROR(__xludf.DUMMYFUNCTION("""COMPUTED_VALUE"""),2.8)</f>
        <v>2.8</v>
      </c>
      <c r="J159" s="4">
        <f>IFERROR(__xludf.DUMMYFUNCTION("""COMPUTED_VALUE"""),1.73)</f>
        <v>1.73</v>
      </c>
      <c r="K159" s="8">
        <f>IFERROR(__xludf.DUMMYFUNCTION("""COMPUTED_VALUE"""),-0.017)</f>
        <v>-0.017</v>
      </c>
    </row>
    <row r="160" ht="15.75" customHeight="1">
      <c r="C160" s="4" t="str">
        <f>IFERROR(__xludf.DUMMYFUNCTION("""COMPUTED_VALUE"""),"Eswatini [+]")</f>
        <v>Eswatini [+]</v>
      </c>
      <c r="D160" s="4">
        <f>IFERROR(__xludf.DUMMYFUNCTION("""COMPUTED_VALUE"""),2006.0)</f>
        <v>2006</v>
      </c>
      <c r="E160" s="4">
        <f>IFERROR(__xludf.DUMMYFUNCTION("""COMPUTED_VALUE"""),44.0)</f>
        <v>44</v>
      </c>
      <c r="F160" s="4">
        <f>IFERROR(__xludf.DUMMYFUNCTION("""COMPUTED_VALUE"""),131.0)</f>
        <v>131</v>
      </c>
      <c r="G160" s="4">
        <f>IFERROR(__xludf.DUMMYFUNCTION("""COMPUTED_VALUE"""),174.0)</f>
        <v>174</v>
      </c>
      <c r="H160" s="4">
        <f>IFERROR(__xludf.DUMMYFUNCTION("""COMPUTED_VALUE"""),8.01)</f>
        <v>8.01</v>
      </c>
      <c r="I160" s="4">
        <f>IFERROR(__xludf.DUMMYFUNCTION("""COMPUTED_VALUE"""),26.67)</f>
        <v>26.67</v>
      </c>
      <c r="J160" s="4">
        <f>IFERROR(__xludf.DUMMYFUNCTION("""COMPUTED_VALUE"""),17.28)</f>
        <v>17.28</v>
      </c>
      <c r="K160" s="8">
        <f>IFERROR(__xludf.DUMMYFUNCTION("""COMPUTED_VALUE"""),-0.0126)</f>
        <v>-0.0126</v>
      </c>
    </row>
    <row r="161" ht="15.75" customHeight="1">
      <c r="C161" s="4" t="str">
        <f>IFERROR(__xludf.DUMMYFUNCTION("""COMPUTED_VALUE"""),"Chad [+]")</f>
        <v>Chad [+]</v>
      </c>
      <c r="D161" s="4">
        <f>IFERROR(__xludf.DUMMYFUNCTION("""COMPUTED_VALUE"""),2006.0)</f>
        <v>2006</v>
      </c>
      <c r="E161" s="4">
        <f>IFERROR(__xludf.DUMMYFUNCTION("""COMPUTED_VALUE"""),208.0)</f>
        <v>208</v>
      </c>
      <c r="F161" s="4">
        <f>IFERROR(__xludf.DUMMYFUNCTION("""COMPUTED_VALUE"""),589.0)</f>
        <v>589</v>
      </c>
      <c r="G161" s="4">
        <f>IFERROR(__xludf.DUMMYFUNCTION("""COMPUTED_VALUE"""),796.0)</f>
        <v>796</v>
      </c>
      <c r="H161" s="4">
        <f>IFERROR(__xludf.DUMMYFUNCTION("""COMPUTED_VALUE"""),3.96)</f>
        <v>3.96</v>
      </c>
      <c r="I161" s="4">
        <f>IFERROR(__xludf.DUMMYFUNCTION("""COMPUTED_VALUE"""),11.3)</f>
        <v>11.3</v>
      </c>
      <c r="J161" s="4">
        <f>IFERROR(__xludf.DUMMYFUNCTION("""COMPUTED_VALUE"""),7.62)</f>
        <v>7.62</v>
      </c>
      <c r="K161" s="8">
        <f>IFERROR(__xludf.DUMMYFUNCTION("""COMPUTED_VALUE"""),0.0187)</f>
        <v>0.0187</v>
      </c>
    </row>
    <row r="162" ht="15.75" customHeight="1">
      <c r="C162" s="4" t="str">
        <f>IFERROR(__xludf.DUMMYFUNCTION("""COMPUTED_VALUE"""),"Togo [+]")</f>
        <v>Togo [+]</v>
      </c>
      <c r="D162" s="4">
        <f>IFERROR(__xludf.DUMMYFUNCTION("""COMPUTED_VALUE"""),2006.0)</f>
        <v>2006</v>
      </c>
      <c r="E162" s="4">
        <f>IFERROR(__xludf.DUMMYFUNCTION("""COMPUTED_VALUE"""),154.0)</f>
        <v>154</v>
      </c>
      <c r="F162" s="4">
        <f>IFERROR(__xludf.DUMMYFUNCTION("""COMPUTED_VALUE"""),407.0)</f>
        <v>407</v>
      </c>
      <c r="G162" s="4">
        <f>IFERROR(__xludf.DUMMYFUNCTION("""COMPUTED_VALUE"""),562.0)</f>
        <v>562</v>
      </c>
      <c r="H162" s="4">
        <f>IFERROR(__xludf.DUMMYFUNCTION("""COMPUTED_VALUE"""),5.3)</f>
        <v>5.3</v>
      </c>
      <c r="I162" s="4">
        <f>IFERROR(__xludf.DUMMYFUNCTION("""COMPUTED_VALUE"""),14.28)</f>
        <v>14.28</v>
      </c>
      <c r="J162" s="4">
        <f>IFERROR(__xludf.DUMMYFUNCTION("""COMPUTED_VALUE"""),9.74)</f>
        <v>9.74</v>
      </c>
      <c r="K162" s="8">
        <f>IFERROR(__xludf.DUMMYFUNCTION("""COMPUTED_VALUE"""),0.001)</f>
        <v>0.001</v>
      </c>
    </row>
    <row r="163" ht="15.75" customHeight="1">
      <c r="C163" s="4" t="str">
        <f>IFERROR(__xludf.DUMMYFUNCTION("""COMPUTED_VALUE"""),"Tailandia [+]")</f>
        <v>Tailandia [+]</v>
      </c>
      <c r="D163" s="4">
        <f>IFERROR(__xludf.DUMMYFUNCTION("""COMPUTED_VALUE"""),2006.0)</f>
        <v>2006</v>
      </c>
      <c r="E163" s="9">
        <f>IFERROR(__xludf.DUMMYFUNCTION("""COMPUTED_VALUE"""),2794.0)</f>
        <v>2794</v>
      </c>
      <c r="F163" s="9">
        <f>IFERROR(__xludf.DUMMYFUNCTION("""COMPUTED_VALUE"""),6206.0)</f>
        <v>6206</v>
      </c>
      <c r="G163" s="9">
        <f>IFERROR(__xludf.DUMMYFUNCTION("""COMPUTED_VALUE"""),8999.0)</f>
        <v>8999</v>
      </c>
      <c r="H163" s="4">
        <f>IFERROR(__xludf.DUMMYFUNCTION("""COMPUTED_VALUE"""),8.35)</f>
        <v>8.35</v>
      </c>
      <c r="I163" s="4">
        <f>IFERROR(__xludf.DUMMYFUNCTION("""COMPUTED_VALUE"""),19.19)</f>
        <v>19.19</v>
      </c>
      <c r="J163" s="4">
        <f>IFERROR(__xludf.DUMMYFUNCTION("""COMPUTED_VALUE"""),13.67)</f>
        <v>13.67</v>
      </c>
      <c r="K163" s="8">
        <f>IFERROR(__xludf.DUMMYFUNCTION("""COMPUTED_VALUE"""),0.0372)</f>
        <v>0.0372</v>
      </c>
    </row>
    <row r="164" ht="15.75" customHeight="1">
      <c r="C164" s="4" t="str">
        <f>IFERROR(__xludf.DUMMYFUNCTION("""COMPUTED_VALUE"""),"Tayikistán [+]")</f>
        <v>Tayikistán [+]</v>
      </c>
      <c r="D164" s="4">
        <f>IFERROR(__xludf.DUMMYFUNCTION("""COMPUTED_VALUE"""),2006.0)</f>
        <v>2006</v>
      </c>
      <c r="E164" s="4">
        <f>IFERROR(__xludf.DUMMYFUNCTION("""COMPUTED_VALUE"""),62.0)</f>
        <v>62</v>
      </c>
      <c r="F164" s="4">
        <f>IFERROR(__xludf.DUMMYFUNCTION("""COMPUTED_VALUE"""),217.0)</f>
        <v>217</v>
      </c>
      <c r="G164" s="4">
        <f>IFERROR(__xludf.DUMMYFUNCTION("""COMPUTED_VALUE"""),279.0)</f>
        <v>279</v>
      </c>
      <c r="H164" s="4">
        <f>IFERROR(__xludf.DUMMYFUNCTION("""COMPUTED_VALUE"""),1.8)</f>
        <v>1.8</v>
      </c>
      <c r="I164" s="4">
        <f>IFERROR(__xludf.DUMMYFUNCTION("""COMPUTED_VALUE"""),6.23)</f>
        <v>6.23</v>
      </c>
      <c r="J164" s="4">
        <f>IFERROR(__xludf.DUMMYFUNCTION("""COMPUTED_VALUE"""),3.99)</f>
        <v>3.99</v>
      </c>
      <c r="K164" s="8">
        <f>IFERROR(__xludf.DUMMYFUNCTION("""COMPUTED_VALUE"""),-0.0386)</f>
        <v>-0.0386</v>
      </c>
    </row>
    <row r="165" ht="15.75" customHeight="1">
      <c r="C165" s="4" t="str">
        <f>IFERROR(__xludf.DUMMYFUNCTION("""COMPUTED_VALUE"""),"Timor Oriental [+]")</f>
        <v>Timor Oriental [+]</v>
      </c>
      <c r="D165" s="4">
        <f>IFERROR(__xludf.DUMMYFUNCTION("""COMPUTED_VALUE"""),2006.0)</f>
        <v>2006</v>
      </c>
      <c r="E165" s="4">
        <f>IFERROR(__xludf.DUMMYFUNCTION("""COMPUTED_VALUE"""),22.0)</f>
        <v>22</v>
      </c>
      <c r="F165" s="4">
        <f>IFERROR(__xludf.DUMMYFUNCTION("""COMPUTED_VALUE"""),47.0)</f>
        <v>47</v>
      </c>
      <c r="G165" s="4">
        <f>IFERROR(__xludf.DUMMYFUNCTION("""COMPUTED_VALUE"""),69.0)</f>
        <v>69</v>
      </c>
      <c r="H165" s="4">
        <f>IFERROR(__xludf.DUMMYFUNCTION("""COMPUTED_VALUE"""),4.38)</f>
        <v>4.38</v>
      </c>
      <c r="I165" s="4">
        <f>IFERROR(__xludf.DUMMYFUNCTION("""COMPUTED_VALUE"""),9.11)</f>
        <v>9.11</v>
      </c>
      <c r="J165" s="4">
        <f>IFERROR(__xludf.DUMMYFUNCTION("""COMPUTED_VALUE"""),6.77)</f>
        <v>6.77</v>
      </c>
      <c r="K165" s="8">
        <f>IFERROR(__xludf.DUMMYFUNCTION("""COMPUTED_VALUE"""),-0.0701)</f>
        <v>-0.0701</v>
      </c>
    </row>
    <row r="166" ht="15.75" customHeight="1">
      <c r="C166" s="4" t="str">
        <f>IFERROR(__xludf.DUMMYFUNCTION("""COMPUTED_VALUE"""),"Turkmenistán [+]")</f>
        <v>Turkmenistán [+]</v>
      </c>
      <c r="D166" s="4">
        <f>IFERROR(__xludf.DUMMYFUNCTION("""COMPUTED_VALUE"""),2006.0)</f>
        <v>2006</v>
      </c>
      <c r="E166" s="4">
        <f>IFERROR(__xludf.DUMMYFUNCTION("""COMPUTED_VALUE"""),117.0)</f>
        <v>117</v>
      </c>
      <c r="F166" s="4">
        <f>IFERROR(__xludf.DUMMYFUNCTION("""COMPUTED_VALUE"""),451.0)</f>
        <v>451</v>
      </c>
      <c r="G166" s="4">
        <f>IFERROR(__xludf.DUMMYFUNCTION("""COMPUTED_VALUE"""),568.0)</f>
        <v>568</v>
      </c>
      <c r="H166" s="4">
        <f>IFERROR(__xludf.DUMMYFUNCTION("""COMPUTED_VALUE"""),4.79)</f>
        <v>4.79</v>
      </c>
      <c r="I166" s="4">
        <f>IFERROR(__xludf.DUMMYFUNCTION("""COMPUTED_VALUE"""),19.05)</f>
        <v>19.05</v>
      </c>
      <c r="J166" s="4">
        <f>IFERROR(__xludf.DUMMYFUNCTION("""COMPUTED_VALUE"""),11.8)</f>
        <v>11.8</v>
      </c>
      <c r="K166" s="8">
        <f>IFERROR(__xludf.DUMMYFUNCTION("""COMPUTED_VALUE"""),0.048)</f>
        <v>0.048</v>
      </c>
    </row>
    <row r="167" ht="15.75" customHeight="1">
      <c r="C167" s="4" t="str">
        <f>IFERROR(__xludf.DUMMYFUNCTION("""COMPUTED_VALUE"""),"Túnez [+]")</f>
        <v>Túnez [+]</v>
      </c>
      <c r="D167" s="4">
        <f>IFERROR(__xludf.DUMMYFUNCTION("""COMPUTED_VALUE"""),2006.0)</f>
        <v>2006</v>
      </c>
      <c r="E167" s="4">
        <f>IFERROR(__xludf.DUMMYFUNCTION("""COMPUTED_VALUE"""),193.0)</f>
        <v>193</v>
      </c>
      <c r="F167" s="4">
        <f>IFERROR(__xludf.DUMMYFUNCTION("""COMPUTED_VALUE"""),299.0)</f>
        <v>299</v>
      </c>
      <c r="G167" s="4">
        <f>IFERROR(__xludf.DUMMYFUNCTION("""COMPUTED_VALUE"""),492.0)</f>
        <v>492</v>
      </c>
      <c r="H167" s="4">
        <f>IFERROR(__xludf.DUMMYFUNCTION("""COMPUTED_VALUE"""),3.79)</f>
        <v>3.79</v>
      </c>
      <c r="I167" s="4">
        <f>IFERROR(__xludf.DUMMYFUNCTION("""COMPUTED_VALUE"""),5.85)</f>
        <v>5.85</v>
      </c>
      <c r="J167" s="4">
        <f>IFERROR(__xludf.DUMMYFUNCTION("""COMPUTED_VALUE"""),4.83)</f>
        <v>4.83</v>
      </c>
      <c r="K167" s="8">
        <f>IFERROR(__xludf.DUMMYFUNCTION("""COMPUTED_VALUE"""),0.0021)</f>
        <v>0.0021</v>
      </c>
    </row>
    <row r="168" ht="15.75" customHeight="1">
      <c r="C168" s="4" t="str">
        <f>IFERROR(__xludf.DUMMYFUNCTION("""COMPUTED_VALUE"""),"Tonga [+]")</f>
        <v>Tonga [+]</v>
      </c>
      <c r="D168" s="4">
        <f>IFERROR(__xludf.DUMMYFUNCTION("""COMPUTED_VALUE"""),2006.0)</f>
        <v>2006</v>
      </c>
      <c r="E168" s="4">
        <f>IFERROR(__xludf.DUMMYFUNCTION("""COMPUTED_VALUE"""),2.0)</f>
        <v>2</v>
      </c>
      <c r="F168" s="4">
        <f>IFERROR(__xludf.DUMMYFUNCTION("""COMPUTED_VALUE"""),2.0)</f>
        <v>2</v>
      </c>
      <c r="G168" s="4">
        <f>IFERROR(__xludf.DUMMYFUNCTION("""COMPUTED_VALUE"""),4.0)</f>
        <v>4</v>
      </c>
      <c r="H168" s="4">
        <f>IFERROR(__xludf.DUMMYFUNCTION("""COMPUTED_VALUE"""),3.02)</f>
        <v>3.02</v>
      </c>
      <c r="I168" s="4">
        <f>IFERROR(__xludf.DUMMYFUNCTION("""COMPUTED_VALUE"""),3.97)</f>
        <v>3.97</v>
      </c>
      <c r="J168" s="4">
        <f>IFERROR(__xludf.DUMMYFUNCTION("""COMPUTED_VALUE"""),3.49)</f>
        <v>3.49</v>
      </c>
      <c r="K168" s="8">
        <f>IFERROR(__xludf.DUMMYFUNCTION("""COMPUTED_VALUE"""),-0.0141)</f>
        <v>-0.0141</v>
      </c>
    </row>
    <row r="169" ht="15.75" customHeight="1">
      <c r="C169" s="4" t="str">
        <f>IFERROR(__xludf.DUMMYFUNCTION("""COMPUTED_VALUE"""),"Trinidad y Tobago [+]")</f>
        <v>Trinidad y Tobago [+]</v>
      </c>
      <c r="D169" s="4">
        <f>IFERROR(__xludf.DUMMYFUNCTION("""COMPUTED_VALUE"""),2006.0)</f>
        <v>2006</v>
      </c>
      <c r="E169" s="4">
        <f>IFERROR(__xludf.DUMMYFUNCTION("""COMPUTED_VALUE"""),30.0)</f>
        <v>30</v>
      </c>
      <c r="F169" s="4">
        <f>IFERROR(__xludf.DUMMYFUNCTION("""COMPUTED_VALUE"""),123.0)</f>
        <v>123</v>
      </c>
      <c r="G169" s="4">
        <f>IFERROR(__xludf.DUMMYFUNCTION("""COMPUTED_VALUE"""),153.0)</f>
        <v>153</v>
      </c>
      <c r="H169" s="4">
        <f>IFERROR(__xludf.DUMMYFUNCTION("""COMPUTED_VALUE"""),4.55)</f>
        <v>4.55</v>
      </c>
      <c r="I169" s="4">
        <f>IFERROR(__xludf.DUMMYFUNCTION("""COMPUTED_VALUE"""),19.0)</f>
        <v>19</v>
      </c>
      <c r="J169" s="4">
        <f>IFERROR(__xludf.DUMMYFUNCTION("""COMPUTED_VALUE"""),11.71)</f>
        <v>11.71</v>
      </c>
      <c r="K169" s="8">
        <f>IFERROR(__xludf.DUMMYFUNCTION("""COMPUTED_VALUE"""),0.1047)</f>
        <v>0.1047</v>
      </c>
    </row>
    <row r="170" ht="15.75" customHeight="1">
      <c r="C170" s="4" t="str">
        <f>IFERROR(__xludf.DUMMYFUNCTION("""COMPUTED_VALUE"""),"Tanzania [+]")</f>
        <v>Tanzania [+]</v>
      </c>
      <c r="D170" s="4">
        <f>IFERROR(__xludf.DUMMYFUNCTION("""COMPUTED_VALUE"""),2006.0)</f>
        <v>2006</v>
      </c>
      <c r="E170" s="4">
        <f>IFERROR(__xludf.DUMMYFUNCTION("""COMPUTED_VALUE"""),680.0)</f>
        <v>680</v>
      </c>
      <c r="F170" s="9">
        <f>IFERROR(__xludf.DUMMYFUNCTION("""COMPUTED_VALUE"""),2015.0)</f>
        <v>2015</v>
      </c>
      <c r="G170" s="9">
        <f>IFERROR(__xludf.DUMMYFUNCTION("""COMPUTED_VALUE"""),2695.0)</f>
        <v>2695</v>
      </c>
      <c r="H170" s="4">
        <f>IFERROR(__xludf.DUMMYFUNCTION("""COMPUTED_VALUE"""),3.43)</f>
        <v>3.43</v>
      </c>
      <c r="I170" s="4">
        <f>IFERROR(__xludf.DUMMYFUNCTION("""COMPUTED_VALUE"""),10.23)</f>
        <v>10.23</v>
      </c>
      <c r="J170" s="4">
        <f>IFERROR(__xludf.DUMMYFUNCTION("""COMPUTED_VALUE"""),7.01)</f>
        <v>7.01</v>
      </c>
      <c r="K170" s="8">
        <f>IFERROR(__xludf.DUMMYFUNCTION("""COMPUTED_VALUE"""),-0.0168)</f>
        <v>-0.0168</v>
      </c>
    </row>
    <row r="171" ht="15.75" customHeight="1">
      <c r="C171" s="4" t="str">
        <f>IFERROR(__xludf.DUMMYFUNCTION("""COMPUTED_VALUE"""),"Ucrania [+]")</f>
        <v>Ucrania [+]</v>
      </c>
      <c r="D171" s="4">
        <f>IFERROR(__xludf.DUMMYFUNCTION("""COMPUTED_VALUE"""),2006.0)</f>
        <v>2006</v>
      </c>
      <c r="E171" s="9">
        <f>IFERROR(__xludf.DUMMYFUNCTION("""COMPUTED_VALUE"""),1953.0)</f>
        <v>1953</v>
      </c>
      <c r="F171" s="9">
        <f>IFERROR(__xludf.DUMMYFUNCTION("""COMPUTED_VALUE"""),9590.0)</f>
        <v>9590</v>
      </c>
      <c r="G171" s="9">
        <f>IFERROR(__xludf.DUMMYFUNCTION("""COMPUTED_VALUE"""),11543.0)</f>
        <v>11543</v>
      </c>
      <c r="H171" s="4">
        <f>IFERROR(__xludf.DUMMYFUNCTION("""COMPUTED_VALUE"""),7.8)</f>
        <v>7.8</v>
      </c>
      <c r="I171" s="4">
        <f>IFERROR(__xludf.DUMMYFUNCTION("""COMPUTED_VALUE"""),44.74)</f>
        <v>44.74</v>
      </c>
      <c r="J171" s="4">
        <f>IFERROR(__xludf.DUMMYFUNCTION("""COMPUTED_VALUE"""),24.84)</f>
        <v>24.84</v>
      </c>
      <c r="K171" s="8">
        <f>IFERROR(__xludf.DUMMYFUNCTION("""COMPUTED_VALUE"""),-0.0472)</f>
        <v>-0.0472</v>
      </c>
    </row>
    <row r="172" ht="15.75" customHeight="1">
      <c r="C172" s="4" t="str">
        <f>IFERROR(__xludf.DUMMYFUNCTION("""COMPUTED_VALUE"""),"Uganda [+]")</f>
        <v>Uganda [+]</v>
      </c>
      <c r="D172" s="4">
        <f>IFERROR(__xludf.DUMMYFUNCTION("""COMPUTED_VALUE"""),2006.0)</f>
        <v>2006</v>
      </c>
      <c r="E172" s="4">
        <f>IFERROR(__xludf.DUMMYFUNCTION("""COMPUTED_VALUE"""),590.0)</f>
        <v>590</v>
      </c>
      <c r="F172" s="9">
        <f>IFERROR(__xludf.DUMMYFUNCTION("""COMPUTED_VALUE"""),1384.0)</f>
        <v>1384</v>
      </c>
      <c r="G172" s="9">
        <f>IFERROR(__xludf.DUMMYFUNCTION("""COMPUTED_VALUE"""),1974.0)</f>
        <v>1974</v>
      </c>
      <c r="H172" s="4">
        <f>IFERROR(__xludf.DUMMYFUNCTION("""COMPUTED_VALUE"""),4.07)</f>
        <v>4.07</v>
      </c>
      <c r="I172" s="4">
        <f>IFERROR(__xludf.DUMMYFUNCTION("""COMPUTED_VALUE"""),9.84)</f>
        <v>9.84</v>
      </c>
      <c r="J172" s="4">
        <f>IFERROR(__xludf.DUMMYFUNCTION("""COMPUTED_VALUE"""),7.4)</f>
        <v>7.4</v>
      </c>
      <c r="K172" s="8">
        <f>IFERROR(__xludf.DUMMYFUNCTION("""COMPUTED_VALUE"""),0.0123)</f>
        <v>0.0123</v>
      </c>
    </row>
    <row r="173" ht="15.75" customHeight="1">
      <c r="C173" s="4" t="str">
        <f>IFERROR(__xludf.DUMMYFUNCTION("""COMPUTED_VALUE"""),"Uruguay [+]")</f>
        <v>Uruguay [+]</v>
      </c>
      <c r="D173" s="4">
        <f>IFERROR(__xludf.DUMMYFUNCTION("""COMPUTED_VALUE"""),2006.0)</f>
        <v>2006</v>
      </c>
      <c r="E173" s="4">
        <f>IFERROR(__xludf.DUMMYFUNCTION("""COMPUTED_VALUE"""),134.0)</f>
        <v>134</v>
      </c>
      <c r="F173" s="4">
        <f>IFERROR(__xludf.DUMMYFUNCTION("""COMPUTED_VALUE"""),386.0)</f>
        <v>386</v>
      </c>
      <c r="G173" s="4">
        <f>IFERROR(__xludf.DUMMYFUNCTION("""COMPUTED_VALUE"""),520.0)</f>
        <v>520</v>
      </c>
      <c r="H173" s="4">
        <f>IFERROR(__xludf.DUMMYFUNCTION("""COMPUTED_VALUE"""),7.8)</f>
        <v>7.8</v>
      </c>
      <c r="I173" s="4">
        <f>IFERROR(__xludf.DUMMYFUNCTION("""COMPUTED_VALUE"""),24.07)</f>
        <v>24.07</v>
      </c>
      <c r="J173" s="4">
        <f>IFERROR(__xludf.DUMMYFUNCTION("""COMPUTED_VALUE"""),15.49)</f>
        <v>15.49</v>
      </c>
      <c r="K173" s="8">
        <f>IFERROR(__xludf.DUMMYFUNCTION("""COMPUTED_VALUE"""),0.0509)</f>
        <v>0.0509</v>
      </c>
    </row>
    <row r="174" ht="15.75" customHeight="1">
      <c r="C174" s="4" t="str">
        <f>IFERROR(__xludf.DUMMYFUNCTION("""COMPUTED_VALUE"""),"Uzbekistán [+]")</f>
        <v>Uzbekistán [+]</v>
      </c>
      <c r="D174" s="4">
        <f>IFERROR(__xludf.DUMMYFUNCTION("""COMPUTED_VALUE"""),2006.0)</f>
        <v>2006</v>
      </c>
      <c r="E174" s="4">
        <f>IFERROR(__xludf.DUMMYFUNCTION("""COMPUTED_VALUE"""),512.0)</f>
        <v>512</v>
      </c>
      <c r="F174" s="9">
        <f>IFERROR(__xludf.DUMMYFUNCTION("""COMPUTED_VALUE"""),1393.0)</f>
        <v>1393</v>
      </c>
      <c r="G174" s="9">
        <f>IFERROR(__xludf.DUMMYFUNCTION("""COMPUTED_VALUE"""),1905.0)</f>
        <v>1905</v>
      </c>
      <c r="H174" s="4">
        <f>IFERROR(__xludf.DUMMYFUNCTION("""COMPUTED_VALUE"""),3.84)</f>
        <v>3.84</v>
      </c>
      <c r="I174" s="4">
        <f>IFERROR(__xludf.DUMMYFUNCTION("""COMPUTED_VALUE"""),10.58)</f>
        <v>10.58</v>
      </c>
      <c r="J174" s="4">
        <f>IFERROR(__xludf.DUMMYFUNCTION("""COMPUTED_VALUE"""),7.24)</f>
        <v>7.24</v>
      </c>
      <c r="K174" s="8">
        <f>IFERROR(__xludf.DUMMYFUNCTION("""COMPUTED_VALUE"""),0.1621)</f>
        <v>0.1621</v>
      </c>
    </row>
    <row r="175" ht="15.75" customHeight="1">
      <c r="C175" s="4" t="str">
        <f>IFERROR(__xludf.DUMMYFUNCTION("""COMPUTED_VALUE"""),"San Vicente y las Granadinas [+]")</f>
        <v>San Vicente y las Granadinas [+]</v>
      </c>
      <c r="D175" s="4">
        <f>IFERROR(__xludf.DUMMYFUNCTION("""COMPUTED_VALUE"""),2006.0)</f>
        <v>2006</v>
      </c>
      <c r="E175" s="4">
        <f>IFERROR(__xludf.DUMMYFUNCTION("""COMPUTED_VALUE"""),1.0)</f>
        <v>1</v>
      </c>
      <c r="F175" s="4">
        <f>IFERROR(__xludf.DUMMYFUNCTION("""COMPUTED_VALUE"""),6.0)</f>
        <v>6</v>
      </c>
      <c r="G175" s="4">
        <f>IFERROR(__xludf.DUMMYFUNCTION("""COMPUTED_VALUE"""),7.0)</f>
        <v>7</v>
      </c>
      <c r="H175" s="4">
        <f>IFERROR(__xludf.DUMMYFUNCTION("""COMPUTED_VALUE"""),1.79)</f>
        <v>1.79</v>
      </c>
      <c r="I175" s="4">
        <f>IFERROR(__xludf.DUMMYFUNCTION("""COMPUTED_VALUE"""),10.37)</f>
        <v>10.37</v>
      </c>
      <c r="J175" s="4">
        <f>IFERROR(__xludf.DUMMYFUNCTION("""COMPUTED_VALUE"""),6.16)</f>
        <v>6.16</v>
      </c>
      <c r="K175" s="8">
        <f>IFERROR(__xludf.DUMMYFUNCTION("""COMPUTED_VALUE"""),-0.3071)</f>
        <v>-0.3071</v>
      </c>
    </row>
    <row r="176" ht="15.75" customHeight="1">
      <c r="C176" s="4" t="str">
        <f>IFERROR(__xludf.DUMMYFUNCTION("""COMPUTED_VALUE"""),"Venezuela [+]")</f>
        <v>Venezuela [+]</v>
      </c>
      <c r="D176" s="4">
        <f>IFERROR(__xludf.DUMMYFUNCTION("""COMPUTED_VALUE"""),2006.0)</f>
        <v>2006</v>
      </c>
      <c r="E176" s="4">
        <f>IFERROR(__xludf.DUMMYFUNCTION("""COMPUTED_VALUE"""),212.0)</f>
        <v>212</v>
      </c>
      <c r="F176" s="9">
        <f>IFERROR(__xludf.DUMMYFUNCTION("""COMPUTED_VALUE"""),1142.0)</f>
        <v>1142</v>
      </c>
      <c r="G176" s="9">
        <f>IFERROR(__xludf.DUMMYFUNCTION("""COMPUTED_VALUE"""),1354.0)</f>
        <v>1354</v>
      </c>
      <c r="H176" s="4">
        <f>IFERROR(__xludf.DUMMYFUNCTION("""COMPUTED_VALUE"""),1.58)</f>
        <v>1.58</v>
      </c>
      <c r="I176" s="4">
        <f>IFERROR(__xludf.DUMMYFUNCTION("""COMPUTED_VALUE"""),8.5)</f>
        <v>8.5</v>
      </c>
      <c r="J176" s="4">
        <f>IFERROR(__xludf.DUMMYFUNCTION("""COMPUTED_VALUE"""),5.04)</f>
        <v>5.04</v>
      </c>
      <c r="K176" s="8">
        <f>IFERROR(__xludf.DUMMYFUNCTION("""COMPUTED_VALUE"""),-0.1016)</f>
        <v>-0.1016</v>
      </c>
    </row>
    <row r="177" ht="15.75" customHeight="1">
      <c r="C177" s="4" t="str">
        <f>IFERROR(__xludf.DUMMYFUNCTION("""COMPUTED_VALUE"""),"Viet Nam [+]")</f>
        <v>Viet Nam [+]</v>
      </c>
      <c r="D177" s="4">
        <f>IFERROR(__xludf.DUMMYFUNCTION("""COMPUTED_VALUE"""),2006.0)</f>
        <v>2006</v>
      </c>
      <c r="E177" s="9">
        <f>IFERROR(__xludf.DUMMYFUNCTION("""COMPUTED_VALUE"""),1359.0)</f>
        <v>1359</v>
      </c>
      <c r="F177" s="9">
        <f>IFERROR(__xludf.DUMMYFUNCTION("""COMPUTED_VALUE"""),4113.0)</f>
        <v>4113</v>
      </c>
      <c r="G177" s="9">
        <f>IFERROR(__xludf.DUMMYFUNCTION("""COMPUTED_VALUE"""),5472.0)</f>
        <v>5472</v>
      </c>
      <c r="H177" s="4">
        <f>IFERROR(__xludf.DUMMYFUNCTION("""COMPUTED_VALUE"""),3.18)</f>
        <v>3.18</v>
      </c>
      <c r="I177" s="4">
        <f>IFERROR(__xludf.DUMMYFUNCTION("""COMPUTED_VALUE"""),9.81)</f>
        <v>9.81</v>
      </c>
      <c r="J177" s="4">
        <f>IFERROR(__xludf.DUMMYFUNCTION("""COMPUTED_VALUE"""),6.47)</f>
        <v>6.47</v>
      </c>
      <c r="K177" s="8">
        <f>IFERROR(__xludf.DUMMYFUNCTION("""COMPUTED_VALUE"""),-0.0152)</f>
        <v>-0.0152</v>
      </c>
    </row>
    <row r="178" ht="15.75" customHeight="1">
      <c r="C178" s="4" t="str">
        <f>IFERROR(__xludf.DUMMYFUNCTION("""COMPUTED_VALUE"""),"Vanuatu [+]")</f>
        <v>Vanuatu [+]</v>
      </c>
      <c r="D178" s="4">
        <f>IFERROR(__xludf.DUMMYFUNCTION("""COMPUTED_VALUE"""),2006.0)</f>
        <v>2006</v>
      </c>
      <c r="E178" s="4">
        <f>IFERROR(__xludf.DUMMYFUNCTION("""COMPUTED_VALUE"""),4.0)</f>
        <v>4</v>
      </c>
      <c r="F178" s="4">
        <f>IFERROR(__xludf.DUMMYFUNCTION("""COMPUTED_VALUE"""),12.0)</f>
        <v>12</v>
      </c>
      <c r="G178" s="4">
        <f>IFERROR(__xludf.DUMMYFUNCTION("""COMPUTED_VALUE"""),16.0)</f>
        <v>16</v>
      </c>
      <c r="H178" s="4">
        <f>IFERROR(__xludf.DUMMYFUNCTION("""COMPUTED_VALUE"""),3.65)</f>
        <v>3.65</v>
      </c>
      <c r="I178" s="4">
        <f>IFERROR(__xludf.DUMMYFUNCTION("""COMPUTED_VALUE"""),11.13)</f>
        <v>11.13</v>
      </c>
      <c r="J178" s="4">
        <f>IFERROR(__xludf.DUMMYFUNCTION("""COMPUTED_VALUE"""),7.3)</f>
        <v>7.3</v>
      </c>
      <c r="K178" s="8">
        <f>IFERROR(__xludf.DUMMYFUNCTION("""COMPUTED_VALUE"""),-0.0082)</f>
        <v>-0.0082</v>
      </c>
    </row>
    <row r="179" ht="15.75" customHeight="1">
      <c r="C179" s="4" t="str">
        <f>IFERROR(__xludf.DUMMYFUNCTION("""COMPUTED_VALUE"""),"Samoa [+]")</f>
        <v>Samoa [+]</v>
      </c>
      <c r="D179" s="4">
        <f>IFERROR(__xludf.DUMMYFUNCTION("""COMPUTED_VALUE"""),2006.0)</f>
        <v>2006</v>
      </c>
      <c r="E179" s="4">
        <f>IFERROR(__xludf.DUMMYFUNCTION("""COMPUTED_VALUE"""),3.0)</f>
        <v>3</v>
      </c>
      <c r="F179" s="4">
        <f>IFERROR(__xludf.DUMMYFUNCTION("""COMPUTED_VALUE"""),10.0)</f>
        <v>10</v>
      </c>
      <c r="G179" s="4">
        <f>IFERROR(__xludf.DUMMYFUNCTION("""COMPUTED_VALUE"""),13.0)</f>
        <v>13</v>
      </c>
      <c r="H179" s="4">
        <f>IFERROR(__xludf.DUMMYFUNCTION("""COMPUTED_VALUE"""),2.98)</f>
        <v>2.98</v>
      </c>
      <c r="I179" s="4">
        <f>IFERROR(__xludf.DUMMYFUNCTION("""COMPUTED_VALUE"""),10.65)</f>
        <v>10.65</v>
      </c>
      <c r="J179" s="4">
        <f>IFERROR(__xludf.DUMMYFUNCTION("""COMPUTED_VALUE"""),6.95)</f>
        <v>6.95</v>
      </c>
      <c r="K179" s="8">
        <f>IFERROR(__xludf.DUMMYFUNCTION("""COMPUTED_VALUE"""),-0.044)</f>
        <v>-0.044</v>
      </c>
    </row>
    <row r="180" ht="15.75" customHeight="1">
      <c r="C180" s="4" t="str">
        <f>IFERROR(__xludf.DUMMYFUNCTION("""COMPUTED_VALUE"""),"Yemen [+]")</f>
        <v>Yemen [+]</v>
      </c>
      <c r="D180" s="4">
        <f>IFERROR(__xludf.DUMMYFUNCTION("""COMPUTED_VALUE"""),2006.0)</f>
        <v>2006</v>
      </c>
      <c r="E180" s="4">
        <f>IFERROR(__xludf.DUMMYFUNCTION("""COMPUTED_VALUE"""),555.0)</f>
        <v>555</v>
      </c>
      <c r="F180" s="9">
        <f>IFERROR(__xludf.DUMMYFUNCTION("""COMPUTED_VALUE"""),1136.0)</f>
        <v>1136</v>
      </c>
      <c r="G180" s="9">
        <f>IFERROR(__xludf.DUMMYFUNCTION("""COMPUTED_VALUE"""),1691.0)</f>
        <v>1691</v>
      </c>
      <c r="H180" s="4">
        <f>IFERROR(__xludf.DUMMYFUNCTION("""COMPUTED_VALUE"""),5.41)</f>
        <v>5.41</v>
      </c>
      <c r="I180" s="4">
        <f>IFERROR(__xludf.DUMMYFUNCTION("""COMPUTED_VALUE"""),10.9)</f>
        <v>10.9</v>
      </c>
      <c r="J180" s="4">
        <f>IFERROR(__xludf.DUMMYFUNCTION("""COMPUTED_VALUE"""),7.99)</f>
        <v>7.99</v>
      </c>
      <c r="K180" s="8">
        <f>IFERROR(__xludf.DUMMYFUNCTION("""COMPUTED_VALUE"""),0.0088)</f>
        <v>0.0088</v>
      </c>
    </row>
    <row r="181" ht="15.75" customHeight="1">
      <c r="C181" s="4" t="str">
        <f>IFERROR(__xludf.DUMMYFUNCTION("""COMPUTED_VALUE"""),"Sudáfrica [+]")</f>
        <v>Sudáfrica [+]</v>
      </c>
      <c r="D181" s="4">
        <f>IFERROR(__xludf.DUMMYFUNCTION("""COMPUTED_VALUE"""),2006.0)</f>
        <v>2006</v>
      </c>
      <c r="E181" s="4">
        <f>IFERROR(__xludf.DUMMYFUNCTION("""COMPUTED_VALUE"""),97.0)</f>
        <v>97</v>
      </c>
      <c r="F181" s="4">
        <f>IFERROR(__xludf.DUMMYFUNCTION("""COMPUTED_VALUE"""),417.0)</f>
        <v>417</v>
      </c>
      <c r="G181" s="4">
        <f>IFERROR(__xludf.DUMMYFUNCTION("""COMPUTED_VALUE"""),514.0)</f>
        <v>514</v>
      </c>
      <c r="H181" s="4">
        <f>IFERROR(__xludf.DUMMYFUNCTION("""COMPUTED_VALUE"""),0.4)</f>
        <v>0.4</v>
      </c>
      <c r="I181" s="4">
        <f>IFERROR(__xludf.DUMMYFUNCTION("""COMPUTED_VALUE"""),1.8)</f>
        <v>1.8</v>
      </c>
      <c r="J181" s="4">
        <f>IFERROR(__xludf.DUMMYFUNCTION("""COMPUTED_VALUE"""),1.1)</f>
        <v>1.1</v>
      </c>
      <c r="K181" s="8">
        <f>IFERROR(__xludf.DUMMYFUNCTION("""COMPUTED_VALUE"""),0.1)</f>
        <v>0.1</v>
      </c>
    </row>
    <row r="182" ht="15.75" customHeight="1">
      <c r="C182" s="4" t="str">
        <f>IFERROR(__xludf.DUMMYFUNCTION("""COMPUTED_VALUE"""),"Zambia [+]")</f>
        <v>Zambia [+]</v>
      </c>
      <c r="D182" s="4">
        <f>IFERROR(__xludf.DUMMYFUNCTION("""COMPUTED_VALUE"""),2006.0)</f>
        <v>2006</v>
      </c>
      <c r="E182" s="4">
        <f>IFERROR(__xludf.DUMMYFUNCTION("""COMPUTED_VALUE"""),189.0)</f>
        <v>189</v>
      </c>
      <c r="F182" s="4">
        <f>IFERROR(__xludf.DUMMYFUNCTION("""COMPUTED_VALUE"""),612.0)</f>
        <v>612</v>
      </c>
      <c r="G182" s="4">
        <f>IFERROR(__xludf.DUMMYFUNCTION("""COMPUTED_VALUE"""),801.0)</f>
        <v>801</v>
      </c>
      <c r="H182" s="4">
        <f>IFERROR(__xludf.DUMMYFUNCTION("""COMPUTED_VALUE"""),3.06)</f>
        <v>3.06</v>
      </c>
      <c r="I182" s="4">
        <f>IFERROR(__xludf.DUMMYFUNCTION("""COMPUTED_VALUE"""),10.17)</f>
        <v>10.17</v>
      </c>
      <c r="J182" s="4">
        <f>IFERROR(__xludf.DUMMYFUNCTION("""COMPUTED_VALUE"""),6.47)</f>
        <v>6.47</v>
      </c>
      <c r="K182" s="8">
        <f>IFERROR(__xludf.DUMMYFUNCTION("""COMPUTED_VALUE"""),-0.0092)</f>
        <v>-0.0092</v>
      </c>
    </row>
    <row r="183" ht="15.75" customHeight="1">
      <c r="C183" s="4" t="str">
        <f>IFERROR(__xludf.DUMMYFUNCTION("""COMPUTED_VALUE"""),"Zimbabue [+]")</f>
        <v>Zimbabue [+]</v>
      </c>
      <c r="D183" s="4">
        <f>IFERROR(__xludf.DUMMYFUNCTION("""COMPUTED_VALUE"""),2006.0)</f>
        <v>2006</v>
      </c>
      <c r="E183" s="4">
        <f>IFERROR(__xludf.DUMMYFUNCTION("""COMPUTED_VALUE"""),358.0)</f>
        <v>358</v>
      </c>
      <c r="F183" s="9">
        <f>IFERROR(__xludf.DUMMYFUNCTION("""COMPUTED_VALUE"""),1120.0)</f>
        <v>1120</v>
      </c>
      <c r="G183" s="9">
        <f>IFERROR(__xludf.DUMMYFUNCTION("""COMPUTED_VALUE"""),1478.0)</f>
        <v>1478</v>
      </c>
      <c r="H183" s="4">
        <f>IFERROR(__xludf.DUMMYFUNCTION("""COMPUTED_VALUE"""),5.64)</f>
        <v>5.64</v>
      </c>
      <c r="I183" s="4">
        <f>IFERROR(__xludf.DUMMYFUNCTION("""COMPUTED_VALUE"""),19.28)</f>
        <v>19.28</v>
      </c>
      <c r="J183" s="4">
        <f>IFERROR(__xludf.DUMMYFUNCTION("""COMPUTED_VALUE"""),12.31)</f>
        <v>12.31</v>
      </c>
      <c r="K183" s="8">
        <f>IFERROR(__xludf.DUMMYFUNCTION("""COMPUTED_VALUE"""),-0.0073)</f>
        <v>-0.0073</v>
      </c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</hyperlinks>
  <drawing r:id="rId2"/>
</worksheet>
</file>