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92afa2c12a21e/JAVI/12_Cambodia_FREL/Training/Spatial Datasets/Allocation/"/>
    </mc:Choice>
  </mc:AlternateContent>
  <xr:revisionPtr revIDLastSave="99" documentId="8_{68074A54-E91F-4C04-909A-2EA458B8D4CE}" xr6:coauthVersionLast="47" xr6:coauthVersionMax="47" xr10:uidLastSave="{092FE37A-2D30-4A4E-85D4-EE1B019FEE69}"/>
  <bookViews>
    <workbookView xWindow="28680" yWindow="-120" windowWidth="29040" windowHeight="15840" xr2:uid="{6A2D5A05-138D-4F7C-BFFB-2C84A43E4BED}"/>
  </bookViews>
  <sheets>
    <sheet name="Direct_Data" sheetId="13" r:id="rId1"/>
    <sheet name="4-6-8 FRL RefPer" sheetId="10" r:id="rId2"/>
    <sheet name="FRE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0" l="1"/>
  <c r="B29" i="10"/>
  <c r="B30" i="10"/>
  <c r="B32" i="10"/>
  <c r="B5" i="10"/>
  <c r="B23" i="10" s="1"/>
  <c r="C5" i="10"/>
  <c r="D5" i="10"/>
  <c r="B6" i="10"/>
  <c r="B24" i="10" s="1"/>
  <c r="C6" i="10"/>
  <c r="D6" i="10"/>
  <c r="B7" i="10"/>
  <c r="B25" i="10" s="1"/>
  <c r="C7" i="10"/>
  <c r="D7" i="10"/>
  <c r="B8" i="10"/>
  <c r="B26" i="10" s="1"/>
  <c r="C8" i="10"/>
  <c r="D8" i="10"/>
  <c r="B9" i="10"/>
  <c r="C9" i="10"/>
  <c r="D9" i="10"/>
  <c r="B10" i="10"/>
  <c r="B28" i="10" s="1"/>
  <c r="C10" i="10"/>
  <c r="D10" i="10"/>
  <c r="B11" i="10"/>
  <c r="C11" i="10"/>
  <c r="D11" i="10"/>
  <c r="B12" i="10"/>
  <c r="C12" i="10"/>
  <c r="D12" i="10"/>
  <c r="B13" i="10"/>
  <c r="B31" i="10" s="1"/>
  <c r="C13" i="10"/>
  <c r="D13" i="10"/>
  <c r="D4" i="10"/>
  <c r="C4" i="10"/>
  <c r="B4" i="10"/>
  <c r="B22" i="10" s="1"/>
  <c r="C12" i="13"/>
  <c r="B12" i="13"/>
  <c r="D13" i="11" l="1"/>
  <c r="C13" i="11"/>
  <c r="E12" i="11"/>
  <c r="D12" i="11"/>
  <c r="C12" i="11"/>
  <c r="F4" i="10" s="1"/>
  <c r="E5" i="11"/>
  <c r="E6" i="11"/>
  <c r="E7" i="11"/>
  <c r="E8" i="11"/>
  <c r="E14" i="11" s="1"/>
  <c r="E9" i="11"/>
  <c r="E10" i="11"/>
  <c r="E11" i="11"/>
  <c r="E4" i="11"/>
  <c r="D14" i="11"/>
  <c r="G4" i="10"/>
  <c r="C14" i="11"/>
  <c r="C14" i="10" l="1"/>
  <c r="D14" i="10"/>
  <c r="E13" i="11"/>
  <c r="E8" i="10" l="1"/>
  <c r="E12" i="10"/>
  <c r="E6" i="10"/>
  <c r="E11" i="10"/>
  <c r="E9" i="10"/>
  <c r="E10" i="10"/>
  <c r="E14" i="10"/>
  <c r="E7" i="10"/>
  <c r="E5" i="10"/>
  <c r="H4" i="10"/>
  <c r="E4" i="10"/>
  <c r="I12" i="10" l="1"/>
  <c r="I6" i="10"/>
  <c r="E13" i="10"/>
  <c r="I4" i="10"/>
  <c r="C22" i="10" s="1"/>
  <c r="I5" i="10"/>
  <c r="C23" i="10" s="1"/>
  <c r="I14" i="10"/>
  <c r="I11" i="10"/>
  <c r="I8" i="10"/>
  <c r="C26" i="10" s="1"/>
  <c r="I9" i="10"/>
  <c r="C27" i="10" s="1"/>
  <c r="I10" i="10"/>
  <c r="C28" i="10" s="1"/>
  <c r="I7" i="10"/>
  <c r="C25" i="10" s="1"/>
  <c r="J14" i="10" l="1"/>
  <c r="C32" i="10"/>
  <c r="J11" i="10"/>
  <c r="C29" i="10"/>
  <c r="J6" i="10"/>
  <c r="C24" i="10"/>
  <c r="J12" i="10"/>
  <c r="C30" i="10"/>
  <c r="J7" i="10"/>
  <c r="J10" i="10"/>
  <c r="J5" i="10"/>
  <c r="J4" i="10"/>
  <c r="J9" i="10"/>
  <c r="J8" i="10"/>
  <c r="I13" i="10"/>
  <c r="C31" i="10" s="1"/>
  <c r="J13" i="10" l="1"/>
</calcChain>
</file>

<file path=xl/sharedStrings.xml><?xml version="1.0" encoding="utf-8"?>
<sst xmlns="http://schemas.openxmlformats.org/spreadsheetml/2006/main" count="47" uniqueCount="40">
  <si>
    <t>PROJECT</t>
  </si>
  <si>
    <t>Total Area (ha)</t>
  </si>
  <si>
    <t>% of the National total emissions</t>
  </si>
  <si>
    <t>FREL Deforestation 
(t CO2eq/year)</t>
  </si>
  <si>
    <t>Uncertainty
(%)</t>
  </si>
  <si>
    <t>Emissions to Allocate
  (t CO2eq/year)</t>
  </si>
  <si>
    <t>Allocation results
  (t CO2eq/year)</t>
  </si>
  <si>
    <t>Tumring</t>
  </si>
  <si>
    <t>Southern Cardamom</t>
  </si>
  <si>
    <t>Cambodia</t>
  </si>
  <si>
    <t>SUMMARY</t>
  </si>
  <si>
    <t>Lomphat</t>
  </si>
  <si>
    <t>Central Cardamom</t>
  </si>
  <si>
    <t>OPTION 1: 8 YEARS REFERENCE PERIOD FRL</t>
  </si>
  <si>
    <t>YEAR</t>
  </si>
  <si>
    <t xml:space="preserve">Deforestation </t>
  </si>
  <si>
    <t xml:space="preserve">Uncertainty </t>
  </si>
  <si>
    <t>(t CO2e)</t>
  </si>
  <si>
    <t>(%)</t>
  </si>
  <si>
    <t>FREL 8 YEARS</t>
  </si>
  <si>
    <t>FREL 6 YEARS</t>
  </si>
  <si>
    <t>FREL 4 YEARS</t>
  </si>
  <si>
    <t>Northern Plains</t>
  </si>
  <si>
    <t>OPTION 1 - 8Y</t>
  </si>
  <si>
    <t xml:space="preserve">Allocation emissions </t>
  </si>
  <si>
    <t>FRL</t>
  </si>
  <si>
    <t>FRL 8 YEARS</t>
  </si>
  <si>
    <t>FRL 6 YEARS</t>
  </si>
  <si>
    <t>FRL 4 YEARS</t>
  </si>
  <si>
    <t>Name</t>
  </si>
  <si>
    <t>Emissions</t>
  </si>
  <si>
    <t>Keo Seima</t>
  </si>
  <si>
    <t>Prey Lang Phase II</t>
  </si>
  <si>
    <t>Hectares</t>
  </si>
  <si>
    <t>Rest of the Country</t>
  </si>
  <si>
    <t>Greater Cardamom</t>
  </si>
  <si>
    <t>total</t>
  </si>
  <si>
    <t>Phnom Thnout-Pnhom Pok</t>
  </si>
  <si>
    <t>Allocation Results (tCO2eq/ha/year)</t>
  </si>
  <si>
    <t>Estimated Emissions (tCO2eq/year)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</si>
</sst>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72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0"/>
      <name val="Gill Sans MT"/>
      <family val="2"/>
    </font>
    <font>
      <b/>
      <sz val="10"/>
      <color rgb="FF000000"/>
      <name val="Gill Sans MT"/>
      <family val="2"/>
    </font>
    <font>
      <sz val="10"/>
      <color rgb="FF000000"/>
      <name val="Gill Sans MT"/>
      <family val="2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66B2CA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66B2CA"/>
      </left>
      <right/>
      <top style="medium">
        <color rgb="FF66B2CA"/>
      </top>
      <bottom/>
      <diagonal/>
    </border>
    <border>
      <left/>
      <right/>
      <top style="medium">
        <color rgb="FF66B2CA"/>
      </top>
      <bottom/>
      <diagonal/>
    </border>
    <border>
      <left/>
      <right style="medium">
        <color rgb="FF66B2CA"/>
      </right>
      <top style="medium">
        <color rgb="FF66B2CA"/>
      </top>
      <bottom/>
      <diagonal/>
    </border>
    <border>
      <left style="medium">
        <color rgb="FF66B2CA"/>
      </left>
      <right/>
      <top/>
      <bottom style="medium">
        <color rgb="FF66B2CA"/>
      </bottom>
      <diagonal/>
    </border>
    <border>
      <left/>
      <right style="medium">
        <color rgb="FF66B2CA"/>
      </right>
      <top/>
      <bottom style="medium">
        <color rgb="FF66B2CA"/>
      </bottom>
      <diagonal/>
    </border>
    <border>
      <left style="medium">
        <color rgb="FF66B2CA"/>
      </left>
      <right/>
      <top style="medium">
        <color rgb="FF66B2CA"/>
      </top>
      <bottom style="medium">
        <color rgb="FF66B2CA"/>
      </bottom>
      <diagonal/>
    </border>
    <border>
      <left/>
      <right/>
      <top style="medium">
        <color rgb="FF66B2CA"/>
      </top>
      <bottom style="medium">
        <color rgb="FF66B2CA"/>
      </bottom>
      <diagonal/>
    </border>
    <border>
      <left/>
      <right style="medium">
        <color rgb="FF66B2CA"/>
      </right>
      <top style="medium">
        <color rgb="FF66B2CA"/>
      </top>
      <bottom style="medium">
        <color rgb="FF66B2CA"/>
      </bottom>
      <diagonal/>
    </border>
    <border>
      <left style="medium">
        <color rgb="FF66B2CA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3" fontId="3" fillId="0" borderId="0" xfId="1" applyFont="1" applyAlignment="1">
      <alignment vertical="center" wrapText="1"/>
    </xf>
    <xf numFmtId="43" fontId="3" fillId="0" borderId="0" xfId="1" applyFont="1" applyAlignment="1">
      <alignment vertical="center"/>
    </xf>
    <xf numFmtId="10" fontId="4" fillId="0" borderId="0" xfId="2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2" fillId="0" borderId="0" xfId="0" applyFont="1"/>
    <xf numFmtId="1" fontId="0" fillId="0" borderId="0" xfId="0" applyNumberFormat="1"/>
    <xf numFmtId="164" fontId="4" fillId="0" borderId="0" xfId="1" applyNumberFormat="1" applyFont="1" applyAlignment="1">
      <alignment vertical="center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0" xfId="0" applyFont="1" applyFill="1"/>
    <xf numFmtId="0" fontId="6" fillId="2" borderId="5" xfId="0" applyFont="1" applyFill="1" applyBorder="1"/>
    <xf numFmtId="0" fontId="7" fillId="3" borderId="6" xfId="0" applyFont="1" applyFill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5" fillId="0" borderId="8" xfId="1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172" fontId="0" fillId="0" borderId="0" xfId="0" applyNumberFormat="1"/>
    <xf numFmtId="164" fontId="0" fillId="0" borderId="0" xfId="1" applyNumberFormat="1" applyFont="1"/>
    <xf numFmtId="164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43" fontId="3" fillId="0" borderId="0" xfId="1" applyFont="1" applyAlignment="1">
      <alignment horizontal="center" vertical="top"/>
    </xf>
    <xf numFmtId="164" fontId="4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5" fillId="2" borderId="1" xfId="0" applyFont="1" applyFill="1" applyBorder="1"/>
    <xf numFmtId="0" fontId="5" fillId="2" borderId="4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3" fontId="2" fillId="0" borderId="0" xfId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'4-6-8 FRL RefPer'!$B$22</c:f>
              <c:strCache>
                <c:ptCount val="1"/>
                <c:pt idx="0">
                  <c:v> Tumring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RefPer'!$C$22</c:f>
              <c:numCache>
                <c:formatCode>_-* #,##0_-;\-* #,##0_-;_-* "-"??_-;_-@_-</c:formatCode>
                <c:ptCount val="1"/>
                <c:pt idx="0">
                  <c:v>690332.42956102744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A4A-4831-9CFD-A428B1270D97}"/>
            </c:ext>
          </c:extLst>
        </c:ser>
        <c:ser>
          <c:idx val="1"/>
          <c:order val="1"/>
          <c:tx>
            <c:strRef>
              <c:f>'4-6-8 FRL RefPer'!$B$23</c:f>
              <c:strCache>
                <c:ptCount val="1"/>
                <c:pt idx="0">
                  <c:v> Southern Cardamom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RefPer'!$C$23</c:f>
              <c:numCache>
                <c:formatCode>_-* #,##0_-;\-* #,##0_-;_-* "-"??_-;_-@_-</c:formatCode>
                <c:ptCount val="1"/>
                <c:pt idx="0">
                  <c:v>2253704.5388018112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A4A-4831-9CFD-A428B1270D97}"/>
            </c:ext>
          </c:extLst>
        </c:ser>
        <c:ser>
          <c:idx val="2"/>
          <c:order val="2"/>
          <c:tx>
            <c:strRef>
              <c:f>'4-6-8 FRL RefPer'!$B$24</c:f>
              <c:strCache>
                <c:ptCount val="1"/>
                <c:pt idx="0">
                  <c:v> Keo Seima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RefPer'!$C$24</c:f>
              <c:numCache>
                <c:formatCode>_-* #,##0_-;\-* #,##0_-;_-* "-"??_-;_-@_-</c:formatCode>
                <c:ptCount val="1"/>
                <c:pt idx="0">
                  <c:v>760888.09034624742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0A4A-4831-9CFD-A428B1270D97}"/>
            </c:ext>
          </c:extLst>
        </c:ser>
        <c:ser>
          <c:idx val="3"/>
          <c:order val="3"/>
          <c:tx>
            <c:strRef>
              <c:f>'4-6-8 FRL RefPer'!$B$25</c:f>
              <c:strCache>
                <c:ptCount val="1"/>
                <c:pt idx="0">
                  <c:v> Prey Lang Phase II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RefPer'!$C$25</c:f>
              <c:numCache>
                <c:formatCode>_-* #,##0_-;\-* #,##0_-;_-* "-"??_-;_-@_-</c:formatCode>
                <c:ptCount val="1"/>
                <c:pt idx="0">
                  <c:v>2588666.4048007596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BF5-4127-A3D1-EB3BC67ABEE3}"/>
            </c:ext>
          </c:extLst>
        </c:ser>
        <c:ser>
          <c:idx val="4"/>
          <c:order val="4"/>
          <c:tx>
            <c:strRef>
              <c:f>'4-6-8 FRL RefPer'!$B$26</c:f>
              <c:strCache>
                <c:ptCount val="1"/>
                <c:pt idx="0">
                  <c:v> Northern Plains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RefPer'!$C$26</c:f>
              <c:numCache>
                <c:formatCode>_-* #,##0_-;\-* #,##0_-;_-* "-"??_-;_-@_-</c:formatCode>
                <c:ptCount val="1"/>
                <c:pt idx="0">
                  <c:v>2587083.6720197164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BF5-4127-A3D1-EB3BC67ABEE3}"/>
            </c:ext>
          </c:extLst>
        </c:ser>
        <c:ser>
          <c:idx val="5"/>
          <c:order val="5"/>
          <c:tx>
            <c:strRef>
              <c:f>'4-6-8 FRL RefPer'!$B$27</c:f>
              <c:strCache>
                <c:ptCount val="1"/>
                <c:pt idx="0">
                  <c:v> Lomphat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RefPer'!$C$27</c:f>
              <c:numCache>
                <c:formatCode>_-* #,##0_-;\-* #,##0_-;_-* "-"??_-;_-@_-</c:formatCode>
                <c:ptCount val="1"/>
                <c:pt idx="0">
                  <c:v>417047.94897687825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BF5-4127-A3D1-EB3BC67ABEE3}"/>
            </c:ext>
          </c:extLst>
        </c:ser>
        <c:ser>
          <c:idx val="6"/>
          <c:order val="6"/>
          <c:tx>
            <c:strRef>
              <c:f>'4-6-8 FRL RefPer'!$B$28</c:f>
              <c:strCache>
                <c:ptCount val="1"/>
                <c:pt idx="0">
                  <c:v> Greater Cardamom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RefPer'!$C$28</c:f>
              <c:numCache>
                <c:formatCode>_-* #,##0_-;\-* #,##0_-;_-* "-"??_-;_-@_-</c:formatCode>
                <c:ptCount val="1"/>
                <c:pt idx="0">
                  <c:v>1431408.5553791588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FBF5-4127-A3D1-EB3BC67ABEE3}"/>
            </c:ext>
          </c:extLst>
        </c:ser>
        <c:ser>
          <c:idx val="7"/>
          <c:order val="7"/>
          <c:tx>
            <c:strRef>
              <c:f>'4-6-8 FRL RefPer'!$B$29</c:f>
              <c:strCache>
                <c:ptCount val="1"/>
                <c:pt idx="0">
                  <c:v> Central Cardamom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RefPer'!$C$29</c:f>
              <c:numCache>
                <c:formatCode>_-* #,##0_-;\-* #,##0_-;_-* "-"??_-;_-@_-</c:formatCode>
                <c:ptCount val="1"/>
                <c:pt idx="0">
                  <c:v>1406018.5272119057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FBF5-4127-A3D1-EB3BC67ABEE3}"/>
            </c:ext>
          </c:extLst>
        </c:ser>
        <c:ser>
          <c:idx val="8"/>
          <c:order val="8"/>
          <c:tx>
            <c:strRef>
              <c:f>'4-6-8 FRL RefPer'!$B$30</c:f>
              <c:strCache>
                <c:ptCount val="1"/>
                <c:pt idx="0">
                  <c:v> Phnom Thnout-Pnhom Pok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'4-6-8 FRL RefPer'!$C$30</c:f>
              <c:numCache>
                <c:formatCode>_-* #,##0_-;\-* #,##0_-;_-* "-"??_-;_-@_-</c:formatCode>
                <c:ptCount val="1"/>
                <c:pt idx="0">
                  <c:v>323196.17271716404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'4-6-8 FRL RefPer'!#REF!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FBF5-4127-A3D1-EB3BC67AB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269711"/>
        <c:axId val="507270127"/>
        <c:extLst/>
      </c:barChart>
      <c:catAx>
        <c:axId val="5072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70127"/>
        <c:crosses val="autoZero"/>
        <c:auto val="1"/>
        <c:lblAlgn val="ctr"/>
        <c:lblOffset val="100"/>
        <c:noMultiLvlLbl val="0"/>
      </c:catAx>
      <c:valAx>
        <c:axId val="5072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TCO2</a:t>
                </a:r>
                <a:r>
                  <a:rPr lang="en-GB" baseline="0"/>
                  <a:t> eq/year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710824</xdr:colOff>
      <xdr:row>15</xdr:row>
      <xdr:rowOff>108857</xdr:rowOff>
    </xdr:from>
    <xdr:to>
      <xdr:col>9</xdr:col>
      <xdr:colOff>1561646</xdr:colOff>
      <xdr:row>40</xdr:row>
      <xdr:rowOff>92074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BB453A-D010-42CB-A957-DBCEB393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4D4D-9A11-41F4-B16E-10C97254DD48}">
  <dimension ref="A1:C12"/>
  <sheetViews>
    <sheetView tabSelected="1" workbookViewId="0">
      <selection activeCell="D25" sqref="D25"/>
    </sheetView>
  </sheetViews>
  <sheetFormatPr baseColWidth="10" defaultRowHeight="14.5" x14ac:dyDescent="0.35"/>
  <cols>
    <col min="1" max="1" width="24.6328125" bestFit="1" customWidth="1"/>
    <col min="2" max="2" width="11" bestFit="1" customWidth="1"/>
    <col min="3" max="3" width="11.90625" bestFit="1" customWidth="1"/>
  </cols>
  <sheetData>
    <row r="1" spans="1:3" x14ac:dyDescent="0.35">
      <c r="A1" s="25" t="s">
        <v>29</v>
      </c>
      <c r="B1" s="25" t="s">
        <v>33</v>
      </c>
      <c r="C1" s="25" t="s">
        <v>30</v>
      </c>
    </row>
    <row r="2" spans="1:3" ht="16.5" x14ac:dyDescent="0.35">
      <c r="A2" s="25" t="s">
        <v>7</v>
      </c>
      <c r="B2" s="25">
        <v>67791.171168999994</v>
      </c>
      <c r="C2" s="28">
        <v>322762</v>
      </c>
    </row>
    <row r="3" spans="1:3" ht="16.5" x14ac:dyDescent="0.35">
      <c r="A3" s="25" t="s">
        <v>8</v>
      </c>
      <c r="B3" s="25">
        <v>493548.63910700002</v>
      </c>
      <c r="C3" s="28">
        <v>1053710</v>
      </c>
    </row>
    <row r="4" spans="1:3" ht="16.5" x14ac:dyDescent="0.35">
      <c r="A4" s="25" t="s">
        <v>31</v>
      </c>
      <c r="B4" s="25">
        <v>166983.40078200001</v>
      </c>
      <c r="C4" s="28">
        <v>355750</v>
      </c>
    </row>
    <row r="5" spans="1:3" ht="16.5" x14ac:dyDescent="0.35">
      <c r="A5" s="25" t="s">
        <v>32</v>
      </c>
      <c r="B5" s="25">
        <v>431607.609428</v>
      </c>
      <c r="C5" s="28">
        <v>1210320</v>
      </c>
    </row>
    <row r="6" spans="1:3" ht="16.5" x14ac:dyDescent="0.35">
      <c r="A6" s="25" t="s">
        <v>22</v>
      </c>
      <c r="B6" s="25">
        <v>477296.07159900002</v>
      </c>
      <c r="C6" s="8">
        <v>1209580</v>
      </c>
    </row>
    <row r="7" spans="1:3" ht="16.5" x14ac:dyDescent="0.35">
      <c r="A7" s="25" t="s">
        <v>11</v>
      </c>
      <c r="B7" s="25">
        <v>184169.054592</v>
      </c>
      <c r="C7" s="8">
        <v>194989</v>
      </c>
    </row>
    <row r="8" spans="1:3" ht="16.5" x14ac:dyDescent="0.35">
      <c r="A8" s="25" t="s">
        <v>35</v>
      </c>
      <c r="B8" s="28">
        <v>309870</v>
      </c>
      <c r="C8" s="8">
        <v>669249</v>
      </c>
    </row>
    <row r="9" spans="1:3" ht="16.5" x14ac:dyDescent="0.35">
      <c r="A9" s="25" t="s">
        <v>12</v>
      </c>
      <c r="B9" s="25">
        <v>401065.39727299998</v>
      </c>
      <c r="C9" s="8">
        <v>657378</v>
      </c>
    </row>
    <row r="10" spans="1:3" ht="16.5" x14ac:dyDescent="0.35">
      <c r="A10" s="25" t="s">
        <v>37</v>
      </c>
      <c r="B10" s="25">
        <v>42097.1</v>
      </c>
      <c r="C10" s="8">
        <v>151109</v>
      </c>
    </row>
    <row r="11" spans="1:3" ht="16.5" x14ac:dyDescent="0.35">
      <c r="A11" s="25" t="s">
        <v>34</v>
      </c>
      <c r="B11" s="25">
        <v>15628683</v>
      </c>
      <c r="C11" s="5">
        <v>19253800</v>
      </c>
    </row>
    <row r="12" spans="1:3" x14ac:dyDescent="0.35">
      <c r="A12" s="25" t="s">
        <v>36</v>
      </c>
      <c r="B12" s="19">
        <f t="shared" ref="B12:C12" si="0">SUM(B2:B11)</f>
        <v>18203111.443950001</v>
      </c>
      <c r="C12" s="19">
        <f t="shared" si="0"/>
        <v>25078647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C72-29DE-4952-B730-D1BC6421D4B4}">
  <dimension ref="B1:X110"/>
  <sheetViews>
    <sheetView zoomScale="70" zoomScaleNormal="70" workbookViewId="0">
      <selection activeCell="Q29" sqref="Q29"/>
    </sheetView>
  </sheetViews>
  <sheetFormatPr baseColWidth="10" defaultRowHeight="14.5" x14ac:dyDescent="0.35"/>
  <cols>
    <col min="2" max="2" width="25" customWidth="1"/>
    <col min="3" max="4" width="19.7265625" bestFit="1" customWidth="1"/>
    <col min="5" max="5" width="18" customWidth="1"/>
    <col min="6" max="6" width="21" bestFit="1" customWidth="1"/>
    <col min="7" max="7" width="18" customWidth="1"/>
    <col min="8" max="8" width="22.6328125" customWidth="1"/>
    <col min="9" max="9" width="21" bestFit="1" customWidth="1"/>
    <col min="10" max="10" width="22.54296875" customWidth="1"/>
    <col min="14" max="14" width="13.90625" bestFit="1" customWidth="1"/>
    <col min="21" max="21" width="21.90625" bestFit="1" customWidth="1"/>
    <col min="22" max="22" width="23.81640625" bestFit="1" customWidth="1"/>
    <col min="23" max="23" width="20" bestFit="1" customWidth="1"/>
    <col min="24" max="24" width="23.81640625" bestFit="1" customWidth="1"/>
    <col min="25" max="25" width="11.08984375" customWidth="1"/>
    <col min="26" max="26" width="12.54296875" bestFit="1" customWidth="1"/>
  </cols>
  <sheetData>
    <row r="1" spans="2:24" x14ac:dyDescent="0.35">
      <c r="V1" s="7"/>
      <c r="W1" s="24"/>
      <c r="X1" s="24"/>
    </row>
    <row r="2" spans="2:24" ht="16.5" x14ac:dyDescent="0.35">
      <c r="B2" s="29" t="s">
        <v>13</v>
      </c>
      <c r="C2" s="29"/>
      <c r="D2" s="29"/>
      <c r="E2" s="29"/>
      <c r="F2" s="29"/>
      <c r="G2" s="29"/>
      <c r="H2" s="29"/>
      <c r="I2" s="29"/>
      <c r="V2" s="7"/>
      <c r="W2" s="24"/>
      <c r="X2" s="24"/>
    </row>
    <row r="3" spans="2:24" ht="49.5" x14ac:dyDescent="0.35">
      <c r="B3" s="1" t="s">
        <v>0</v>
      </c>
      <c r="C3" s="1" t="s">
        <v>1</v>
      </c>
      <c r="D3" s="1" t="s">
        <v>39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38</v>
      </c>
      <c r="N3" s="4"/>
      <c r="U3" s="2"/>
      <c r="V3" s="26"/>
      <c r="W3" s="26"/>
      <c r="X3" s="24"/>
    </row>
    <row r="4" spans="2:24" ht="16.5" x14ac:dyDescent="0.35">
      <c r="B4" s="2" t="str">
        <f>Direct_Data!A2</f>
        <v>Tumring</v>
      </c>
      <c r="C4" s="2">
        <f>Direct_Data!B2</f>
        <v>67791.171168999994</v>
      </c>
      <c r="D4" s="2">
        <f>Direct_Data!C2</f>
        <v>322762</v>
      </c>
      <c r="E4" s="3">
        <f t="shared" ref="E4:E12" si="0">D4/$D$14</f>
        <v>1.286999254784359E-2</v>
      </c>
      <c r="F4" s="30">
        <f>FREL!C12</f>
        <v>60257501</v>
      </c>
      <c r="G4" s="31">
        <f>FREL!D12</f>
        <v>0.10983838386387949</v>
      </c>
      <c r="H4" s="30">
        <f>F4-(F4*G4)</f>
        <v>53638914.4744839</v>
      </c>
      <c r="I4" s="4">
        <f t="shared" ref="I4:I12" si="1">$H$4*E4</f>
        <v>690332.42956102744</v>
      </c>
      <c r="J4" s="36">
        <f>I4/C4</f>
        <v>10.183220287492354</v>
      </c>
      <c r="N4" s="4"/>
      <c r="U4" s="2"/>
      <c r="V4" s="26"/>
      <c r="W4" s="26"/>
    </row>
    <row r="5" spans="2:24" ht="16.5" x14ac:dyDescent="0.35">
      <c r="B5" s="2" t="str">
        <f>Direct_Data!A3</f>
        <v>Southern Cardamom</v>
      </c>
      <c r="C5" s="2">
        <f>Direct_Data!B3</f>
        <v>493548.63910700002</v>
      </c>
      <c r="D5" s="2">
        <f>Direct_Data!C3</f>
        <v>1053710</v>
      </c>
      <c r="E5" s="3">
        <f t="shared" si="0"/>
        <v>4.2016222007511012E-2</v>
      </c>
      <c r="F5" s="30"/>
      <c r="G5" s="31"/>
      <c r="H5" s="30"/>
      <c r="I5" s="4">
        <f t="shared" si="1"/>
        <v>2253704.5388018112</v>
      </c>
      <c r="J5" s="36">
        <f t="shared" ref="J5:J14" si="2">I5/C5</f>
        <v>4.566327126095497</v>
      </c>
      <c r="N5" s="4"/>
      <c r="U5" s="2"/>
      <c r="V5" s="26"/>
      <c r="W5" s="26"/>
    </row>
    <row r="6" spans="2:24" ht="16.5" x14ac:dyDescent="0.35">
      <c r="B6" s="2" t="str">
        <f>Direct_Data!A4</f>
        <v>Keo Seima</v>
      </c>
      <c r="C6" s="2">
        <f>Direct_Data!B4</f>
        <v>166983.40078200001</v>
      </c>
      <c r="D6" s="2">
        <f>Direct_Data!C4</f>
        <v>355750</v>
      </c>
      <c r="E6" s="3">
        <f t="shared" si="0"/>
        <v>1.4185374514023822E-2</v>
      </c>
      <c r="F6" s="30"/>
      <c r="G6" s="31"/>
      <c r="H6" s="30"/>
      <c r="I6" s="4">
        <f t="shared" si="1"/>
        <v>760888.09034624742</v>
      </c>
      <c r="J6" s="36">
        <f t="shared" si="2"/>
        <v>4.5566690268789127</v>
      </c>
      <c r="N6" s="4"/>
      <c r="U6" s="2"/>
      <c r="V6" s="26"/>
      <c r="W6" s="26"/>
    </row>
    <row r="7" spans="2:24" ht="16.5" x14ac:dyDescent="0.35">
      <c r="B7" s="2" t="str">
        <f>Direct_Data!A5</f>
        <v>Prey Lang Phase II</v>
      </c>
      <c r="C7" s="2">
        <f>Direct_Data!B5</f>
        <v>431607.609428</v>
      </c>
      <c r="D7" s="2">
        <f>Direct_Data!C5</f>
        <v>1210320</v>
      </c>
      <c r="E7" s="3">
        <f t="shared" si="0"/>
        <v>4.8260976758435173E-2</v>
      </c>
      <c r="F7" s="30"/>
      <c r="G7" s="31"/>
      <c r="H7" s="30"/>
      <c r="I7" s="4">
        <f t="shared" si="1"/>
        <v>2588666.4048007596</v>
      </c>
      <c r="J7" s="36">
        <f t="shared" si="2"/>
        <v>5.9977311526816264</v>
      </c>
      <c r="N7" s="4"/>
      <c r="U7" s="2"/>
      <c r="V7" s="26"/>
      <c r="W7" s="8"/>
    </row>
    <row r="8" spans="2:24" ht="16.5" x14ac:dyDescent="0.35">
      <c r="B8" s="2" t="str">
        <f>Direct_Data!A6</f>
        <v>Northern Plains</v>
      </c>
      <c r="C8" s="2">
        <f>Direct_Data!B6</f>
        <v>477296.07159900002</v>
      </c>
      <c r="D8" s="2">
        <f>Direct_Data!C6</f>
        <v>1209580</v>
      </c>
      <c r="E8" s="3">
        <f t="shared" si="0"/>
        <v>4.8231469584463629E-2</v>
      </c>
      <c r="F8" s="30"/>
      <c r="G8" s="31"/>
      <c r="H8" s="30"/>
      <c r="I8" s="4">
        <f t="shared" si="1"/>
        <v>2587083.6720197164</v>
      </c>
      <c r="J8" s="36">
        <f t="shared" si="2"/>
        <v>5.420291148327852</v>
      </c>
      <c r="N8" s="4"/>
      <c r="U8" s="2"/>
      <c r="V8" s="26"/>
      <c r="W8" s="8"/>
    </row>
    <row r="9" spans="2:24" ht="16.5" x14ac:dyDescent="0.35">
      <c r="B9" s="2" t="str">
        <f>Direct_Data!A7</f>
        <v>Lomphat</v>
      </c>
      <c r="C9" s="2">
        <f>Direct_Data!B7</f>
        <v>184169.054592</v>
      </c>
      <c r="D9" s="2">
        <f>Direct_Data!C7</f>
        <v>194989</v>
      </c>
      <c r="E9" s="3">
        <f t="shared" si="0"/>
        <v>7.7751004669430529E-3</v>
      </c>
      <c r="F9" s="30"/>
      <c r="G9" s="31"/>
      <c r="H9" s="30"/>
      <c r="I9" s="4">
        <f t="shared" si="1"/>
        <v>417047.94897687825</v>
      </c>
      <c r="J9" s="36">
        <f t="shared" si="2"/>
        <v>2.2644843885460992</v>
      </c>
      <c r="N9" s="4"/>
      <c r="U9" s="2"/>
      <c r="V9" s="26"/>
      <c r="W9" s="8"/>
    </row>
    <row r="10" spans="2:24" ht="16.5" x14ac:dyDescent="0.35">
      <c r="B10" s="2" t="str">
        <f>Direct_Data!A8</f>
        <v>Greater Cardamom</v>
      </c>
      <c r="C10" s="2">
        <f>Direct_Data!B8</f>
        <v>309870</v>
      </c>
      <c r="D10" s="2">
        <f>Direct_Data!C8</f>
        <v>669249</v>
      </c>
      <c r="E10" s="3">
        <f t="shared" si="0"/>
        <v>2.668600901795061E-2</v>
      </c>
      <c r="F10" s="30"/>
      <c r="G10" s="31"/>
      <c r="H10" s="30"/>
      <c r="I10" s="4">
        <f t="shared" si="1"/>
        <v>1431408.5553791588</v>
      </c>
      <c r="J10" s="36">
        <f t="shared" si="2"/>
        <v>4.6193841139160252</v>
      </c>
      <c r="N10" s="4"/>
      <c r="U10" s="2"/>
      <c r="V10" s="26"/>
      <c r="W10" s="8"/>
    </row>
    <row r="11" spans="2:24" ht="16.5" x14ac:dyDescent="0.35">
      <c r="B11" s="2" t="str">
        <f>Direct_Data!A9</f>
        <v>Central Cardamom</v>
      </c>
      <c r="C11" s="2">
        <f>Direct_Data!B9</f>
        <v>401065.39727299998</v>
      </c>
      <c r="D11" s="2">
        <f>Direct_Data!C9</f>
        <v>657378</v>
      </c>
      <c r="E11" s="3">
        <f t="shared" si="0"/>
        <v>2.6212658123063816E-2</v>
      </c>
      <c r="F11" s="30"/>
      <c r="G11" s="31"/>
      <c r="H11" s="30"/>
      <c r="I11" s="4">
        <f t="shared" si="1"/>
        <v>1406018.5272119057</v>
      </c>
      <c r="J11" s="36">
        <f t="shared" si="2"/>
        <v>3.5057088863112447</v>
      </c>
      <c r="N11" s="4"/>
      <c r="U11" s="2"/>
      <c r="V11" s="27"/>
      <c r="W11" s="8"/>
    </row>
    <row r="12" spans="2:24" ht="16.5" x14ac:dyDescent="0.35">
      <c r="B12" s="2" t="str">
        <f>Direct_Data!A10</f>
        <v>Phnom Thnout-Pnhom Pok</v>
      </c>
      <c r="C12" s="2">
        <f>Direct_Data!B10</f>
        <v>42097.1</v>
      </c>
      <c r="D12" s="2">
        <f>Direct_Data!C10</f>
        <v>151109</v>
      </c>
      <c r="E12" s="3">
        <f t="shared" si="0"/>
        <v>6.025404799549194E-3</v>
      </c>
      <c r="F12" s="30"/>
      <c r="G12" s="31"/>
      <c r="H12" s="30"/>
      <c r="I12" s="4">
        <f t="shared" si="1"/>
        <v>323196.17271716404</v>
      </c>
      <c r="J12" s="36">
        <f t="shared" si="2"/>
        <v>7.6773975574841034</v>
      </c>
      <c r="N12" s="4"/>
      <c r="U12" s="2"/>
      <c r="V12" s="5"/>
      <c r="W12" s="5"/>
    </row>
    <row r="13" spans="2:24" ht="16.5" x14ac:dyDescent="0.35">
      <c r="B13" s="2" t="str">
        <f>Direct_Data!A11</f>
        <v>Rest of the Country</v>
      </c>
      <c r="C13" s="2">
        <f>Direct_Data!B11</f>
        <v>15628683</v>
      </c>
      <c r="D13" s="2">
        <f>Direct_Data!C11</f>
        <v>19253800</v>
      </c>
      <c r="E13" s="3">
        <f>E14-(SUM(E4:E11))</f>
        <v>0.77376219697976534</v>
      </c>
      <c r="F13" s="30"/>
      <c r="G13" s="31"/>
      <c r="H13" s="30"/>
      <c r="I13" s="4">
        <f>I14-(SUM(I4:I12))</f>
        <v>41180568.134669229</v>
      </c>
      <c r="J13" s="36">
        <f t="shared" si="2"/>
        <v>2.6349352747553474</v>
      </c>
      <c r="N13" s="4"/>
      <c r="U13" s="2"/>
      <c r="V13" s="5"/>
      <c r="W13" s="5"/>
    </row>
    <row r="14" spans="2:24" ht="16.5" x14ac:dyDescent="0.35">
      <c r="B14" s="2" t="s">
        <v>9</v>
      </c>
      <c r="C14" s="5">
        <f>SUM(C4:C13)</f>
        <v>18203111.443950001</v>
      </c>
      <c r="D14" s="5">
        <f>SUM(D4:D13)</f>
        <v>25078647</v>
      </c>
      <c r="E14" s="3">
        <f>D14/$D$14</f>
        <v>1</v>
      </c>
      <c r="F14" s="30"/>
      <c r="G14" s="31"/>
      <c r="H14" s="30"/>
      <c r="I14" s="4">
        <f>$H$4*E14</f>
        <v>53638914.4744839</v>
      </c>
      <c r="J14" s="36">
        <f t="shared" si="2"/>
        <v>2.9466893415252571</v>
      </c>
    </row>
    <row r="20" spans="2:3" x14ac:dyDescent="0.35">
      <c r="B20" t="s">
        <v>10</v>
      </c>
    </row>
    <row r="21" spans="2:3" x14ac:dyDescent="0.35">
      <c r="B21" s="6"/>
      <c r="C21" s="6" t="s">
        <v>23</v>
      </c>
    </row>
    <row r="22" spans="2:3" ht="16.5" x14ac:dyDescent="0.35">
      <c r="B22" s="2" t="str">
        <f>B4</f>
        <v>Tumring</v>
      </c>
      <c r="C22" s="19">
        <f>I4</f>
        <v>690332.42956102744</v>
      </c>
    </row>
    <row r="23" spans="2:3" ht="16.5" x14ac:dyDescent="0.35">
      <c r="B23" s="2" t="str">
        <f t="shared" ref="B23:B32" si="3">B5</f>
        <v>Southern Cardamom</v>
      </c>
      <c r="C23" s="19">
        <f t="shared" ref="C23:C32" si="4">I5</f>
        <v>2253704.5388018112</v>
      </c>
    </row>
    <row r="24" spans="2:3" ht="16.5" x14ac:dyDescent="0.35">
      <c r="B24" s="2" t="str">
        <f t="shared" si="3"/>
        <v>Keo Seima</v>
      </c>
      <c r="C24" s="19">
        <f t="shared" si="4"/>
        <v>760888.09034624742</v>
      </c>
    </row>
    <row r="25" spans="2:3" ht="16.5" x14ac:dyDescent="0.35">
      <c r="B25" s="2" t="str">
        <f t="shared" si="3"/>
        <v>Prey Lang Phase II</v>
      </c>
      <c r="C25" s="19">
        <f t="shared" si="4"/>
        <v>2588666.4048007596</v>
      </c>
    </row>
    <row r="26" spans="2:3" ht="16.5" x14ac:dyDescent="0.35">
      <c r="B26" s="2" t="str">
        <f t="shared" si="3"/>
        <v>Northern Plains</v>
      </c>
      <c r="C26" s="19">
        <f t="shared" si="4"/>
        <v>2587083.6720197164</v>
      </c>
    </row>
    <row r="27" spans="2:3" ht="16.5" x14ac:dyDescent="0.35">
      <c r="B27" s="2" t="str">
        <f t="shared" si="3"/>
        <v>Lomphat</v>
      </c>
      <c r="C27" s="19">
        <f t="shared" si="4"/>
        <v>417047.94897687825</v>
      </c>
    </row>
    <row r="28" spans="2:3" ht="16.5" x14ac:dyDescent="0.35">
      <c r="B28" s="2" t="str">
        <f t="shared" si="3"/>
        <v>Greater Cardamom</v>
      </c>
      <c r="C28" s="19">
        <f t="shared" si="4"/>
        <v>1431408.5553791588</v>
      </c>
    </row>
    <row r="29" spans="2:3" ht="16.5" x14ac:dyDescent="0.35">
      <c r="B29" s="2" t="str">
        <f t="shared" si="3"/>
        <v>Central Cardamom</v>
      </c>
      <c r="C29" s="19">
        <f t="shared" si="4"/>
        <v>1406018.5272119057</v>
      </c>
    </row>
    <row r="30" spans="2:3" ht="16.5" x14ac:dyDescent="0.35">
      <c r="B30" s="2" t="str">
        <f t="shared" si="3"/>
        <v>Phnom Thnout-Pnhom Pok</v>
      </c>
      <c r="C30" s="19">
        <f t="shared" si="4"/>
        <v>323196.17271716404</v>
      </c>
    </row>
    <row r="31" spans="2:3" ht="16.5" x14ac:dyDescent="0.35">
      <c r="B31" s="2" t="str">
        <f t="shared" si="3"/>
        <v>Rest of the Country</v>
      </c>
      <c r="C31" s="19">
        <f t="shared" si="4"/>
        <v>41180568.134669229</v>
      </c>
    </row>
    <row r="32" spans="2:3" ht="16.5" x14ac:dyDescent="0.35">
      <c r="B32" s="2" t="str">
        <f t="shared" si="3"/>
        <v>Cambodia</v>
      </c>
      <c r="C32" s="19">
        <f t="shared" si="4"/>
        <v>53638914.4744839</v>
      </c>
    </row>
    <row r="33" spans="3:3" x14ac:dyDescent="0.35">
      <c r="C33" s="20"/>
    </row>
    <row r="110" ht="16.5" x14ac:dyDescent="0.35"/>
  </sheetData>
  <mergeCells count="4">
    <mergeCell ref="B2:I2"/>
    <mergeCell ref="F4:F14"/>
    <mergeCell ref="G4:G14"/>
    <mergeCell ref="H4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2BA4-14D5-49E3-8DC4-19D87A8EE0B0}">
  <dimension ref="B1:M14"/>
  <sheetViews>
    <sheetView zoomScale="85" zoomScaleNormal="85" workbookViewId="0">
      <selection activeCell="E16" sqref="E16"/>
    </sheetView>
  </sheetViews>
  <sheetFormatPr baseColWidth="10" defaultRowHeight="14.5" x14ac:dyDescent="0.35"/>
  <cols>
    <col min="2" max="2" width="13.81640625" bestFit="1" customWidth="1"/>
    <col min="3" max="3" width="17.54296875" customWidth="1"/>
    <col min="4" max="4" width="16.36328125" customWidth="1"/>
    <col min="5" max="5" width="19.26953125" customWidth="1"/>
    <col min="10" max="10" width="13.81640625" bestFit="1" customWidth="1"/>
    <col min="11" max="11" width="12.6328125" bestFit="1" customWidth="1"/>
    <col min="12" max="12" width="12.36328125" customWidth="1"/>
    <col min="13" max="13" width="20.1796875" customWidth="1"/>
  </cols>
  <sheetData>
    <row r="1" spans="2:13" ht="15" thickBot="1" x14ac:dyDescent="0.4"/>
    <row r="2" spans="2:13" ht="16" x14ac:dyDescent="0.5">
      <c r="B2" s="32" t="s">
        <v>14</v>
      </c>
      <c r="C2" s="9" t="s">
        <v>15</v>
      </c>
      <c r="D2" s="10" t="s">
        <v>16</v>
      </c>
      <c r="E2" s="10" t="s">
        <v>24</v>
      </c>
      <c r="J2" s="34" t="s">
        <v>25</v>
      </c>
      <c r="K2" s="9" t="s">
        <v>15</v>
      </c>
      <c r="L2" s="10" t="s">
        <v>16</v>
      </c>
      <c r="M2" s="10" t="s">
        <v>24</v>
      </c>
    </row>
    <row r="3" spans="2:13" ht="16.5" thickBot="1" x14ac:dyDescent="0.55000000000000004">
      <c r="B3" s="33"/>
      <c r="C3" s="11" t="s">
        <v>17</v>
      </c>
      <c r="D3" s="12" t="s">
        <v>18</v>
      </c>
      <c r="E3" s="11" t="s">
        <v>17</v>
      </c>
      <c r="J3" s="35"/>
      <c r="K3" s="11" t="s">
        <v>17</v>
      </c>
      <c r="L3" s="12" t="s">
        <v>18</v>
      </c>
      <c r="M3" s="11" t="s">
        <v>17</v>
      </c>
    </row>
    <row r="4" spans="2:13" ht="16.5" thickBot="1" x14ac:dyDescent="0.4">
      <c r="B4" s="13">
        <v>2011</v>
      </c>
      <c r="C4" s="14">
        <v>71840311</v>
      </c>
      <c r="D4" s="22">
        <v>9.3525810239266954E-2</v>
      </c>
      <c r="E4" s="23">
        <f>C4*(1-D4)</f>
        <v>65121387.705884077</v>
      </c>
      <c r="J4" s="13" t="s">
        <v>26</v>
      </c>
      <c r="K4" s="14">
        <v>60257501</v>
      </c>
      <c r="L4" s="22">
        <v>0.10983838386387949</v>
      </c>
      <c r="M4" s="21">
        <v>53638914.4744839</v>
      </c>
    </row>
    <row r="5" spans="2:13" ht="16.5" thickBot="1" x14ac:dyDescent="0.4">
      <c r="B5" s="16">
        <v>2012</v>
      </c>
      <c r="C5" s="14">
        <v>71840311</v>
      </c>
      <c r="D5" s="22">
        <v>9.3525810239266954E-2</v>
      </c>
      <c r="E5" s="23">
        <f t="shared" ref="E5:E11" si="0">C5*(1-D5)</f>
        <v>65121387.705884077</v>
      </c>
      <c r="J5" s="13" t="s">
        <v>27</v>
      </c>
      <c r="K5" s="14">
        <v>56396564.333333336</v>
      </c>
      <c r="L5" s="22">
        <v>0.1167649308752424</v>
      </c>
      <c r="M5" s="21">
        <v>49811423.397350512</v>
      </c>
    </row>
    <row r="6" spans="2:13" ht="16.5" thickBot="1" x14ac:dyDescent="0.4">
      <c r="B6" s="13">
        <v>2013</v>
      </c>
      <c r="C6" s="14">
        <v>71840311</v>
      </c>
      <c r="D6" s="22">
        <v>9.3525810239266954E-2</v>
      </c>
      <c r="E6" s="23">
        <f t="shared" si="0"/>
        <v>65121387.705884077</v>
      </c>
      <c r="J6" s="13" t="s">
        <v>28</v>
      </c>
      <c r="K6" s="14">
        <v>48674691</v>
      </c>
      <c r="L6" s="22">
        <v>0.13391455853137887</v>
      </c>
      <c r="M6" s="21">
        <v>42156441.243083723</v>
      </c>
    </row>
    <row r="7" spans="2:13" ht="16.5" thickBot="1" x14ac:dyDescent="0.4">
      <c r="B7" s="16">
        <v>2014</v>
      </c>
      <c r="C7" s="14">
        <v>71840311</v>
      </c>
      <c r="D7" s="22">
        <v>9.3525810239266954E-2</v>
      </c>
      <c r="E7" s="23">
        <f t="shared" si="0"/>
        <v>65121387.705884077</v>
      </c>
    </row>
    <row r="8" spans="2:13" ht="16.5" thickBot="1" x14ac:dyDescent="0.4">
      <c r="B8" s="13">
        <v>2015</v>
      </c>
      <c r="C8" s="14">
        <v>56818352</v>
      </c>
      <c r="D8" s="22">
        <v>0.12005589257305881</v>
      </c>
      <c r="E8" s="23">
        <f t="shared" si="0"/>
        <v>49996974.03610976</v>
      </c>
    </row>
    <row r="9" spans="2:13" ht="16.5" thickBot="1" x14ac:dyDescent="0.4">
      <c r="B9" s="16">
        <v>2016</v>
      </c>
      <c r="C9" s="14">
        <v>56818352</v>
      </c>
      <c r="D9" s="22">
        <v>0.12005589257305881</v>
      </c>
      <c r="E9" s="23">
        <f t="shared" si="0"/>
        <v>49996974.03610976</v>
      </c>
    </row>
    <row r="10" spans="2:13" ht="16.5" thickBot="1" x14ac:dyDescent="0.4">
      <c r="B10" s="13">
        <v>2017</v>
      </c>
      <c r="C10" s="14">
        <v>40531030</v>
      </c>
      <c r="D10" s="22">
        <v>0.15334230464763218</v>
      </c>
      <c r="E10" s="23">
        <f t="shared" si="0"/>
        <v>34315908.450057678</v>
      </c>
    </row>
    <row r="11" spans="2:13" ht="16.5" thickBot="1" x14ac:dyDescent="0.4">
      <c r="B11" s="16">
        <v>2018</v>
      </c>
      <c r="C11" s="14">
        <v>40531030</v>
      </c>
      <c r="D11" s="22">
        <v>0.15334230464763218</v>
      </c>
      <c r="E11" s="23">
        <f t="shared" si="0"/>
        <v>34315908.450057678</v>
      </c>
    </row>
    <row r="12" spans="2:13" ht="16.5" thickBot="1" x14ac:dyDescent="0.4">
      <c r="B12" s="17" t="s">
        <v>19</v>
      </c>
      <c r="C12" s="18">
        <f>SUM(C4:C11)/8</f>
        <v>60257501</v>
      </c>
      <c r="D12" s="15">
        <f>((D4*C4)+(D5*C5)+(D6*C6)+(D7*C7)+(D8*C8)+(D9*C9)+(D10*C10)+(D11*C11))/(C4+C5+C6+C7+C8+C9+C10+C11)</f>
        <v>0.10983838386387949</v>
      </c>
      <c r="E12" s="21">
        <f>SUM(E4:E11)/8</f>
        <v>53638914.4744839</v>
      </c>
    </row>
    <row r="13" spans="2:13" ht="16.5" thickBot="1" x14ac:dyDescent="0.4">
      <c r="B13" s="17" t="s">
        <v>20</v>
      </c>
      <c r="C13" s="18">
        <f>SUM(C6:C11)/6</f>
        <v>56396564.333333336</v>
      </c>
      <c r="D13" s="15">
        <f>((D6*C6)+(D7*C7)+(D8*C8)+(D9*C9)+(D10*C10)+(D11*C11))/(C6+C7+C8+C9+C10+C11)</f>
        <v>0.1167649308752424</v>
      </c>
      <c r="E13" s="21">
        <f>SUM(E6:E11)/6</f>
        <v>49811423.397350512</v>
      </c>
    </row>
    <row r="14" spans="2:13" ht="16.5" thickBot="1" x14ac:dyDescent="0.4">
      <c r="B14" s="17" t="s">
        <v>21</v>
      </c>
      <c r="C14" s="18">
        <f>SUM(C8:C11)/4</f>
        <v>48674691</v>
      </c>
      <c r="D14" s="15">
        <f>((D8*C8)+(D9*C9)+(D10*C10)+(D11*C11))/(C8+C9+C10+C11)</f>
        <v>0.13391455853137887</v>
      </c>
      <c r="E14" s="21">
        <f>SUM(E8:E11)/4</f>
        <v>42156441.243083723</v>
      </c>
    </row>
  </sheetData>
  <mergeCells count="2">
    <mergeCell ref="B2:B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Direct_Data</vt:lpstr>
      <vt:lpstr>4-6-8 FRL RefPer</vt:lpstr>
      <vt:lpstr>FREL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CANO</dc:creator>
  <cp:lastModifiedBy>JAVIER CANO</cp:lastModifiedBy>
  <dcterms:created xsi:type="dcterms:W3CDTF">2021-03-02T11:08:21Z</dcterms:created>
  <dcterms:modified xsi:type="dcterms:W3CDTF">2021-07-06T16:52:15Z</dcterms:modified>
</cp:coreProperties>
</file>