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dware\Desktop\Javier Celada 2025\Ultimo semestre\Tesis\Estudio de retorno de invercion - Trabajo de graduacion\"/>
    </mc:Choice>
  </mc:AlternateContent>
  <xr:revisionPtr revIDLastSave="0" documentId="13_ncr:1_{5BEA710F-D0D1-4352-89C7-294346F5889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esumen" sheetId="1" r:id="rId1"/>
    <sheet name="Componentes y Costos" sheetId="2" r:id="rId2"/>
    <sheet name="Análisis Financier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D5" i="4"/>
  <c r="F5" i="2"/>
  <c r="D4" i="4" l="1"/>
  <c r="H10" i="2"/>
  <c r="H9" i="2"/>
  <c r="H8" i="2"/>
  <c r="H7" i="2"/>
  <c r="H6" i="2"/>
  <c r="H5" i="2"/>
  <c r="C4" i="4"/>
  <c r="C5" i="4" s="1"/>
  <c r="C6" i="4" s="1"/>
  <c r="C7" i="4" s="1"/>
  <c r="K6" i="4" l="1"/>
  <c r="C19" i="4"/>
  <c r="K7" i="4" l="1"/>
  <c r="D6" i="4"/>
  <c r="C20" i="4"/>
  <c r="E12" i="2"/>
  <c r="F12" i="2" s="1"/>
  <c r="E11" i="2"/>
  <c r="F11" i="2"/>
  <c r="G11" i="2" s="1"/>
  <c r="F8" i="2"/>
  <c r="G8" i="2" s="1"/>
  <c r="E10" i="2"/>
  <c r="F10" i="2" s="1"/>
  <c r="G10" i="2" s="1"/>
  <c r="E9" i="2"/>
  <c r="F9" i="2" s="1"/>
  <c r="G9" i="2" s="1"/>
  <c r="E8" i="2"/>
  <c r="E7" i="2"/>
  <c r="E6" i="2"/>
  <c r="E5" i="2"/>
  <c r="G5" i="2" s="1"/>
  <c r="K8" i="4" l="1"/>
  <c r="D7" i="4"/>
  <c r="F7" i="2"/>
  <c r="G7" i="2" s="1"/>
  <c r="F6" i="2"/>
  <c r="G6" i="2" s="1"/>
  <c r="H13" i="2" s="1"/>
  <c r="B5" i="1" s="1"/>
  <c r="F18" i="4" s="1"/>
  <c r="G12" i="2"/>
  <c r="C21" i="4"/>
  <c r="C8" i="4"/>
  <c r="K9" i="4" l="1"/>
  <c r="D8" i="4"/>
  <c r="D19" i="4"/>
  <c r="D20" i="4" s="1"/>
  <c r="G11" i="4"/>
  <c r="C9" i="4"/>
  <c r="C23" i="4"/>
  <c r="D21" i="4"/>
  <c r="C22" i="4"/>
  <c r="K10" i="4" l="1"/>
  <c r="D9" i="4"/>
  <c r="C24" i="4" s="1"/>
  <c r="D22" i="4"/>
  <c r="D23" i="4" s="1"/>
  <c r="C10" i="4"/>
  <c r="K11" i="4" l="1"/>
  <c r="D10" i="4"/>
  <c r="C25" i="4" s="1"/>
  <c r="D24" i="4"/>
  <c r="D25" i="4" s="1"/>
  <c r="C11" i="4"/>
  <c r="K12" i="4" l="1"/>
  <c r="D11" i="4"/>
  <c r="C12" i="4"/>
  <c r="C26" i="4"/>
  <c r="D26" i="4" s="1"/>
  <c r="K13" i="4" l="1"/>
  <c r="D13" i="4" s="1"/>
  <c r="D12" i="4"/>
  <c r="K14" i="4"/>
  <c r="C13" i="4"/>
  <c r="C28" i="4" s="1"/>
  <c r="D14" i="4" l="1"/>
  <c r="C27" i="4"/>
  <c r="D27" i="4" s="1"/>
  <c r="D28" i="4" s="1"/>
  <c r="C14" i="4"/>
  <c r="C15" i="4" s="1"/>
  <c r="B13" i="1" s="1"/>
  <c r="C29" i="4" l="1"/>
  <c r="C30" i="4"/>
  <c r="B6" i="1" l="1"/>
  <c r="G12" i="4"/>
  <c r="G13" i="4" s="1"/>
  <c r="B8" i="1" s="1"/>
</calcChain>
</file>

<file path=xl/sharedStrings.xml><?xml version="1.0" encoding="utf-8"?>
<sst xmlns="http://schemas.openxmlformats.org/spreadsheetml/2006/main" count="86" uniqueCount="63">
  <si>
    <t>ANÁLISIS ROI - SISTEMA FOTOVOLTAICO HÍBRIDO</t>
  </si>
  <si>
    <t>Prototipo para Edificios Verticales - Guatemala</t>
  </si>
  <si>
    <t/>
  </si>
  <si>
    <t>Inversión Total:</t>
  </si>
  <si>
    <t>Ahorro Anual Promedio:</t>
  </si>
  <si>
    <t>ROI a 10 años:</t>
  </si>
  <si>
    <t>Periodo de Recuperación:</t>
  </si>
  <si>
    <t>SUPUESTOS PRINCIPALES</t>
  </si>
  <si>
    <t>Tarifa Eléctrica Base:</t>
  </si>
  <si>
    <t>Cobertura de Demanda:</t>
  </si>
  <si>
    <t>Degradación Anual:</t>
  </si>
  <si>
    <t>DESGLOSE DE COMPONENTES Y COSTOS</t>
  </si>
  <si>
    <t>Componente</t>
  </si>
  <si>
    <t>Cantidad</t>
  </si>
  <si>
    <t>Precio USD</t>
  </si>
  <si>
    <t>Subtotal USD</t>
  </si>
  <si>
    <t>Total GTQ</t>
  </si>
  <si>
    <t>Paneles Solares Flexibles 200W</t>
  </si>
  <si>
    <t>Controlador MPPT BlueSolar 75/15</t>
  </si>
  <si>
    <t>Baterías LiFePO4 12V 100Ah</t>
  </si>
  <si>
    <t>Inversor Victron 1200VA</t>
  </si>
  <si>
    <t>Monitor de Baterías BMV-712</t>
  </si>
  <si>
    <t>Medidor Bidireccional Tuya</t>
  </si>
  <si>
    <t>Cableado y Materiales</t>
  </si>
  <si>
    <t>Instalación Eléctrica</t>
  </si>
  <si>
    <t>TOTAL:</t>
  </si>
  <si>
    <t>Año</t>
  </si>
  <si>
    <t>Total USD</t>
  </si>
  <si>
    <t>kWh</t>
  </si>
  <si>
    <t>RESUMEN GENERACIÓN SOLAR</t>
  </si>
  <si>
    <t>Total generado (45 días)</t>
  </si>
  <si>
    <t>Promedio diario</t>
  </si>
  <si>
    <t>Máximo diario registrado</t>
  </si>
  <si>
    <t>Mínimo diario registrado</t>
  </si>
  <si>
    <t>Irradiación promedio</t>
  </si>
  <si>
    <t>Eficiencia promedio</t>
  </si>
  <si>
    <t>%</t>
  </si>
  <si>
    <t>Generación (kWh)</t>
  </si>
  <si>
    <t>Total</t>
  </si>
  <si>
    <t>Ahorro Anual GTQ</t>
  </si>
  <si>
    <t>PROYECCIONES DE GENERACIÓN ELÉCTRICA (10 AÑOS)</t>
  </si>
  <si>
    <t xml:space="preserve">Flujo Acumulado </t>
  </si>
  <si>
    <t>Prom</t>
  </si>
  <si>
    <t>Generación Anual Promedio:</t>
  </si>
  <si>
    <t>Cambio actual</t>
  </si>
  <si>
    <t>RESUMEN ROI</t>
  </si>
  <si>
    <t>prom</t>
  </si>
  <si>
    <t xml:space="preserve">INFLACIÓN ENERGÉTICA </t>
  </si>
  <si>
    <t>Inflación Energética</t>
  </si>
  <si>
    <t>PAYBACK</t>
  </si>
  <si>
    <t>Ahorro Anual Prom</t>
  </si>
  <si>
    <t>Inversion Inicial</t>
  </si>
  <si>
    <t>Años</t>
  </si>
  <si>
    <t>Q</t>
  </si>
  <si>
    <t>Aranceles de importacion</t>
  </si>
  <si>
    <t>IVA</t>
  </si>
  <si>
    <t>IVA + Aranceles USD</t>
  </si>
  <si>
    <t>La información presentada en este documento está respaldada por los costos reales de los dispositivos adquiridos, así como por proyecciones basadas en la evaluación energética previamente realizada.</t>
  </si>
  <si>
    <t>NOTA</t>
  </si>
  <si>
    <t xml:space="preserve">Inversión Total </t>
  </si>
  <si>
    <t>Inflación</t>
  </si>
  <si>
    <t>Tarifa Anual + Inflación</t>
  </si>
  <si>
    <t>ANÁLISIS DE RETORNO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</si>
</sst>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_-[$GTQ]\ * #,##0.00_-;\-[$GTQ]\ * #,##0.00_-;_-[$GTQ]\ * &quot;-&quot;??_-;_-@_-"/>
    <numFmt numFmtId="166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1" xfId="0" applyBorder="1"/>
    <xf numFmtId="166" fontId="0" fillId="0" borderId="1" xfId="1" applyNumberFormat="1" applyFont="1" applyBorder="1"/>
    <xf numFmtId="165" fontId="0" fillId="0" borderId="1" xfId="1" applyNumberFormat="1" applyFont="1" applyBorder="1"/>
    <xf numFmtId="44" fontId="0" fillId="0" borderId="1" xfId="1" applyFont="1" applyBorder="1"/>
    <xf numFmtId="165" fontId="0" fillId="0" borderId="2" xfId="1" applyNumberFormat="1" applyFont="1" applyBorder="1"/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165" fontId="0" fillId="0" borderId="1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0" fontId="0" fillId="0" borderId="3" xfId="0" applyBorder="1"/>
    <xf numFmtId="2" fontId="0" fillId="0" borderId="4" xfId="0" applyNumberFormat="1" applyBorder="1"/>
    <xf numFmtId="165" fontId="0" fillId="0" borderId="4" xfId="0" applyNumberFormat="1" applyBorder="1"/>
    <xf numFmtId="2" fontId="0" fillId="0" borderId="0" xfId="0" applyNumberFormat="1"/>
    <xf numFmtId="0" fontId="3" fillId="0" borderId="0" xfId="2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8"/>
  <sheetViews>
    <sheetView workbookViewId="0">
      <selection activeCell="B15" sqref="B15"/>
    </sheetView>
  </sheetViews>
  <sheetFormatPr defaultRowHeight="15.75" x14ac:dyDescent="0.25"/>
  <cols>
    <col min="1" max="1" width="24.25" bestFit="1" customWidth="1"/>
    <col min="2" max="2" width="14.375" bestFit="1" customWidth="1"/>
  </cols>
  <sheetData>
    <row r="1" spans="1:11" x14ac:dyDescent="0.25">
      <c r="A1" s="22" t="s">
        <v>0</v>
      </c>
      <c r="B1" s="22"/>
      <c r="C1" s="22"/>
    </row>
    <row r="2" spans="1:11" x14ac:dyDescent="0.25">
      <c r="A2" s="22" t="s">
        <v>1</v>
      </c>
      <c r="B2" s="22"/>
      <c r="C2" s="22"/>
    </row>
    <row r="3" spans="1:11" x14ac:dyDescent="0.25">
      <c r="A3" t="s">
        <v>2</v>
      </c>
    </row>
    <row r="4" spans="1:11" x14ac:dyDescent="0.25">
      <c r="A4" s="26" t="s">
        <v>45</v>
      </c>
      <c r="B4" s="26"/>
      <c r="C4" s="26"/>
      <c r="F4" s="26" t="s">
        <v>58</v>
      </c>
      <c r="G4" s="26"/>
      <c r="H4" s="26"/>
      <c r="I4" s="26"/>
      <c r="J4" s="26"/>
      <c r="K4" s="26"/>
    </row>
    <row r="5" spans="1:11" ht="15.75" customHeight="1" x14ac:dyDescent="0.25">
      <c r="A5" s="3" t="s">
        <v>3</v>
      </c>
      <c r="B5" s="5">
        <f>'Componentes y Costos'!H13</f>
        <v>11929.042240000001</v>
      </c>
      <c r="C5" s="3" t="s">
        <v>53</v>
      </c>
      <c r="F5" s="27" t="s">
        <v>57</v>
      </c>
      <c r="G5" s="27"/>
      <c r="H5" s="27"/>
      <c r="I5" s="27"/>
      <c r="J5" s="27"/>
      <c r="K5" s="27"/>
    </row>
    <row r="6" spans="1:11" x14ac:dyDescent="0.25">
      <c r="A6" s="3" t="s">
        <v>4</v>
      </c>
      <c r="B6" s="5">
        <f>'Análisis Financiero'!C30</f>
        <v>3253.2710887425528</v>
      </c>
      <c r="C6" s="3" t="s">
        <v>53</v>
      </c>
      <c r="F6" s="27"/>
      <c r="G6" s="27"/>
      <c r="H6" s="27"/>
      <c r="I6" s="27"/>
      <c r="J6" s="27"/>
      <c r="K6" s="27"/>
    </row>
    <row r="7" spans="1:11" x14ac:dyDescent="0.25">
      <c r="A7" s="28" t="s">
        <v>5</v>
      </c>
      <c r="B7" s="28"/>
      <c r="C7" s="28"/>
      <c r="F7" s="27"/>
      <c r="G7" s="27"/>
      <c r="H7" s="27"/>
      <c r="I7" s="27"/>
      <c r="J7" s="27"/>
      <c r="K7" s="27"/>
    </row>
    <row r="8" spans="1:11" x14ac:dyDescent="0.25">
      <c r="A8" s="3" t="s">
        <v>6</v>
      </c>
      <c r="B8" s="10">
        <f>'Análisis Financiero'!G13</f>
        <v>3.6667839582377955</v>
      </c>
      <c r="C8" s="3" t="s">
        <v>52</v>
      </c>
      <c r="F8" s="27"/>
      <c r="G8" s="27"/>
      <c r="H8" s="27"/>
      <c r="I8" s="27"/>
      <c r="J8" s="27"/>
      <c r="K8" s="27"/>
    </row>
    <row r="10" spans="1:11" x14ac:dyDescent="0.25">
      <c r="A10" t="s">
        <v>2</v>
      </c>
    </row>
    <row r="11" spans="1:11" x14ac:dyDescent="0.25">
      <c r="A11" s="23" t="s">
        <v>7</v>
      </c>
      <c r="B11" s="24"/>
      <c r="C11" s="25"/>
    </row>
    <row r="12" spans="1:11" x14ac:dyDescent="0.25">
      <c r="A12" s="3" t="s">
        <v>8</v>
      </c>
      <c r="B12" s="10">
        <v>2.09</v>
      </c>
      <c r="C12" s="3" t="s">
        <v>28</v>
      </c>
    </row>
    <row r="13" spans="1:11" x14ac:dyDescent="0.25">
      <c r="A13" s="3" t="s">
        <v>43</v>
      </c>
      <c r="B13" s="10">
        <f>'Análisis Financiero'!C15</f>
        <v>1409.3999999999999</v>
      </c>
      <c r="C13" s="3" t="s">
        <v>28</v>
      </c>
    </row>
    <row r="14" spans="1:11" x14ac:dyDescent="0.25">
      <c r="A14" s="3" t="s">
        <v>9</v>
      </c>
      <c r="B14" s="3">
        <v>40</v>
      </c>
      <c r="C14" s="3" t="s">
        <v>36</v>
      </c>
    </row>
    <row r="15" spans="1:11" x14ac:dyDescent="0.25">
      <c r="A15" s="3" t="s">
        <v>10</v>
      </c>
      <c r="B15" s="3">
        <v>0.7</v>
      </c>
      <c r="C15" s="3" t="s">
        <v>36</v>
      </c>
    </row>
    <row r="16" spans="1:11" x14ac:dyDescent="0.25">
      <c r="A16" s="3" t="s">
        <v>54</v>
      </c>
      <c r="B16" s="3">
        <v>20</v>
      </c>
      <c r="C16" s="3" t="s">
        <v>36</v>
      </c>
    </row>
    <row r="17" spans="1:3" x14ac:dyDescent="0.25">
      <c r="A17" s="3" t="s">
        <v>55</v>
      </c>
      <c r="B17" s="3">
        <v>12</v>
      </c>
      <c r="C17" s="3" t="s">
        <v>36</v>
      </c>
    </row>
    <row r="18" spans="1:3" x14ac:dyDescent="0.25">
      <c r="A18" s="3" t="s">
        <v>48</v>
      </c>
      <c r="B18" s="3">
        <v>2.19</v>
      </c>
      <c r="C18" s="3" t="s">
        <v>36</v>
      </c>
    </row>
  </sheetData>
  <mergeCells count="7">
    <mergeCell ref="A1:C1"/>
    <mergeCell ref="A2:C2"/>
    <mergeCell ref="A11:C11"/>
    <mergeCell ref="A4:C4"/>
    <mergeCell ref="F5:K8"/>
    <mergeCell ref="F4:K4"/>
    <mergeCell ref="A7:C7"/>
  </mergeCells>
  <pageMargins left="0.7" right="0.7" top="0.75" bottom="0.75" header="0.3" footer="0.3"/>
  <ignoredErrors>
    <ignoredError sqref="A3:B3 A1 A2 A14 A7 A5 A6 A12 A11 A10:B10 A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4"/>
  <sheetViews>
    <sheetView workbookViewId="0">
      <selection activeCell="J4" sqref="J4"/>
    </sheetView>
  </sheetViews>
  <sheetFormatPr defaultRowHeight="15.75" x14ac:dyDescent="0.25"/>
  <cols>
    <col min="1" max="1" width="9.125" customWidth="1"/>
    <col min="2" max="2" width="29.5" bestFit="1" customWidth="1"/>
    <col min="3" max="3" width="8.125" bestFit="1" customWidth="1"/>
    <col min="4" max="4" width="9.75" bestFit="1" customWidth="1"/>
    <col min="5" max="5" width="16.625" bestFit="1" customWidth="1"/>
    <col min="6" max="6" width="17.75" bestFit="1" customWidth="1"/>
    <col min="7" max="7" width="14.375" bestFit="1" customWidth="1"/>
    <col min="8" max="8" width="14.5" customWidth="1"/>
    <col min="9" max="9" width="9.125" customWidth="1"/>
    <col min="10" max="10" width="12.5" bestFit="1" customWidth="1"/>
  </cols>
  <sheetData>
    <row r="3" spans="2:10" x14ac:dyDescent="0.25">
      <c r="B3" s="26" t="s">
        <v>11</v>
      </c>
      <c r="C3" s="26"/>
      <c r="D3" s="26"/>
      <c r="E3" s="26"/>
      <c r="F3" s="26"/>
      <c r="G3" s="26"/>
      <c r="H3" s="26"/>
      <c r="J3" s="8" t="s">
        <v>44</v>
      </c>
    </row>
    <row r="4" spans="2:10" x14ac:dyDescent="0.25">
      <c r="B4" s="8" t="s">
        <v>12</v>
      </c>
      <c r="C4" s="8" t="s">
        <v>13</v>
      </c>
      <c r="D4" s="8" t="s">
        <v>14</v>
      </c>
      <c r="E4" s="8" t="s">
        <v>15</v>
      </c>
      <c r="F4" s="8" t="s">
        <v>56</v>
      </c>
      <c r="G4" s="8" t="s">
        <v>27</v>
      </c>
      <c r="H4" s="8" t="s">
        <v>16</v>
      </c>
      <c r="I4" s="1"/>
      <c r="J4" s="11">
        <v>7.65</v>
      </c>
    </row>
    <row r="5" spans="2:10" x14ac:dyDescent="0.25">
      <c r="B5" s="3" t="s">
        <v>17</v>
      </c>
      <c r="C5" s="3">
        <v>2</v>
      </c>
      <c r="D5" s="4">
        <v>108.99</v>
      </c>
      <c r="E5" s="4">
        <f>D5*C5</f>
        <v>217.98</v>
      </c>
      <c r="F5" s="4">
        <f>(E5*12%)+(E5*20%)</f>
        <v>69.753600000000006</v>
      </c>
      <c r="G5" s="4">
        <f>SUM(E5:F5)</f>
        <v>287.73360000000002</v>
      </c>
      <c r="H5" s="5">
        <f>G5*J4</f>
        <v>2201.1620400000002</v>
      </c>
    </row>
    <row r="6" spans="2:10" x14ac:dyDescent="0.25">
      <c r="B6" s="3" t="s">
        <v>18</v>
      </c>
      <c r="C6" s="3">
        <v>1</v>
      </c>
      <c r="D6" s="4">
        <v>50.15</v>
      </c>
      <c r="E6" s="4">
        <f>D6</f>
        <v>50.15</v>
      </c>
      <c r="F6" s="4">
        <f t="shared" ref="F6:F12" si="0">(E6*12%)+(E6*20%)</f>
        <v>16.048000000000002</v>
      </c>
      <c r="G6" s="4">
        <f t="shared" ref="G6:G9" si="1">SUM(E6:F6)</f>
        <v>66.198000000000008</v>
      </c>
      <c r="H6" s="5">
        <f>G6*J4</f>
        <v>506.4147000000001</v>
      </c>
    </row>
    <row r="7" spans="2:10" x14ac:dyDescent="0.25">
      <c r="B7" s="3" t="s">
        <v>19</v>
      </c>
      <c r="C7" s="3">
        <v>2</v>
      </c>
      <c r="D7" s="4">
        <v>150</v>
      </c>
      <c r="E7" s="4">
        <f>D7*C7</f>
        <v>300</v>
      </c>
      <c r="F7" s="4">
        <f t="shared" si="0"/>
        <v>96</v>
      </c>
      <c r="G7" s="4">
        <f t="shared" si="1"/>
        <v>396</v>
      </c>
      <c r="H7" s="5">
        <f>G7*J4</f>
        <v>3029.4</v>
      </c>
    </row>
    <row r="8" spans="2:10" x14ac:dyDescent="0.25">
      <c r="B8" s="3" t="s">
        <v>20</v>
      </c>
      <c r="C8" s="3">
        <v>1</v>
      </c>
      <c r="D8" s="4">
        <v>266.89999999999998</v>
      </c>
      <c r="E8" s="4">
        <f>D8</f>
        <v>266.89999999999998</v>
      </c>
      <c r="F8" s="4">
        <f t="shared" si="0"/>
        <v>85.407999999999987</v>
      </c>
      <c r="G8" s="4">
        <f t="shared" si="1"/>
        <v>352.30799999999999</v>
      </c>
      <c r="H8" s="5">
        <f>G8*J4</f>
        <v>2695.1561999999999</v>
      </c>
    </row>
    <row r="9" spans="2:10" x14ac:dyDescent="0.25">
      <c r="B9" s="3" t="s">
        <v>21</v>
      </c>
      <c r="C9" s="3">
        <v>1</v>
      </c>
      <c r="D9" s="4">
        <v>158.94999999999999</v>
      </c>
      <c r="E9" s="4">
        <f>D9</f>
        <v>158.94999999999999</v>
      </c>
      <c r="F9" s="4">
        <f t="shared" si="0"/>
        <v>50.863999999999997</v>
      </c>
      <c r="G9" s="4">
        <f t="shared" si="1"/>
        <v>209.81399999999999</v>
      </c>
      <c r="H9" s="5">
        <f>G9*J4</f>
        <v>1605.0771</v>
      </c>
    </row>
    <row r="10" spans="2:10" x14ac:dyDescent="0.25">
      <c r="B10" s="3" t="s">
        <v>22</v>
      </c>
      <c r="C10" s="3">
        <v>1</v>
      </c>
      <c r="D10" s="4">
        <v>28.9</v>
      </c>
      <c r="E10" s="4">
        <f>D10</f>
        <v>28.9</v>
      </c>
      <c r="F10" s="4">
        <f t="shared" si="0"/>
        <v>9.2479999999999993</v>
      </c>
      <c r="G10" s="4">
        <f>SUM(E10:F10)</f>
        <v>38.147999999999996</v>
      </c>
      <c r="H10" s="5">
        <f>G10*J4</f>
        <v>291.8322</v>
      </c>
    </row>
    <row r="11" spans="2:10" x14ac:dyDescent="0.25">
      <c r="B11" s="3" t="s">
        <v>23</v>
      </c>
      <c r="C11" s="3">
        <v>1</v>
      </c>
      <c r="D11" s="4">
        <v>0</v>
      </c>
      <c r="E11" s="4">
        <f>D11</f>
        <v>0</v>
      </c>
      <c r="F11" s="4">
        <f t="shared" si="0"/>
        <v>0</v>
      </c>
      <c r="G11" s="4">
        <f>SUM(E11:F11)</f>
        <v>0</v>
      </c>
      <c r="H11" s="5">
        <v>400</v>
      </c>
    </row>
    <row r="12" spans="2:10" x14ac:dyDescent="0.25">
      <c r="B12" s="3" t="s">
        <v>24</v>
      </c>
      <c r="C12" s="3">
        <v>1</v>
      </c>
      <c r="D12" s="4">
        <v>0</v>
      </c>
      <c r="E12" s="4">
        <f>D12</f>
        <v>0</v>
      </c>
      <c r="F12" s="4">
        <f t="shared" si="0"/>
        <v>0</v>
      </c>
      <c r="G12" s="4">
        <f>SUM(E12:F12)</f>
        <v>0</v>
      </c>
      <c r="H12" s="5">
        <v>1200</v>
      </c>
    </row>
    <row r="13" spans="2:10" ht="16.5" thickBot="1" x14ac:dyDescent="0.3">
      <c r="B13" t="s">
        <v>2</v>
      </c>
      <c r="C13" t="s">
        <v>2</v>
      </c>
      <c r="D13" s="2" t="s">
        <v>2</v>
      </c>
      <c r="E13" s="2" t="s">
        <v>2</v>
      </c>
      <c r="G13" s="6" t="s">
        <v>25</v>
      </c>
      <c r="H13" s="7">
        <f>SUM(H5:H12)</f>
        <v>11929.042240000001</v>
      </c>
    </row>
    <row r="14" spans="2:10" ht="16.5" thickTop="1" x14ac:dyDescent="0.25"/>
  </sheetData>
  <mergeCells count="1">
    <mergeCell ref="B3:H3"/>
  </mergeCells>
  <phoneticPr fontId="2" type="noConversion"/>
  <pageMargins left="0.7" right="0.7" top="0.75" bottom="0.75" header="0.3" footer="0.3"/>
  <ignoredErrors>
    <ignoredError sqref="B1: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F201-6F36-4975-B504-F84669729BD0}">
  <dimension ref="B2:M30"/>
  <sheetViews>
    <sheetView tabSelected="1" workbookViewId="0">
      <selection activeCell="D24" sqref="D24"/>
    </sheetView>
  </sheetViews>
  <sheetFormatPr defaultRowHeight="15.75" x14ac:dyDescent="0.25"/>
  <cols>
    <col min="2" max="2" width="7.125" customWidth="1"/>
    <col min="3" max="3" width="24.625" customWidth="1"/>
    <col min="4" max="4" width="15.625" bestFit="1" customWidth="1"/>
    <col min="6" max="6" width="21.625" bestFit="1" customWidth="1"/>
    <col min="7" max="8" width="14.375" bestFit="1" customWidth="1"/>
    <col min="11" max="11" width="20" bestFit="1" customWidth="1"/>
  </cols>
  <sheetData>
    <row r="2" spans="2:13" x14ac:dyDescent="0.25">
      <c r="B2" s="26" t="s">
        <v>40</v>
      </c>
      <c r="C2" s="26"/>
      <c r="D2" s="26"/>
      <c r="F2" s="26" t="s">
        <v>29</v>
      </c>
      <c r="G2" s="26"/>
      <c r="H2" s="26"/>
      <c r="J2" s="23" t="s">
        <v>47</v>
      </c>
      <c r="K2" s="24"/>
      <c r="M2" s="8" t="s">
        <v>60</v>
      </c>
    </row>
    <row r="3" spans="2:13" x14ac:dyDescent="0.25">
      <c r="B3" s="9" t="s">
        <v>26</v>
      </c>
      <c r="C3" s="9" t="s">
        <v>37</v>
      </c>
      <c r="D3" s="9" t="s">
        <v>39</v>
      </c>
      <c r="F3" s="9" t="s">
        <v>30</v>
      </c>
      <c r="G3" s="3">
        <v>174.8</v>
      </c>
      <c r="H3" s="3" t="s">
        <v>28</v>
      </c>
      <c r="J3" s="9" t="s">
        <v>26</v>
      </c>
      <c r="K3" s="9" t="s">
        <v>61</v>
      </c>
      <c r="M3" s="20">
        <v>2.1899999999999999E-2</v>
      </c>
    </row>
    <row r="4" spans="2:13" x14ac:dyDescent="0.25">
      <c r="B4" s="3">
        <v>1</v>
      </c>
      <c r="C4" s="10">
        <f>G4*365</f>
        <v>1412.55</v>
      </c>
      <c r="D4" s="11">
        <f>C4*K4</f>
        <v>2952.2294999999999</v>
      </c>
      <c r="F4" s="9" t="s">
        <v>31</v>
      </c>
      <c r="G4" s="10">
        <v>3.87</v>
      </c>
      <c r="H4" s="3" t="s">
        <v>28</v>
      </c>
      <c r="J4" s="3">
        <v>1</v>
      </c>
      <c r="K4" s="3">
        <v>2.09</v>
      </c>
      <c r="M4" s="18"/>
    </row>
    <row r="5" spans="2:13" x14ac:dyDescent="0.25">
      <c r="B5" s="3">
        <v>2</v>
      </c>
      <c r="C5" s="10">
        <f>C4-70%</f>
        <v>1411.85</v>
      </c>
      <c r="D5" s="11">
        <f>C5*K5</f>
        <v>3015.3882863499994</v>
      </c>
      <c r="F5" s="9" t="s">
        <v>32</v>
      </c>
      <c r="G5" s="10">
        <v>5.44</v>
      </c>
      <c r="H5" s="3" t="s">
        <v>28</v>
      </c>
      <c r="J5" s="3">
        <v>2</v>
      </c>
      <c r="K5" s="10">
        <f>K4+(K4*M3)</f>
        <v>2.1357709999999996</v>
      </c>
      <c r="L5" s="21"/>
    </row>
    <row r="6" spans="2:13" x14ac:dyDescent="0.25">
      <c r="B6" s="3">
        <v>3</v>
      </c>
      <c r="C6" s="10">
        <f>C5-70%</f>
        <v>1411.1499999999999</v>
      </c>
      <c r="D6" s="11">
        <f t="shared" ref="D5:D13" si="0">C6*K6</f>
        <v>3079.8975087516342</v>
      </c>
      <c r="F6" s="9" t="s">
        <v>33</v>
      </c>
      <c r="G6" s="3">
        <v>2.17</v>
      </c>
      <c r="H6" s="3" t="s">
        <v>28</v>
      </c>
      <c r="J6" s="3">
        <v>3</v>
      </c>
      <c r="K6" s="10">
        <f>K5+(K5*M3)</f>
        <v>2.1825443848999995</v>
      </c>
      <c r="L6" s="21"/>
    </row>
    <row r="7" spans="2:13" x14ac:dyDescent="0.25">
      <c r="B7" s="3">
        <v>4</v>
      </c>
      <c r="C7" s="10">
        <f>C6-70%</f>
        <v>1410.4499999999998</v>
      </c>
      <c r="D7" s="11">
        <f t="shared" si="0"/>
        <v>3145.786024718444</v>
      </c>
      <c r="F7" s="9" t="s">
        <v>34</v>
      </c>
      <c r="G7" s="10">
        <v>5.12</v>
      </c>
      <c r="H7" s="3" t="s">
        <v>28</v>
      </c>
      <c r="J7" s="3">
        <v>4</v>
      </c>
      <c r="K7" s="10">
        <f>K6+(K6*M3)</f>
        <v>2.2303421069293092</v>
      </c>
      <c r="L7" s="21"/>
    </row>
    <row r="8" spans="2:13" x14ac:dyDescent="0.25">
      <c r="B8" s="3">
        <v>5</v>
      </c>
      <c r="C8" s="10">
        <f t="shared" ref="C8:C13" si="1">C7-70%</f>
        <v>1409.7499999999998</v>
      </c>
      <c r="D8" s="11">
        <f t="shared" si="0"/>
        <v>3213.0833080404277</v>
      </c>
      <c r="F8" s="9" t="s">
        <v>35</v>
      </c>
      <c r="G8" s="10">
        <v>92.29</v>
      </c>
      <c r="H8" s="3" t="s">
        <v>36</v>
      </c>
      <c r="J8" s="3">
        <v>5</v>
      </c>
      <c r="K8" s="10">
        <f>K7+(K7*M3)</f>
        <v>2.2791865990710609</v>
      </c>
      <c r="L8" s="21"/>
    </row>
    <row r="9" spans="2:13" x14ac:dyDescent="0.25">
      <c r="B9" s="3">
        <v>6</v>
      </c>
      <c r="C9" s="10">
        <f t="shared" si="1"/>
        <v>1409.0499999999997</v>
      </c>
      <c r="D9" s="11">
        <f t="shared" si="0"/>
        <v>3281.8194619365995</v>
      </c>
      <c r="J9" s="3">
        <v>6</v>
      </c>
      <c r="K9" s="10">
        <f>K8+(K8*M3)</f>
        <v>2.3291007855907173</v>
      </c>
      <c r="L9" s="21"/>
    </row>
    <row r="10" spans="2:13" x14ac:dyDescent="0.25">
      <c r="B10" s="3">
        <v>7</v>
      </c>
      <c r="C10" s="10">
        <f t="shared" si="1"/>
        <v>1408.3499999999997</v>
      </c>
      <c r="D10" s="11">
        <f t="shared" si="0"/>
        <v>3352.0252324880544</v>
      </c>
      <c r="F10" s="26" t="s">
        <v>49</v>
      </c>
      <c r="G10" s="26"/>
      <c r="J10" s="3">
        <v>7</v>
      </c>
      <c r="K10" s="10">
        <f>K9+(K9*M3)</f>
        <v>2.3801080927951541</v>
      </c>
      <c r="L10" s="21"/>
    </row>
    <row r="11" spans="2:13" x14ac:dyDescent="0.25">
      <c r="B11" s="3">
        <v>8</v>
      </c>
      <c r="C11" s="10">
        <f t="shared" si="1"/>
        <v>1407.6499999999996</v>
      </c>
      <c r="D11" s="11">
        <f t="shared" si="0"/>
        <v>3423.7320223575239</v>
      </c>
      <c r="F11" s="9" t="s">
        <v>51</v>
      </c>
      <c r="G11" s="11">
        <f>F18</f>
        <v>11929.042240000001</v>
      </c>
      <c r="J11" s="3">
        <v>8</v>
      </c>
      <c r="K11" s="10">
        <f>K10+(K10*M3)</f>
        <v>2.4322324600273681</v>
      </c>
      <c r="L11" s="21"/>
    </row>
    <row r="12" spans="2:13" x14ac:dyDescent="0.25">
      <c r="B12" s="3">
        <v>9</v>
      </c>
      <c r="C12" s="10">
        <f t="shared" si="1"/>
        <v>1406.9499999999996</v>
      </c>
      <c r="D12" s="11">
        <f t="shared" si="0"/>
        <v>3496.9719048015222</v>
      </c>
      <c r="F12" s="9" t="s">
        <v>50</v>
      </c>
      <c r="G12" s="11">
        <f>C30</f>
        <v>3253.2710887425528</v>
      </c>
      <c r="J12" s="3">
        <v>9</v>
      </c>
      <c r="K12" s="10">
        <f>K11+(K11*M3)</f>
        <v>2.4854983509019677</v>
      </c>
      <c r="L12" s="21"/>
    </row>
    <row r="13" spans="2:13" ht="16.5" thickBot="1" x14ac:dyDescent="0.3">
      <c r="B13" s="3">
        <v>10</v>
      </c>
      <c r="C13" s="10">
        <f t="shared" si="1"/>
        <v>1406.2499999999995</v>
      </c>
      <c r="D13" s="11">
        <f t="shared" si="0"/>
        <v>3571.7776379813249</v>
      </c>
      <c r="F13" s="9" t="s">
        <v>52</v>
      </c>
      <c r="G13" s="12">
        <f>G11/G12</f>
        <v>3.6667839582377955</v>
      </c>
      <c r="J13" s="3">
        <v>10</v>
      </c>
      <c r="K13" s="10">
        <f>K12+(K12*M3)</f>
        <v>2.5399307647867206</v>
      </c>
      <c r="L13" s="21"/>
    </row>
    <row r="14" spans="2:13" ht="17.25" thickTop="1" thickBot="1" x14ac:dyDescent="0.3">
      <c r="B14" s="15" t="s">
        <v>38</v>
      </c>
      <c r="C14" s="12">
        <f>SUM(C4:C13)</f>
        <v>14093.999999999998</v>
      </c>
      <c r="D14" s="13">
        <f>SUM(D4:D13)</f>
        <v>32532.710887425528</v>
      </c>
      <c r="J14" s="3" t="s">
        <v>46</v>
      </c>
      <c r="K14" s="12">
        <f>SUM(K4:K13)/10</f>
        <v>2.3084714545002298</v>
      </c>
    </row>
    <row r="15" spans="2:13" ht="16.5" thickTop="1" x14ac:dyDescent="0.25">
      <c r="B15" s="3" t="s">
        <v>42</v>
      </c>
      <c r="C15" s="16">
        <f>C14/10</f>
        <v>1409.3999999999999</v>
      </c>
    </row>
    <row r="17" spans="2:10" x14ac:dyDescent="0.25">
      <c r="B17" s="26" t="s">
        <v>62</v>
      </c>
      <c r="C17" s="26"/>
      <c r="D17" s="26"/>
      <c r="F17" s="8" t="s">
        <v>59</v>
      </c>
    </row>
    <row r="18" spans="2:10" x14ac:dyDescent="0.25">
      <c r="B18" s="9" t="s">
        <v>26</v>
      </c>
      <c r="C18" s="9" t="s">
        <v>39</v>
      </c>
      <c r="D18" s="9" t="s">
        <v>41</v>
      </c>
      <c r="F18" s="11">
        <f>Resumen!B5</f>
        <v>11929.042240000001</v>
      </c>
    </row>
    <row r="19" spans="2:10" x14ac:dyDescent="0.25">
      <c r="B19" s="3">
        <v>1</v>
      </c>
      <c r="C19" s="11">
        <f>D4</f>
        <v>2952.2294999999999</v>
      </c>
      <c r="D19" s="11">
        <f>-F18+C19</f>
        <v>-8976.8127400000012</v>
      </c>
    </row>
    <row r="20" spans="2:10" x14ac:dyDescent="0.25">
      <c r="B20" s="3">
        <v>2</v>
      </c>
      <c r="C20" s="11">
        <f t="shared" ref="C20:C28" si="2">D5</f>
        <v>3015.3882863499994</v>
      </c>
      <c r="D20" s="11">
        <f>D19+C20</f>
        <v>-5961.4244536500019</v>
      </c>
      <c r="J20" s="19"/>
    </row>
    <row r="21" spans="2:10" x14ac:dyDescent="0.25">
      <c r="B21" s="3">
        <v>3</v>
      </c>
      <c r="C21" s="11">
        <f t="shared" si="2"/>
        <v>3079.8975087516342</v>
      </c>
      <c r="D21" s="11">
        <f t="shared" ref="D21:D28" si="3">D20+C21</f>
        <v>-2881.5269448983677</v>
      </c>
    </row>
    <row r="22" spans="2:10" x14ac:dyDescent="0.25">
      <c r="B22" s="3">
        <v>4</v>
      </c>
      <c r="C22" s="11">
        <f t="shared" si="2"/>
        <v>3145.786024718444</v>
      </c>
      <c r="D22" s="11">
        <f t="shared" si="3"/>
        <v>264.25907982007629</v>
      </c>
    </row>
    <row r="23" spans="2:10" x14ac:dyDescent="0.25">
      <c r="B23" s="3">
        <v>5</v>
      </c>
      <c r="C23" s="11">
        <f t="shared" si="2"/>
        <v>3213.0833080404277</v>
      </c>
      <c r="D23" s="11">
        <f t="shared" si="3"/>
        <v>3477.342387860504</v>
      </c>
    </row>
    <row r="24" spans="2:10" x14ac:dyDescent="0.25">
      <c r="B24" s="3">
        <v>6</v>
      </c>
      <c r="C24" s="11">
        <f t="shared" si="2"/>
        <v>3281.8194619365995</v>
      </c>
      <c r="D24" s="11">
        <f t="shared" si="3"/>
        <v>6759.1618497971031</v>
      </c>
    </row>
    <row r="25" spans="2:10" x14ac:dyDescent="0.25">
      <c r="B25" s="3">
        <v>7</v>
      </c>
      <c r="C25" s="11">
        <f>D10</f>
        <v>3352.0252324880544</v>
      </c>
      <c r="D25" s="11">
        <f t="shared" si="3"/>
        <v>10111.187082285158</v>
      </c>
    </row>
    <row r="26" spans="2:10" x14ac:dyDescent="0.25">
      <c r="B26" s="3">
        <v>8</v>
      </c>
      <c r="C26" s="11">
        <f t="shared" si="2"/>
        <v>3423.7320223575239</v>
      </c>
      <c r="D26" s="11">
        <f t="shared" si="3"/>
        <v>13534.919104642682</v>
      </c>
    </row>
    <row r="27" spans="2:10" x14ac:dyDescent="0.25">
      <c r="B27" s="3">
        <v>9</v>
      </c>
      <c r="C27" s="11">
        <f t="shared" si="2"/>
        <v>3496.9719048015222</v>
      </c>
      <c r="D27" s="11">
        <f t="shared" si="3"/>
        <v>17031.891009444204</v>
      </c>
    </row>
    <row r="28" spans="2:10" x14ac:dyDescent="0.25">
      <c r="B28" s="3">
        <v>10</v>
      </c>
      <c r="C28" s="11">
        <f t="shared" si="2"/>
        <v>3571.7776379813249</v>
      </c>
      <c r="D28" s="11">
        <f t="shared" si="3"/>
        <v>20603.668647425529</v>
      </c>
    </row>
    <row r="29" spans="2:10" ht="16.5" thickBot="1" x14ac:dyDescent="0.3">
      <c r="B29" s="11" t="s">
        <v>38</v>
      </c>
      <c r="C29" s="13">
        <f>SUM(C19:C28)</f>
        <v>32532.710887425528</v>
      </c>
      <c r="D29" s="14"/>
    </row>
    <row r="30" spans="2:10" ht="16.5" thickTop="1" x14ac:dyDescent="0.25">
      <c r="B30" s="3" t="s">
        <v>42</v>
      </c>
      <c r="C30" s="17">
        <f>SUM(C19:C28)/10</f>
        <v>3253.2710887425528</v>
      </c>
    </row>
  </sheetData>
  <mergeCells count="5">
    <mergeCell ref="B2:D2"/>
    <mergeCell ref="F2:H2"/>
    <mergeCell ref="B17:D17"/>
    <mergeCell ref="F10:G10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Componentes y Costos</vt:lpstr>
      <vt:lpstr>Análisis Financiero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Celada</dc:creator>
  <cp:lastModifiedBy>VICTOR JAVIER CELADA ARGUETA</cp:lastModifiedBy>
  <dcterms:created xsi:type="dcterms:W3CDTF">2025-09-22T07:18:47Z</dcterms:created>
  <dcterms:modified xsi:type="dcterms:W3CDTF">2025-09-24T22:36:12Z</dcterms:modified>
</cp:coreProperties>
</file>